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55.xml" ContentType="application/vnd.openxmlformats-officedocument.drawingml.chartshapes+xml"/>
  <Override PartName="/xl/drawings/drawing57.xml" ContentType="application/vnd.openxmlformats-officedocument.drawingml.chartshapes+xml"/>
  <Override PartName="/xl/drawings/drawing58.xml" ContentType="application/vnd.openxmlformats-officedocument.drawingml.chartshapes+xml"/>
  <Override PartName="/xl/drawings/drawing60.xml" ContentType="application/vnd.openxmlformats-officedocument.drawingml.chartshapes+xml"/>
  <Override PartName="/xl/drawings/drawing56.xml" ContentType="application/vnd.openxmlformats-officedocument.drawingml.chartshapes+xml"/>
  <Override PartName="/xl/drawings/drawing59.xml" ContentType="application/vnd.openxmlformats-officedocument.drawingml.chartshapes+xml"/>
  <Override PartName="/xl/workbook.xml" ContentType="application/vnd.openxmlformats-officedocument.spreadsheetml.sheet.main+xml"/>
  <Override PartName="/xl/worksheets/sheet10.xml" ContentType="application/vnd.openxmlformats-officedocument.spreadsheetml.worksheet+xml"/>
  <Override PartName="/xl/slicers/slicer55.xml" ContentType="application/vnd.ms-excel.slicer+xml"/>
  <Override PartName="/xl/drawings/drawing86.xml" ContentType="application/vnd.openxmlformats-officedocument.drawing+xml"/>
  <Override PartName="/xl/slicers/slicer56.xml" ContentType="application/vnd.ms-excel.slicer+xml"/>
  <Override PartName="/xl/pivotTables/pivotTable47.xml" ContentType="application/vnd.openxmlformats-officedocument.spreadsheetml.pivotTable+xml"/>
  <Override PartName="/xl/drawings/drawing85.xml" ContentType="application/vnd.openxmlformats-officedocument.drawing+xml"/>
  <Override PartName="/xl/pivotTables/pivotTable46.xml" ContentType="application/vnd.openxmlformats-officedocument.spreadsheetml.pivotTable+xml"/>
  <Override PartName="/xl/slicers/slicer54.xml" ContentType="application/vnd.ms-excel.slicer+xml"/>
  <Override PartName="/xl/drawings/drawing84.xml" ContentType="application/vnd.openxmlformats-officedocument.drawing+xml"/>
  <Override PartName="/xl/slicers/slicer53.xml" ContentType="application/vnd.ms-excel.slicer+xml"/>
  <Override PartName="/xl/drawings/drawing83.xml" ContentType="application/vnd.openxmlformats-officedocument.drawing+xml"/>
  <Override PartName="/xl/drawings/drawing87.xml" ContentType="application/vnd.openxmlformats-officedocument.drawing+xml"/>
  <Override PartName="/xl/slicers/slicer57.xml" ContentType="application/vnd.ms-excel.slicer+xml"/>
  <Override PartName="/xl/drawings/drawing88.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0.xml" ContentType="application/vnd.openxmlformats-officedocument.drawing+xml"/>
  <Override PartName="/xl/slicers/slicer59.xml" ContentType="application/vnd.ms-excel.slicer+xml"/>
  <Override PartName="/xl/drawings/drawing89.xml" ContentType="application/vnd.openxmlformats-officedocument.drawing+xml"/>
  <Override PartName="/xl/pivotTables/pivotTable48.xml" ContentType="application/vnd.openxmlformats-officedocument.spreadsheetml.pivotTable+xml"/>
  <Override PartName="/xl/slicers/slicer58.xml" ContentType="application/vnd.ms-excel.slicer+xml"/>
  <Override PartName="/xl/pivotTables/pivotTable45.xml" ContentType="application/vnd.openxmlformats-officedocument.spreadsheetml.pivotTable+xml"/>
  <Override PartName="/xl/slicers/slicer52.xml" ContentType="application/vnd.ms-excel.slicer+xml"/>
  <Override PartName="/xl/drawings/drawing82.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72.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81.xml" ContentType="application/vnd.openxmlformats-officedocument.drawing+xml"/>
  <Override PartName="/xl/drawings/drawing80.xml" ContentType="application/vnd.openxmlformats-officedocument.drawing+xml"/>
  <Override PartName="/xl/drawings/drawing7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71.xml" ContentType="application/vnd.openxmlformats-officedocument.drawing+xml"/>
  <Override PartName="/xl/drawings/drawing45.xml" ContentType="application/vnd.openxmlformats-officedocument.drawing+xml"/>
  <Override PartName="/xl/slicers/slicer42.xml" ContentType="application/vnd.ms-excel.slicer+xml"/>
  <Override PartName="/xl/pivotTables/pivotTable29.xml" ContentType="application/vnd.openxmlformats-officedocument.spreadsheetml.pivotTable+xml"/>
  <Override PartName="/xl/drawings/drawing46.xml" ContentType="application/vnd.openxmlformats-officedocument.drawing+xml"/>
  <Override PartName="/xl/slicers/slicer41.xml" ContentType="application/vnd.ms-excel.slicer+xml"/>
  <Override PartName="/xl/drawings/drawing44.xml" ContentType="application/vnd.openxmlformats-officedocument.drawing+xml"/>
  <Override PartName="/xl/pivotTables/pivotTable28.xml" ContentType="application/vnd.openxmlformats-officedocument.spreadsheetml.pivotTable+xml"/>
  <Override PartName="/xl/slicers/slicer40.xml" ContentType="application/vnd.ms-excel.slicer+xml"/>
  <Override PartName="/xl/drawings/drawing43.xml" ContentType="application/vnd.openxmlformats-officedocument.drawing+xml"/>
  <Override PartName="/xl/slicers/slicer39.xml" ContentType="application/vnd.ms-excel.slicer+xml"/>
  <Override PartName="/xl/slicers/slicer43.xml" ContentType="application/vnd.ms-excel.slicer+xml"/>
  <Override PartName="/xl/pivotTables/pivotTable30.xml" ContentType="application/vnd.openxmlformats-officedocument.spreadsheetml.pivotTable+xml"/>
  <Override PartName="/xl/drawings/drawing47.xml" ContentType="application/vnd.openxmlformats-officedocument.drawing+xml"/>
  <Override PartName="/xl/slicers/slicer45.xml" ContentType="application/vnd.ms-excel.slicer+xml"/>
  <Override PartName="/xl/drawings/drawing49.xml" ContentType="application/vnd.openxmlformats-officedocument.drawing+xml"/>
  <Override PartName="/xl/slicers/slicer46.xml" ContentType="application/vnd.ms-excel.slicer+xml"/>
  <Override PartName="/xl/pivotTables/pivotTable35.xml" ContentType="application/vnd.openxmlformats-officedocument.spreadsheetml.pivotTable+xml"/>
  <Override PartName="/xl/drawings/drawing48.xml" ContentType="application/vnd.openxmlformats-officedocument.drawing+xml"/>
  <Override PartName="/xl/pivotTables/pivotTable34.xml" ContentType="application/vnd.openxmlformats-officedocument.spreadsheetml.pivotTable+xml"/>
  <Override PartName="/xl/pivotTables/pivotTable33.xml" ContentType="application/vnd.openxmlformats-officedocument.spreadsheetml.pivotTable+xml"/>
  <Override PartName="/xl/pivotTables/pivotTable32.xml" ContentType="application/vnd.openxmlformats-officedocument.spreadsheetml.pivotTable+xml"/>
  <Override PartName="/xl/pivotTables/pivotTable31.xml" ContentType="application/vnd.openxmlformats-officedocument.spreadsheetml.pivotTable+xml"/>
  <Override PartName="/xl/slicers/slicer44.xml" ContentType="application/vnd.ms-excel.slicer+xml"/>
  <Override PartName="/xl/drawings/drawing42.xml" ContentType="application/vnd.openxmlformats-officedocument.drawing+xml"/>
  <Override PartName="/xl/pivotTables/pivotTable27.xml" ContentType="application/vnd.openxmlformats-officedocument.spreadsheetml.pivotTable+xml"/>
  <Override PartName="/xl/slicers/slicer38.xml" ContentType="application/vnd.ms-excel.slicer+xml"/>
  <Override PartName="/xl/pivotTables/pivotTable22.xml" ContentType="application/vnd.openxmlformats-officedocument.spreadsheetml.pivotTable+xml"/>
  <Override PartName="/xl/drawings/drawing36.xml" ContentType="application/vnd.openxmlformats-officedocument.drawing+xml"/>
  <Override PartName="/xl/slicers/slicer33.xml" ContentType="application/vnd.ms-excel.slicer+xml"/>
  <Override PartName="/xl/pivotTables/pivotTable23.xml" ContentType="application/vnd.openxmlformats-officedocument.spreadsheetml.pivotTable+xml"/>
  <Override PartName="/xl/slicers/slicer32.xml" ContentType="application/vnd.ms-excel.slicer+xml"/>
  <Override PartName="/xl/drawings/drawing35.xml" ContentType="application/vnd.openxmlformats-officedocument.drawing+xml"/>
  <Override PartName="/xl/slicers/slicer31.xml" ContentType="application/vnd.ms-excel.slicer+xml"/>
  <Override PartName="/xl/drawings/drawing34.xml" ContentType="application/vnd.openxmlformats-officedocument.drawing+xml"/>
  <Override PartName="/xl/slicers/slicer30.xml" ContentType="application/vnd.ms-excel.slicer+xml"/>
  <Override PartName="/xl/drawings/drawing33.xml" ContentType="application/vnd.openxmlformats-officedocument.drawing+xml"/>
  <Override PartName="/xl/pivotTables/pivotTable24.xml" ContentType="application/vnd.openxmlformats-officedocument.spreadsheetml.pivotTable+xml"/>
  <Override PartName="/xl/drawings/drawing37.xml" ContentType="application/vnd.openxmlformats-officedocument.drawing+xml"/>
  <Override PartName="/xl/slicers/slicer34.xml" ContentType="application/vnd.ms-excel.slicer+xml"/>
  <Override PartName="/xl/drawings/drawing41.xml" ContentType="application/vnd.openxmlformats-officedocument.drawing+xml"/>
  <Override PartName="/xl/slicers/slicer37.xml" ContentType="application/vnd.ms-excel.slicer+xml"/>
  <Override PartName="/xl/drawings/drawing40.xml" ContentType="application/vnd.openxmlformats-officedocument.drawing+xml"/>
  <Override PartName="/xl/slicers/slicer36.xml" ContentType="application/vnd.ms-excel.slicer+xml"/>
  <Override PartName="/xl/drawings/drawing39.xml" ContentType="application/vnd.openxmlformats-officedocument.drawing+xml"/>
  <Override PartName="/xl/pivotTables/pivotTable26.xml" ContentType="application/vnd.openxmlformats-officedocument.spreadsheetml.pivotTable+xml"/>
  <Override PartName="/xl/slicers/slicer35.xml" ContentType="application/vnd.ms-excel.slicer+xml"/>
  <Override PartName="/xl/drawings/drawing38.xml" ContentType="application/vnd.openxmlformats-officedocument.drawing+xml"/>
  <Override PartName="/xl/pivotTables/pivotTable25.xml" ContentType="application/vnd.openxmlformats-officedocument.spreadsheetml.pivotTable+xml"/>
  <Override PartName="/xl/drawings/drawing50.xml" ContentType="application/vnd.openxmlformats-officedocument.drawing+xml"/>
  <Override PartName="/xl/slicers/slicer47.xml" ContentType="application/vnd.ms-excel.slicer+xml"/>
  <Override PartName="/xl/drawings/drawing51.xml" ContentType="application/vnd.openxmlformats-officedocument.drawing+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64.xml" ContentType="application/vnd.openxmlformats-officedocument.drawing+xml"/>
  <Override PartName="/xl/drawings/drawing63.xml" ContentType="application/vnd.openxmlformats-officedocument.drawing+xml"/>
  <Override PartName="/xl/pivotTables/pivotTable43.xml" ContentType="application/vnd.openxmlformats-officedocument.spreadsheetml.pivotTable+xml"/>
  <Override PartName="/xl/drawings/drawing65.xml" ContentType="application/vnd.openxmlformats-officedocument.drawing+xml"/>
  <Override PartName="/xl/slicers/slicer48.xml" ContentType="application/vnd.ms-excel.slicer+xml"/>
  <Override PartName="/xl/slicers/slicer51.xml" ContentType="application/vnd.ms-excel.slicer+xml"/>
  <Override PartName="/xl/drawings/drawing69.xml" ContentType="application/vnd.openxmlformats-officedocument.drawing+xml"/>
  <Override PartName="/xl/drawings/drawing70.xml" ContentType="application/vnd.openxmlformats-officedocument.drawing+xml"/>
  <Override PartName="/xl/drawings/drawing68.xml" ContentType="application/vnd.openxmlformats-officedocument.drawing+xml"/>
  <Override PartName="/xl/slicers/slicer50.xml" ContentType="application/vnd.ms-excel.slicer+xml"/>
  <Override PartName="/xl/drawings/drawing67.xml" ContentType="application/vnd.openxmlformats-officedocument.drawing+xml"/>
  <Override PartName="/xl/pivotTables/pivotTable44.xml" ContentType="application/vnd.openxmlformats-officedocument.spreadsheetml.pivotTable+xml"/>
  <Override PartName="/xl/slicers/slicer49.xml" ContentType="application/vnd.ms-excel.slicer+xml"/>
  <Override PartName="/xl/drawings/drawing66.xml" ContentType="application/vnd.openxmlformats-officedocument.drawing+xml"/>
  <Override PartName="/xl/drawings/drawing62.xml" ContentType="application/vnd.openxmlformats-officedocument.drawing+xml"/>
  <Override PartName="/xl/pivotTables/pivotTable38.xml" ContentType="application/vnd.openxmlformats-officedocument.spreadsheetml.pivotTable+xml"/>
  <Override PartName="/xl/pivotTables/pivotTable37.xml" ContentType="application/vnd.openxmlformats-officedocument.spreadsheetml.pivotTable+xml"/>
  <Override PartName="/xl/charts/chart2.xml" ContentType="application/vnd.openxmlformats-officedocument.drawingml.chart+xml"/>
  <Override PartName="/xl/worksheets/sheet9.xml" ContentType="application/vnd.openxmlformats-officedocument.spreadsheetml.worksheet+xml"/>
  <Override PartName="/xl/charts/chart3.xml" ContentType="application/vnd.openxmlformats-officedocument.drawingml.chart+xml"/>
  <Override PartName="/xl/worksheets/sheet8.xml" ContentType="application/vnd.openxmlformats-officedocument.spreadsheetml.worksheet+xml"/>
  <Override PartName="/xl/drawings/drawing54.xml" ContentType="application/vnd.openxmlformats-officedocument.drawing+xml"/>
  <Override PartName="/xl/drawings/drawing53.xml" ContentType="application/vnd.openxmlformats-officedocument.drawing+xml"/>
  <Override PartName="/xl/drawings/drawing52.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charts/chart5.xml" ContentType="application/vnd.openxmlformats-officedocument.drawingml.chart+xml"/>
  <Override PartName="/xl/pivotTables/pivotTable36.xml" ContentType="application/vnd.openxmlformats-officedocument.spreadsheetml.pivotTable+xml"/>
  <Override PartName="/xl/drawings/drawing61.xml" ContentType="application/vnd.openxmlformats-officedocument.drawing+xml"/>
  <Override PartName="/xl/worksheets/sheet4.xml" ContentType="application/vnd.openxmlformats-officedocument.spreadsheetml.worksheet+xml"/>
  <Override PartName="/xl/charts/chart7.xml" ContentType="application/vnd.openxmlformats-officedocument.drawingml.chart+xml"/>
  <Override PartName="/xl/worksheets/sheet5.xml" ContentType="application/vnd.openxmlformats-officedocument.spreadsheetml.worksheet+xml"/>
  <Override PartName="/xl/charts/chart6.xml" ContentType="application/vnd.openxmlformats-officedocument.drawingml.chart+xml"/>
  <Override PartName="/xl/worksheets/sheet6.xml" ContentType="application/vnd.openxmlformats-officedocument.spreadsheetml.worksheet+xml"/>
  <Override PartName="/xl/slicers/slicer29.xml" ContentType="application/vnd.ms-excel.slicer+xml"/>
  <Override PartName="/xl/worksheets/sheet1.xml" ContentType="application/vnd.openxmlformats-officedocument.spreadsheetml.worksheet+xml"/>
  <Override PartName="/xl/pivotTables/pivotTable21.xml" ContentType="application/vnd.openxmlformats-officedocument.spreadsheetml.pivotTable+xml"/>
  <Override PartName="/xl/worksheets/sheet129.xml" ContentType="application/vnd.openxmlformats-officedocument.spreadsheetml.worksheet+xml"/>
  <Override PartName="/xl/worksheets/sheet128.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36.xml" ContentType="application/vnd.openxmlformats-officedocument.spreadsheetml.worksheet+xml"/>
  <Override PartName="/xl/worksheets/sheet135.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slicerCaches/slicerCache1.xml" ContentType="application/vnd.ms-excel.slicerCache+xml"/>
  <Override PartName="/xl/worksheets/sheet172.xml" ContentType="application/vnd.openxmlformats-officedocument.spreadsheetml.worksheet+xml"/>
  <Override PartName="/xl/worksheets/sheet171.xml" ContentType="application/vnd.openxmlformats-officedocument.spreadsheetml.worksheet+xml"/>
  <Override PartName="/xl/worksheets/sheet170.xml" ContentType="application/vnd.openxmlformats-officedocument.spreadsheetml.worksheet+xml"/>
  <Override PartName="/xl/worksheets/sheet169.xml" ContentType="application/vnd.openxmlformats-officedocument.spreadsheetml.worksheet+xml"/>
  <Override PartName="/xl/worksheets/sheet168.xml" ContentType="application/vnd.openxmlformats-officedocument.spreadsheetml.worksheet+xml"/>
  <Override PartName="/xl/worksheets/sheet167.xml" ContentType="application/vnd.openxmlformats-officedocument.spreadsheetml.worksheet+xml"/>
  <Override PartName="/xl/worksheets/sheet166.xml" ContentType="application/vnd.openxmlformats-officedocument.spreadsheetml.worksheet+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12.xml" ContentType="application/vnd.ms-excel.slicerCache+xml"/>
  <Override PartName="/xl/slicerCaches/slicerCache11.xml" ContentType="application/vnd.ms-excel.slicerCache+xml"/>
  <Override PartName="/xl/slicerCaches/slicerCache10.xml" ContentType="application/vnd.ms-excel.slicerCache+xml"/>
  <Override PartName="/xl/slicerCaches/slicerCache9.xml" ContentType="application/vnd.ms-excel.slicerCache+xml"/>
  <Override PartName="/xl/slicerCaches/slicerCache8.xml" ContentType="application/vnd.ms-excel.slicerCache+xml"/>
  <Override PartName="/xl/slicerCaches/slicerCache7.xml" ContentType="application/vnd.ms-excel.slicerCache+xml"/>
  <Override PartName="/xl/slicerCaches/slicerCache6.xml" ContentType="application/vnd.ms-excel.slicerCache+xml"/>
  <Override PartName="/xl/slicerCaches/slicerCache5.xml" ContentType="application/vnd.ms-excel.slicerCache+xml"/>
  <Override PartName="/xl/worksheets/sheet165.xml" ContentType="application/vnd.openxmlformats-officedocument.spreadsheetml.worksheet+xml"/>
  <Override PartName="/xl/worksheets/sheet164.xml" ContentType="application/vnd.openxmlformats-officedocument.spreadsheetml.worksheet+xml"/>
  <Override PartName="/xl/worksheets/sheet163.xml" ContentType="application/vnd.openxmlformats-officedocument.spreadsheetml.worksheet+xml"/>
  <Override PartName="/xl/worksheets/sheet151.xml" ContentType="application/vnd.openxmlformats-officedocument.spreadsheetml.worksheet+xml"/>
  <Override PartName="/xl/worksheets/sheet150.xml" ContentType="application/vnd.openxmlformats-officedocument.spreadsheetml.worksheet+xml"/>
  <Override PartName="/xl/worksheets/sheet149.xml" ContentType="application/vnd.openxmlformats-officedocument.spreadsheetml.worksheet+xml"/>
  <Override PartName="/xl/worksheets/sheet148.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44.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62.xml" ContentType="application/vnd.openxmlformats-officedocument.spreadsheetml.worksheet+xml"/>
  <Override PartName="/xl/worksheets/sheet161.xml" ContentType="application/vnd.openxmlformats-officedocument.spreadsheetml.worksheet+xml"/>
  <Override PartName="/xl/worksheets/sheet160.xml" ContentType="application/vnd.openxmlformats-officedocument.spreadsheetml.worksheet+xml"/>
  <Override PartName="/xl/worksheets/sheet159.xml" ContentType="application/vnd.openxmlformats-officedocument.spreadsheetml.worksheet+xml"/>
  <Override PartName="/xl/worksheets/sheet158.xml" ContentType="application/vnd.openxmlformats-officedocument.spreadsheetml.worksheet+xml"/>
  <Override PartName="/xl/worksheets/sheet157.xml" ContentType="application/vnd.openxmlformats-officedocument.spreadsheetml.worksheet+xml"/>
  <Override PartName="/xl/worksheets/sheet156.xml" ContentType="application/vnd.openxmlformats-officedocument.spreadsheetml.worksheet+xml"/>
  <Override PartName="/xl/worksheets/sheet155.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slicerCaches/slicerCache13.xml" ContentType="application/vnd.ms-excel.slicerCache+xml"/>
  <Override PartName="/xl/drawings/drawing32.xml" ContentType="application/vnd.openxmlformats-officedocument.drawing+xml"/>
  <Override PartName="/xl/slicerCaches/slicerCache14.xml" ContentType="application/vnd.ms-excel.slicerCach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0.xml" ContentType="application/vnd.openxmlformats-officedocument.drawing+xml"/>
  <Override PartName="/xl/slicers/slicer7.xml" ContentType="application/vnd.ms-excel.slicer+xml"/>
  <Override PartName="/xl/drawings/drawing9.xml" ContentType="application/vnd.openxmlformats-officedocument.drawing+xml"/>
  <Override PartName="/xl/slicerCaches/slicerCache24.xml" ContentType="application/vnd.ms-excel.slicerCach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11.xml" ContentType="application/vnd.openxmlformats-officedocument.drawing+xml"/>
  <Override PartName="/xl/slicers/slicer8.xml" ContentType="application/vnd.ms-excel.slicer+xml"/>
  <Override PartName="/xl/drawings/drawing12.xml" ContentType="application/vnd.openxmlformats-officedocument.drawing+xml"/>
  <Override PartName="/xl/drawings/drawing15.xml" ContentType="application/vnd.openxmlformats-officedocument.drawing+xml"/>
  <Override PartName="/xl/slicers/slicer12.xml" ContentType="application/vnd.ms-excel.slicer+xml"/>
  <Override PartName="/xl/drawings/drawing16.xml" ContentType="application/vnd.openxmlformats-officedocument.drawing+xml"/>
  <Override PartName="/xl/slicers/slicer13.xml" ContentType="application/vnd.ms-excel.slicer+xml"/>
  <Override PartName="/xl/pivotTables/pivotTable11.xml" ContentType="application/vnd.openxmlformats-officedocument.spreadsheetml.pivotTable+xml"/>
  <Override PartName="/xl/drawings/drawing17.xml" ContentType="application/vnd.openxmlformats-officedocument.drawing+xml"/>
  <Override PartName="/xl/pivotTables/pivotTable10.xml" ContentType="application/vnd.openxmlformats-officedocument.spreadsheetml.pivotTable+xml"/>
  <Override PartName="/xl/pivotTables/pivotTable9.xml" ContentType="application/vnd.openxmlformats-officedocument.spreadsheetml.pivotTable+xml"/>
  <Override PartName="/xl/slicers/slicer11.xml" ContentType="application/vnd.ms-excel.slicer+xml"/>
  <Override PartName="/xl/slicers/slicer9.xml" ContentType="application/vnd.ms-excel.slicer+xml"/>
  <Override PartName="/xl/pivotTables/pivotTable8.xml" ContentType="application/vnd.openxmlformats-officedocument.spreadsheetml.pivotTable+xml"/>
  <Override PartName="/xl/drawings/drawing13.xml" ContentType="application/vnd.openxmlformats-officedocument.drawing+xml"/>
  <Override PartName="/xl/slicers/slicer10.xml" ContentType="application/vnd.ms-excel.slicer+xml"/>
  <Override PartName="/xl/drawings/drawing14.xml" ContentType="application/vnd.openxmlformats-officedocument.drawing+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pivotTables/pivotTable1.xml" ContentType="application/vnd.openxmlformats-officedocument.spreadsheetml.pivotTable+xml"/>
  <Override PartName="/xl/slicers/slicer2.xml" ContentType="application/vnd.ms-excel.slicer+xml"/>
  <Override PartName="/xl/slicers/slicer6.xml" ContentType="application/vnd.ms-excel.slicer+xml"/>
  <Override PartName="/xl/drawings/drawing2.xml" ContentType="application/vnd.openxmlformats-officedocument.drawing+xml"/>
  <Override PartName="/xl/slicers/slicer1.xml" ContentType="application/vnd.ms-excel.slicer+xml"/>
  <Override PartName="/xl/drawings/drawing1.xml" ContentType="application/vnd.openxmlformats-officedocument.drawing+xml"/>
  <Override PartName="/xl/drawings/drawing3.xml" ContentType="application/vnd.openxmlformats-officedocument.drawing+xml"/>
  <Override PartName="/xl/slicers/slicer3.xml" ContentType="application/vnd.ms-excel.slicer+xml"/>
  <Override PartName="/xl/drawings/drawing6.xml" ContentType="application/vnd.openxmlformats-officedocument.drawing+xml"/>
  <Override PartName="/xl/drawings/drawing5.xml" ContentType="application/vnd.openxmlformats-officedocument.drawing+xml"/>
  <Override PartName="/xl/pivotTables/pivotTable2.xml" ContentType="application/vnd.openxmlformats-officedocument.spreadsheetml.pivotTable+xml"/>
  <Override PartName="/xl/slicers/slicer4.xml" ContentType="application/vnd.ms-excel.slicer+xml"/>
  <Override PartName="/xl/slicers/slicer5.xml" ContentType="application/vnd.ms-excel.slicer+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slicerCaches/slicerCache31.xml" ContentType="application/vnd.ms-excel.slicerCache+xml"/>
  <Override PartName="/xl/slicerCaches/slicerCache30.xml" ContentType="application/vnd.ms-excel.slicerCache+xml"/>
  <Override PartName="/xl/slicerCaches/slicerCache29.xml" ContentType="application/vnd.ms-excel.slicerCache+xml"/>
  <Override PartName="/xl/drawings/drawing7.xml" ContentType="application/vnd.openxmlformats-officedocument.drawing+xml"/>
  <Override PartName="/xl/slicerCaches/slicerCache28.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9.xml" ContentType="application/vnd.ms-excel.slicerCache+xml"/>
  <Override PartName="/xl/slicerCaches/slicerCache38.xml" ContentType="application/vnd.ms-excel.slicerCache+xml"/>
  <Override PartName="/xl/slicerCaches/slicerCache37.xml" ContentType="application/vnd.ms-excel.slicerCache+xml"/>
  <Override PartName="/xl/slicerCaches/slicerCache36.xml" ContentType="application/vnd.ms-excel.slicerCache+xml"/>
  <Override PartName="/xl/slicerCaches/slicerCache35.xml" ContentType="application/vnd.ms-excel.slicerCache+xml"/>
  <Override PartName="/xl/slicers/slicer14.xml" ContentType="application/vnd.ms-excel.slicer+xml"/>
  <Override PartName="/xl/pivotTables/pivotTable3.xml" ContentType="application/vnd.openxmlformats-officedocument.spreadsheetml.pivotTable+xml"/>
  <Override PartName="/xl/slicers/slicer21.xml" ContentType="application/vnd.ms-excel.slicer+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30.xml" ContentType="application/vnd.openxmlformats-officedocument.drawing+xml"/>
  <Override PartName="/xl/drawings/drawing24.xml" ContentType="application/vnd.openxmlformats-officedocument.drawing+xml"/>
  <Override PartName="/xl/pivotTables/pivotTable14.xml" ContentType="application/vnd.openxmlformats-officedocument.spreadsheetml.pivotTable+xml"/>
  <Override PartName="/xl/slicers/slicer20.xml" ContentType="application/vnd.ms-excel.slicer+xml"/>
  <Override PartName="/xl/drawings/drawing18.xml" ContentType="application/vnd.openxmlformats-officedocument.drawing+xml"/>
  <Override PartName="/xl/slicers/slicer27.xml" ContentType="application/vnd.ms-excel.slicer+xml"/>
  <Override PartName="/xl/slicers/slicer23.xml" ContentType="application/vnd.ms-excel.slicer+xml"/>
  <Override PartName="/xl/pivotTables/pivotTable18.xml" ContentType="application/vnd.openxmlformats-officedocument.spreadsheetml.pivotTable+xml"/>
  <Override PartName="/xl/slicers/slicer26.xml" ContentType="application/vnd.ms-excel.slicer+xml"/>
  <Override PartName="/xl/drawings/drawing29.xml" ContentType="application/vnd.openxmlformats-officedocument.drawing+xml"/>
  <Override PartName="/xl/drawings/drawing27.xml" ContentType="application/vnd.openxmlformats-officedocument.drawing+xml"/>
  <Override PartName="/xl/slicers/slicer24.xml" ContentType="application/vnd.ms-excel.slicer+xml"/>
  <Override PartName="/xl/drawings/drawing26.xml" ContentType="application/vnd.openxmlformats-officedocument.drawing+xml"/>
  <Override PartName="/xl/drawings/drawing25.xml" ContentType="application/vnd.openxmlformats-officedocument.drawing+xml"/>
  <Override PartName="/xl/drawings/drawing28.xml" ContentType="application/vnd.openxmlformats-officedocument.drawing+xml"/>
  <Override PartName="/xl/slicers/slicer25.xml" ContentType="application/vnd.ms-excel.slicer+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23.xml" ContentType="application/vnd.openxmlformats-officedocument.drawing+xml"/>
  <Override PartName="/xl/slicers/slicer22.xml" ContentType="application/vnd.ms-excel.slicer+xml"/>
  <Override PartName="/xl/slicers/slicer18.xml" ContentType="application/vnd.ms-excel.slicer+xml"/>
  <Override PartName="/xl/slicerCaches/slicerCache18.xml" ContentType="application/vnd.ms-excel.slicerCache+xml"/>
  <Override PartName="/xl/slicerCaches/slicerCache23.xml" ContentType="application/vnd.ms-excel.slicerCache+xml"/>
  <Override PartName="/xl/slicers/slicer19.xml" ContentType="application/vnd.ms-excel.slicer+xml"/>
  <Override PartName="/xl/slicers/slicer16.xml" ContentType="application/vnd.ms-excel.slicer+xml"/>
  <Override PartName="/xl/drawings/drawing19.xml" ContentType="application/vnd.openxmlformats-officedocument.drawing+xml"/>
  <Override PartName="/xl/slicers/slicer15.xml" ContentType="application/vnd.ms-excel.slicer+xml"/>
  <Override PartName="/xl/pivotTables/pivotTable13.xml" ContentType="application/vnd.openxmlformats-officedocument.spreadsheetml.pivotTable+xml"/>
  <Override PartName="/xl/slicerCaches/slicerCache17.xml" ContentType="application/vnd.ms-excel.slicerCache+xml"/>
  <Override PartName="/xl/slicerCaches/slicerCache16.xml" ContentType="application/vnd.ms-excel.slicerCache+xml"/>
  <Override PartName="/xl/slicerCaches/slicerCache15.xml" ContentType="application/vnd.ms-excel.slicerCache+xml"/>
  <Override PartName="/xl/slicerCaches/slicerCache22.xml" ContentType="application/vnd.ms-excel.slicerCache+xml"/>
  <Override PartName="/xl/slicers/slicer28.xml" ContentType="application/vnd.ms-excel.slicer+xml"/>
  <Override PartName="/xl/drawings/drawing20.xml" ContentType="application/vnd.openxmlformats-officedocument.drawing+xml"/>
  <Override PartName="/xl/drawings/drawing21.xml" ContentType="application/vnd.openxmlformats-officedocument.drawing+xml"/>
  <Override PartName="/xl/pivotTables/pivotTable12.xml" ContentType="application/vnd.openxmlformats-officedocument.spreadsheetml.pivotTable+xml"/>
  <Override PartName="/xl/slicerCaches/slicerCache21.xml" ContentType="application/vnd.ms-excel.slicerCache+xml"/>
  <Override PartName="/xl/drawings/drawing31.xml" ContentType="application/vnd.openxmlformats-officedocument.drawing+xml"/>
  <Override PartName="/xl/slicers/slicer17.xml" ContentType="application/vnd.ms-excel.slicer+xml"/>
  <Override PartName="/xl/slicerCaches/slicerCache19.xml" ContentType="application/vnd.ms-excel.slicerCache+xml"/>
  <Override PartName="/xl/slicerCaches/slicerCache20.xml" ContentType="application/vnd.ms-excel.slicerCache+xml"/>
  <Override PartName="/xl/drawings/drawing22.xml" ContentType="application/vnd.openxmlformats-officedocument.drawing+xml"/>
  <Override PartName="/xl/tables/table6.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Records40.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7.xml" ContentType="application/vnd.openxmlformats-officedocument.spreadsheetml.pivotCacheDefinition+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2.xml" ContentType="application/vnd.openxmlformats-officedocument.spreadsheetml.pivotCacheRecords+xml"/>
  <Override PartName="/xl/pivotCache/pivotCacheRecords36.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5.xml" ContentType="application/vnd.openxmlformats-officedocument.spreadsheetml.pivotCacheRecords+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1.xml" ContentType="application/vnd.openxmlformats-officedocument.spreadsheetml.pivotCacheDefinition+xml"/>
  <Override PartName="/xl/pivotCache/pivotCacheDefinition5.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4.xml" ContentType="application/vnd.openxmlformats-officedocument.spreadsheetml.pivotCacheDefinition+xml"/>
  <Override PartName="/xl/tables/table1.xml" ContentType="application/vnd.openxmlformats-officedocument.spreadsheetml.table+xml"/>
  <Override PartName="/xl/tables/table2.xml" ContentType="application/vnd.openxmlformats-officedocument.spreadsheetml.table+xml"/>
  <Override PartName="/xl/externalLinks/externalLink1.xml" ContentType="application/vnd.openxmlformats-officedocument.spreadsheetml.externalLink+xml"/>
  <Override PartName="/xl/pivotCache/pivotCacheRecords3.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2.xml" ContentType="application/vnd.openxmlformats-officedocument.spreadsheetml.externalLink+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6.xml" ContentType="application/vnd.openxmlformats-officedocument.spreadsheetml.pivotCacheRecords+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2.xml" ContentType="application/vnd.openxmlformats-officedocument.spreadsheetml.pivotCacheDefinition+xml"/>
  <Override PartName="/xl/pivotCache/pivotCacheDefinition26.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6.xml" ContentType="application/vnd.openxmlformats-officedocument.spreadsheetml.pivotCacheDefinition+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1.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C:\Local_Documents\FSO2020\"/>
    </mc:Choice>
  </mc:AlternateContent>
  <workbookProtection workbookAlgorithmName="SHA-512" workbookHashValue="CM+Q74QqrhJAGYkrtBJlYddqkx+Z3GaFmwaqA/arJvCCdEjumZoorbHRAPfZpUSdv0Q8mPzhHUxuwV1QrE+IBQ==" workbookSaltValue="rmx6ibZEUqDuwuTlSmtFgA==" workbookSpinCount="100000" lockStructure="1"/>
  <bookViews>
    <workbookView xWindow="0" yWindow="0" windowWidth="10215" windowHeight="7230" tabRatio="601"/>
  </bookViews>
  <sheets>
    <sheet name="Information" sheetId="4" r:id="rId1"/>
    <sheet name="Table of Contents" sheetId="99" r:id="rId2"/>
    <sheet name="Structure" sheetId="38" r:id="rId3"/>
    <sheet name="Sheet7" sheetId="129" state="hidden" r:id="rId4"/>
    <sheet name="yrslicer" sheetId="147" state="hidden" r:id="rId5"/>
    <sheet name="Crewing Model" sheetId="100" r:id="rId6"/>
    <sheet name="Crewing Model - Area" sheetId="23" r:id="rId7"/>
    <sheet name="h13" sheetId="77" state="hidden" r:id="rId8"/>
    <sheet name="Primary Crewing" sheetId="22" r:id="rId9"/>
    <sheet name="Primary Crewing - Area" sheetId="101" r:id="rId10"/>
    <sheet name="Crewing Level" sheetId="124" r:id="rId11"/>
    <sheet name="Capabilities" sheetId="114" r:id="rId12"/>
    <sheet name="Chart - Station Type" sheetId="92" r:id="rId13"/>
    <sheet name="Chart - Area" sheetId="103" r:id="rId14"/>
    <sheet name="Chart - Map" sheetId="104" r:id="rId15"/>
    <sheet name="Vehicles" sheetId="24" r:id="rId16"/>
    <sheet name="h14" sheetId="78" state="hidden" r:id="rId17"/>
    <sheet name="h14a" sheetId="86" state="hidden" r:id="rId18"/>
    <sheet name="Appliances LA" sheetId="25" r:id="rId19"/>
    <sheet name="Staffing" sheetId="2" r:id="rId20"/>
    <sheet name="DutySystem" sheetId="115" r:id="rId21"/>
    <sheet name="DutySytem LA" sheetId="125" r:id="rId22"/>
    <sheet name="Sheet8" sheetId="130" state="hidden" r:id="rId23"/>
    <sheet name="Department" sheetId="61" r:id="rId24"/>
    <sheet name="hdep" sheetId="135" state="hidden" r:id="rId25"/>
    <sheet name="Geographic Structure" sheetId="3" r:id="rId26"/>
    <sheet name="h3" sheetId="62" state="hidden" r:id="rId27"/>
    <sheet name="Staff - Small Area" sheetId="7" r:id="rId28"/>
    <sheet name="Role" sheetId="94" r:id="rId29"/>
    <sheet name="Role DutySystem" sheetId="126" r:id="rId30"/>
    <sheet name="hduty" sheetId="131" state="hidden" r:id="rId31"/>
    <sheet name="Role - Area" sheetId="93" r:id="rId32"/>
    <sheet name="h4" sheetId="63" state="hidden" r:id="rId33"/>
    <sheet name="h4b" sheetId="64" state="hidden" r:id="rId34"/>
    <sheet name="WT Role - Area" sheetId="8" r:id="rId35"/>
    <sheet name="RDS Role - Area" sheetId="9" r:id="rId36"/>
    <sheet name="C&amp;S Role - Area" sheetId="10" r:id="rId37"/>
    <sheet name="Vol Role - Area" sheetId="11" r:id="rId38"/>
    <sheet name="h2" sheetId="60" state="hidden" r:id="rId39"/>
    <sheet name="h4cde" sheetId="65" state="hidden" r:id="rId40"/>
    <sheet name="WT FTE Role - Area" sheetId="12" r:id="rId41"/>
    <sheet name="h5a" sheetId="66" state="hidden" r:id="rId42"/>
    <sheet name="RDS FTE Role - Area" sheetId="13" r:id="rId43"/>
    <sheet name="C&amp;S FTE Role - Area" sheetId="14" r:id="rId44"/>
    <sheet name="Gender Timeseries" sheetId="15" r:id="rId45"/>
    <sheet name="Gender" sheetId="17" r:id="rId46"/>
    <sheet name="h5b" sheetId="67" state="hidden" r:id="rId47"/>
    <sheet name="h5cd" sheetId="68" state="hidden" r:id="rId48"/>
    <sheet name="h7" sheetId="69" state="hidden" r:id="rId49"/>
    <sheet name="h8" sheetId="70" state="hidden" r:id="rId50"/>
    <sheet name="Gender and Role" sheetId="16" r:id="rId51"/>
    <sheet name="FTE Gender and Role" sheetId="18" r:id="rId52"/>
    <sheet name="h9" sheetId="71" state="hidden" r:id="rId53"/>
    <sheet name="Age" sheetId="19" r:id="rId54"/>
    <sheet name="h10" sheetId="72" state="hidden" r:id="rId55"/>
    <sheet name="Service Length" sheetId="40" r:id="rId56"/>
    <sheet name="h10c" sheetId="73" state="hidden" r:id="rId57"/>
    <sheet name="Ethnicity" sheetId="20" r:id="rId58"/>
    <sheet name="h11" sheetId="75" state="hidden" r:id="rId59"/>
    <sheet name="Disability" sheetId="21" r:id="rId60"/>
    <sheet name="Entrants - Demographics" sheetId="76" r:id="rId61"/>
    <sheet name="hentrant" sheetId="132" state="hidden" r:id="rId62"/>
    <sheet name="Leavers" sheetId="96" r:id="rId63"/>
    <sheet name="hleavers" sheetId="133" state="hidden" r:id="rId64"/>
    <sheet name="Chart Headcount" sheetId="43" r:id="rId65"/>
    <sheet name="Chart FTE" sheetId="98" r:id="rId66"/>
    <sheet name="Chart Gender" sheetId="44" r:id="rId67"/>
    <sheet name="Chart Age" sheetId="45" r:id="rId68"/>
    <sheet name="Chart ServiceLength" sheetId="123" r:id="rId69"/>
    <sheet name="Attacks" sheetId="26" r:id="rId70"/>
    <sheet name="h15" sheetId="79" state="hidden" r:id="rId71"/>
    <sheet name="Attacks - Area" sheetId="27" r:id="rId72"/>
    <sheet name="h16" sheetId="80" state="hidden" r:id="rId73"/>
    <sheet name="Chart - Attacks" sheetId="48" r:id="rId74"/>
    <sheet name="Chart - Injuries" sheetId="58" r:id="rId75"/>
    <sheet name="Chart - AttacksMap" sheetId="122" r:id="rId76"/>
    <sheet name="HFSVs" sheetId="28" r:id="rId77"/>
    <sheet name="Distinct Properties" sheetId="105" r:id="rId78"/>
    <sheet name="Distinct Propert. Popul." sheetId="106" r:id="rId79"/>
    <sheet name="Residents" sheetId="81" r:id="rId80"/>
    <sheet name="Tenure" sheetId="120" r:id="rId81"/>
    <sheet name="htenure" sheetId="136" state="hidden" r:id="rId82"/>
    <sheet name="SIMD-Visits" sheetId="82" r:id="rId83"/>
    <sheet name="SIMD-Alarms" sheetId="137" r:id="rId84"/>
    <sheet name="SIMD-%Alarm" sheetId="138" r:id="rId85"/>
    <sheet name="hSIMD-Alarms" sheetId="118" state="hidden" r:id="rId86"/>
    <sheet name="Rurality" sheetId="107" r:id="rId87"/>
    <sheet name="HFSVs LA" sheetId="30" r:id="rId88"/>
    <sheet name="Outcome LA" sheetId="31" r:id="rId89"/>
    <sheet name="h19" sheetId="88" state="hidden" r:id="rId90"/>
    <sheet name="Rate LA" sheetId="32" r:id="rId91"/>
    <sheet name="Chart HFSVs" sheetId="50" r:id="rId92"/>
    <sheet name="Chart Alarms" sheetId="109" r:id="rId93"/>
    <sheet name="Chart Residents" sheetId="110" r:id="rId94"/>
    <sheet name="Chart SIMD" sheetId="116" r:id="rId95"/>
    <sheet name="Chart SIMD Alarms" sheetId="140" r:id="rId96"/>
    <sheet name="Chart SIMD AlarmRate" sheetId="141" r:id="rId97"/>
    <sheet name="Chart SIMD OwnerOcc" sheetId="142" r:id="rId98"/>
    <sheet name="Chart SIMD OwnerYears" sheetId="143" r:id="rId99"/>
    <sheet name="Chart Rurality" sheetId="111" r:id="rId100"/>
    <sheet name="Chart LA" sheetId="112" r:id="rId101"/>
    <sheet name="Chart Map" sheetId="144" r:id="rId102"/>
    <sheet name="Chart Alarms Map" sheetId="145" r:id="rId103"/>
    <sheet name="Chart %Install" sheetId="146" r:id="rId104"/>
    <sheet name="Workflows" sheetId="33" r:id="rId105"/>
    <sheet name="Audits" sheetId="113" r:id="rId106"/>
    <sheet name="Audits LA" sheetId="34" r:id="rId107"/>
    <sheet name="h20a" sheetId="83" state="hidden" r:id="rId108"/>
    <sheet name="Audits Outcome" sheetId="35" r:id="rId109"/>
    <sheet name="h21" sheetId="84" state="hidden" r:id="rId110"/>
    <sheet name="Audits Outcome LA" sheetId="36" r:id="rId111"/>
    <sheet name="h22" sheetId="85" state="hidden" r:id="rId112"/>
    <sheet name="Notices" sheetId="42" r:id="rId113"/>
    <sheet name="Risk" sheetId="89" r:id="rId114"/>
    <sheet name="h23" sheetId="90" state="hidden" r:id="rId115"/>
    <sheet name="Chart Workflows" sheetId="54" r:id="rId116"/>
    <sheet name="Chart Audits" sheetId="55" r:id="rId117"/>
    <sheet name="Chart Audit Share" sheetId="134" r:id="rId118"/>
    <sheet name="TRS" sheetId="148" state="hidden" r:id="rId119"/>
    <sheet name="T1" sheetId="149" state="hidden" r:id="rId120"/>
    <sheet name="Tduty" sheetId="150" state="hidden" r:id="rId121"/>
    <sheet name="T2" sheetId="151" state="hidden" r:id="rId122"/>
    <sheet name="T2a" sheetId="152" state="hidden" r:id="rId123"/>
    <sheet name="T2b" sheetId="153" state="hidden" r:id="rId124"/>
    <sheet name="T2U" sheetId="154" state="hidden" r:id="rId125"/>
    <sheet name="csetMth" sheetId="155" state="hidden" r:id="rId126"/>
    <sheet name="T3" sheetId="156" state="hidden" r:id="rId127"/>
    <sheet name="T4a" sheetId="157" state="hidden" r:id="rId128"/>
    <sheet name="T4b" sheetId="158" state="hidden" r:id="rId129"/>
    <sheet name="T4c" sheetId="159" state="hidden" r:id="rId130"/>
    <sheet name="T4d" sheetId="160" state="hidden" r:id="rId131"/>
    <sheet name="T4e" sheetId="161" state="hidden" r:id="rId132"/>
    <sheet name="T5a" sheetId="162" state="hidden" r:id="rId133"/>
    <sheet name="T5b" sheetId="163" state="hidden" r:id="rId134"/>
    <sheet name="T5c" sheetId="164" state="hidden" r:id="rId135"/>
    <sheet name="T5d" sheetId="165" state="hidden" r:id="rId136"/>
    <sheet name="T6" sheetId="166" state="hidden" r:id="rId137"/>
    <sheet name="T7" sheetId="167" state="hidden" r:id="rId138"/>
    <sheet name="T8" sheetId="168" state="hidden" r:id="rId139"/>
    <sheet name="T9" sheetId="169" state="hidden" r:id="rId140"/>
    <sheet name="T10" sheetId="170" state="hidden" r:id="rId141"/>
    <sheet name="T10c" sheetId="171" state="hidden" r:id="rId142"/>
    <sheet name="Tleave" sheetId="172" state="hidden" r:id="rId143"/>
    <sheet name="Tentrant" sheetId="173" state="hidden" r:id="rId144"/>
    <sheet name="T11" sheetId="174" state="hidden" r:id="rId145"/>
    <sheet name="T10cc" sheetId="175" state="hidden" r:id="rId146"/>
    <sheet name="T12" sheetId="176" state="hidden" r:id="rId147"/>
    <sheet name="T13" sheetId="177" state="hidden" r:id="rId148"/>
    <sheet name="T13cm" sheetId="178" state="hidden" r:id="rId149"/>
    <sheet name="T15i" sheetId="179" state="hidden" r:id="rId150"/>
    <sheet name="null" sheetId="180" state="hidden" r:id="rId151"/>
    <sheet name="T14" sheetId="181" state="hidden" r:id="rId152"/>
    <sheet name="T14a" sheetId="182" state="hidden" r:id="rId153"/>
    <sheet name="T14ap" sheetId="183" state="hidden" r:id="rId154"/>
    <sheet name="T15" sheetId="184" state="hidden" r:id="rId155"/>
    <sheet name="T16" sheetId="185" state="hidden" r:id="rId156"/>
    <sheet name="T17" sheetId="186" state="hidden" r:id="rId157"/>
    <sheet name="T17ap" sheetId="187" state="hidden" r:id="rId158"/>
    <sheet name="T17dv" sheetId="188" state="hidden" r:id="rId159"/>
    <sheet name="T19dz" sheetId="189" state="hidden" r:id="rId160"/>
    <sheet name="T20d" sheetId="190" state="hidden" r:id="rId161"/>
    <sheet name="T21n" sheetId="191" state="hidden" r:id="rId162"/>
    <sheet name="T19" sheetId="192" state="hidden" r:id="rId163"/>
    <sheet name="T19c" sheetId="193" state="hidden" r:id="rId164"/>
    <sheet name="T19c2" sheetId="194" state="hidden" r:id="rId165"/>
    <sheet name="T20" sheetId="195" state="hidden" r:id="rId166"/>
    <sheet name="T21" sheetId="196" state="hidden" r:id="rId167"/>
    <sheet name="T21a" sheetId="197" state="hidden" r:id="rId168"/>
    <sheet name="T22" sheetId="198" state="hidden" r:id="rId169"/>
    <sheet name="T22c" sheetId="199" state="hidden" r:id="rId170"/>
    <sheet name="T23" sheetId="200" state="hidden" r:id="rId171"/>
    <sheet name="T23c" sheetId="201" state="hidden" r:id="rId172"/>
  </sheets>
  <externalReferences>
    <externalReference r:id="rId173"/>
    <externalReference r:id="rId174"/>
  </externalReferences>
  <definedNames>
    <definedName name="aa" localSheetId="94">#REF!</definedName>
    <definedName name="aa">#REF!</definedName>
    <definedName name="AllStaffExcVol">'[1]Table 1a and 1b'!$J$10</definedName>
    <definedName name="AllStaffTotal">'[1]Table 1a and 1b'!$H$10</definedName>
    <definedName name="AllStationRankings">'[2]Chart 4d'!$D$5:$D$36</definedName>
    <definedName name="AllStations">'[2]Chart 4d'!$C$5:$C$36</definedName>
    <definedName name="AuditRankings">'[2]Chart 12'!$D$5:$D$36</definedName>
    <definedName name="AuditRates">'[2]Chart 12'!$C$5:$C$36</definedName>
    <definedName name="ControlHeadcount">'[1]Table 1a and 1b'!$D$10</definedName>
    <definedName name="d" localSheetId="94">#REF!</definedName>
    <definedName name="d">#REF!</definedName>
    <definedName name="FiscalYr">'[1]Fiscal Year - Set as Hidden'!$D$5</definedName>
    <definedName name="HFSV">'[2]Chart 10'!$C$5:$C$36</definedName>
    <definedName name="HFSVAbsRankings">'[2]Chart 10'!$D$5:$D$36</definedName>
    <definedName name="PremisesRankings">'[2]Chart 13'!$D$5:$D$19</definedName>
    <definedName name="PremisesRates">'[2]Chart 13'!$C$5:$C$19</definedName>
    <definedName name="_xlnm.Print_Area" localSheetId="25">'Geographic Structure'!$A$3:$J$26</definedName>
    <definedName name="_xlnm.Print_Area" localSheetId="0">Information!$A$1:$L$30</definedName>
    <definedName name="_xlnm.Print_Area" localSheetId="90">'Rate LA'!$B$9:$G$47</definedName>
    <definedName name="_xlnm.Print_Area" localSheetId="19">Staffing!$A$2:$K$65</definedName>
    <definedName name="_xlnm.Print_Titles" localSheetId="125">csetMth!$4:$4</definedName>
    <definedName name="_xlnm.Print_Titles" localSheetId="150">null!$25:$25</definedName>
    <definedName name="_xlnm.Print_Titles" localSheetId="119">'T1'!$15:$15</definedName>
    <definedName name="_xlnm.Print_Titles" localSheetId="140">'T10'!$4:$4</definedName>
    <definedName name="_xlnm.Print_Titles" localSheetId="141">T10c!$4:$4</definedName>
    <definedName name="_xlnm.Print_Titles" localSheetId="145">T10cc!$4:$4</definedName>
    <definedName name="_xlnm.Print_Titles" localSheetId="144">'T11'!$4:$4</definedName>
    <definedName name="_xlnm.Print_Titles" localSheetId="146">'T12'!$4:$4</definedName>
    <definedName name="_xlnm.Print_Titles" localSheetId="147">'T13'!$15:$15</definedName>
    <definedName name="_xlnm.Print_Titles" localSheetId="148">T13cm!$25:$25</definedName>
    <definedName name="_xlnm.Print_Titles" localSheetId="151">'T14'!$75:$75</definedName>
    <definedName name="_xlnm.Print_Titles" localSheetId="152">T14a!$4:$4</definedName>
    <definedName name="_xlnm.Print_Titles" localSheetId="153">T14ap!$4:$4</definedName>
    <definedName name="_xlnm.Print_Titles" localSheetId="154">'T15'!$4:$4</definedName>
    <definedName name="_xlnm.Print_Titles" localSheetId="149">T15i!$4:$4</definedName>
    <definedName name="_xlnm.Print_Titles" localSheetId="155">'T16'!$4:$4</definedName>
    <definedName name="_xlnm.Print_Titles" localSheetId="156">'T17'!$4:$4</definedName>
    <definedName name="_xlnm.Print_Titles" localSheetId="157">T17ap!$4:$4</definedName>
    <definedName name="_xlnm.Print_Titles" localSheetId="158">T17dv!$4:$4</definedName>
    <definedName name="_xlnm.Print_Titles" localSheetId="162">'T19'!$4:$4</definedName>
    <definedName name="_xlnm.Print_Titles" localSheetId="163">T19c!$4:$4</definedName>
    <definedName name="_xlnm.Print_Titles" localSheetId="164">T19c2!$4:$4</definedName>
    <definedName name="_xlnm.Print_Titles" localSheetId="159">T19dz!$30:$30</definedName>
    <definedName name="_xlnm.Print_Titles" localSheetId="121">'T2'!$4:$4</definedName>
    <definedName name="_xlnm.Print_Titles" localSheetId="165">'T20'!$40:$40</definedName>
    <definedName name="_xlnm.Print_Titles" localSheetId="160">T20d!$4:$4</definedName>
    <definedName name="_xlnm.Print_Titles" localSheetId="166">'T21'!$35:$35</definedName>
    <definedName name="_xlnm.Print_Titles" localSheetId="167">T21a!$4:$4</definedName>
    <definedName name="_xlnm.Print_Titles" localSheetId="161">T21n!$4:$4</definedName>
    <definedName name="_xlnm.Print_Titles" localSheetId="168">'T22'!$4:$4</definedName>
    <definedName name="_xlnm.Print_Titles" localSheetId="169">T22c!$4:$4</definedName>
    <definedName name="_xlnm.Print_Titles" localSheetId="170">'T23'!$4:$4</definedName>
    <definedName name="_xlnm.Print_Titles" localSheetId="171">T23c!$4:$4</definedName>
    <definedName name="_xlnm.Print_Titles" localSheetId="122">T2a!$4:$4</definedName>
    <definedName name="_xlnm.Print_Titles" localSheetId="123">T2b!$4:$4</definedName>
    <definedName name="_xlnm.Print_Titles" localSheetId="124">T2U!$4:$4</definedName>
    <definedName name="_xlnm.Print_Titles" localSheetId="126">'T3'!$4:$4</definedName>
    <definedName name="_xlnm.Print_Titles" localSheetId="127">T4a!$4:$4</definedName>
    <definedName name="_xlnm.Print_Titles" localSheetId="128">T4b!$4:$4</definedName>
    <definedName name="_xlnm.Print_Titles" localSheetId="129">T4c!$4:$4</definedName>
    <definedName name="_xlnm.Print_Titles" localSheetId="130">T4d!$4:$4</definedName>
    <definedName name="_xlnm.Print_Titles" localSheetId="131">T4e!$4:$4</definedName>
    <definedName name="_xlnm.Print_Titles" localSheetId="132">T5a!$4:$4</definedName>
    <definedName name="_xlnm.Print_Titles" localSheetId="133">T5b!$4:$4</definedName>
    <definedName name="_xlnm.Print_Titles" localSheetId="134">T5c!$4:$4</definedName>
    <definedName name="_xlnm.Print_Titles" localSheetId="135">T5d!$4:$4</definedName>
    <definedName name="_xlnm.Print_Titles" localSheetId="136">'T6'!$4:$4</definedName>
    <definedName name="_xlnm.Print_Titles" localSheetId="137">'T7'!$4:$4</definedName>
    <definedName name="_xlnm.Print_Titles" localSheetId="138">'T8'!$4:$4</definedName>
    <definedName name="_xlnm.Print_Titles" localSheetId="139">'T9'!$4:$4</definedName>
    <definedName name="_xlnm.Print_Titles" localSheetId="120">Tduty!$4:$4</definedName>
    <definedName name="_xlnm.Print_Titles" localSheetId="143">Tentrant!$150:$150</definedName>
    <definedName name="_xlnm.Print_Titles" localSheetId="142">Tleave!$4:$4</definedName>
    <definedName name="_xlnm.Print_Titles" localSheetId="118">TRS!$4:$4</definedName>
    <definedName name="RDSHeadcount">'[1]Table 1a and 1b'!$C$10</definedName>
    <definedName name="RDSStationRankings">'[2]Chart 4b'!$D$5:$D$36</definedName>
    <definedName name="RDSStations">'[2]Chart 4b'!$C$5:$C$36</definedName>
    <definedName name="Slicer_FinYear">#N/A</definedName>
    <definedName name="Slicer_FinYear1">#N/A</definedName>
    <definedName name="Slicer_FinYear2">#N/A</definedName>
    <definedName name="Slicer_FinYear3">#N/A</definedName>
    <definedName name="Slicer_FinYear4">#N/A</definedName>
    <definedName name="Slicer_FinYear41">#N/A</definedName>
    <definedName name="Slicer_FinYear5">#N/A</definedName>
    <definedName name="Slicer_FinYear6">#N/A</definedName>
    <definedName name="Slicer_FinYr">#N/A</definedName>
    <definedName name="Slicer_FinYr1">#N/A</definedName>
    <definedName name="Slicer_FinYr10">#N/A</definedName>
    <definedName name="Slicer_FinYr11">#N/A</definedName>
    <definedName name="Slicer_FinYr12">#N/A</definedName>
    <definedName name="Slicer_FinYr13">#N/A</definedName>
    <definedName name="Slicer_FinYr14">#N/A</definedName>
    <definedName name="Slicer_FinYr15">#N/A</definedName>
    <definedName name="Slicer_FinYr2">#N/A</definedName>
    <definedName name="Slicer_FinYr3">#N/A</definedName>
    <definedName name="Slicer_FinYr4">#N/A</definedName>
    <definedName name="Slicer_FinYr5">#N/A</definedName>
    <definedName name="Slicer_FinYr6">#N/A</definedName>
    <definedName name="Slicer_FinYr7">#N/A</definedName>
    <definedName name="Slicer_FinYr8">#N/A</definedName>
    <definedName name="Slicer_FinYr9">#N/A</definedName>
    <definedName name="Slicer_FisYr">#N/A</definedName>
    <definedName name="Slicer_FisYr1">#N/A</definedName>
    <definedName name="Slicer_FisYr10">#N/A</definedName>
    <definedName name="Slicer_FisYr11">#N/A</definedName>
    <definedName name="Slicer_FisYr12">#N/A</definedName>
    <definedName name="Slicer_FisYr13">#N/A</definedName>
    <definedName name="Slicer_FisYr14">#N/A</definedName>
    <definedName name="Slicer_FisYr15">#N/A</definedName>
    <definedName name="Slicer_FisYr16">#N/A</definedName>
    <definedName name="Slicer_FisYr17">#N/A</definedName>
    <definedName name="Slicer_FisYr18">#N/A</definedName>
    <definedName name="Slicer_FisYr2">#N/A</definedName>
    <definedName name="Slicer_FisYr3">#N/A</definedName>
    <definedName name="Slicer_FisYr4">#N/A</definedName>
    <definedName name="Slicer_FisYr5">#N/A</definedName>
    <definedName name="Slicer_FisYr6">#N/A</definedName>
    <definedName name="Slicer_FisYr7">#N/A</definedName>
    <definedName name="Slicer_FisYr8">#N/A</definedName>
    <definedName name="Slicer_FisYr9">#N/A</definedName>
    <definedName name="Slicer_lvl">#N/A</definedName>
    <definedName name="SupportHeadcount">'[1]Table 1a and 1b'!$E$10</definedName>
    <definedName name="VolStationRankings">'[2]Chart 4c'!$D$5:$D$36</definedName>
    <definedName name="VolStations">'[2]Chart 4c'!$C$5:$C$36</definedName>
    <definedName name="VolunteerHeadcount">'[1]Table 1a and 1b'!$F$10</definedName>
    <definedName name="WTOperational">'[1]Table 1a and 1b'!$B$10</definedName>
    <definedName name="WTStationRankings">'[2]Chart 4a'!$D$5:$D$36</definedName>
    <definedName name="WTStations">'[2]Chart 4a'!$C$5:$C$36</definedName>
    <definedName name="x" localSheetId="94">#REF!</definedName>
    <definedName name="x">#REF!</definedName>
    <definedName name="z" localSheetId="94">#REF!</definedName>
    <definedName name="z">#REF!</definedName>
  </definedNames>
  <calcPr calcId="171027"/>
  <pivotCaches>
    <pivotCache cacheId="354" r:id="rId175"/>
    <pivotCache cacheId="355" r:id="rId176"/>
    <pivotCache cacheId="356" r:id="rId177"/>
    <pivotCache cacheId="357" r:id="rId178"/>
    <pivotCache cacheId="358" r:id="rId179"/>
    <pivotCache cacheId="359" r:id="rId180"/>
    <pivotCache cacheId="360" r:id="rId181"/>
    <pivotCache cacheId="361" r:id="rId182"/>
    <pivotCache cacheId="362" r:id="rId183"/>
    <pivotCache cacheId="363" r:id="rId184"/>
    <pivotCache cacheId="364" r:id="rId185"/>
    <pivotCache cacheId="365" r:id="rId186"/>
    <pivotCache cacheId="366" r:id="rId187"/>
    <pivotCache cacheId="367" r:id="rId188"/>
    <pivotCache cacheId="368" r:id="rId189"/>
    <pivotCache cacheId="369" r:id="rId190"/>
    <pivotCache cacheId="370" r:id="rId191"/>
    <pivotCache cacheId="371" r:id="rId192"/>
    <pivotCache cacheId="372" r:id="rId193"/>
    <pivotCache cacheId="373" r:id="rId194"/>
    <pivotCache cacheId="374" r:id="rId195"/>
    <pivotCache cacheId="375" r:id="rId196"/>
    <pivotCache cacheId="376" r:id="rId197"/>
    <pivotCache cacheId="377" r:id="rId198"/>
    <pivotCache cacheId="378" r:id="rId199"/>
    <pivotCache cacheId="379" r:id="rId200"/>
    <pivotCache cacheId="380" r:id="rId201"/>
    <pivotCache cacheId="381" r:id="rId202"/>
    <pivotCache cacheId="382" r:id="rId203"/>
    <pivotCache cacheId="383" r:id="rId204"/>
    <pivotCache cacheId="384" r:id="rId205"/>
    <pivotCache cacheId="385" r:id="rId206"/>
    <pivotCache cacheId="386" r:id="rId207"/>
    <pivotCache cacheId="387" r:id="rId208"/>
    <pivotCache cacheId="388" r:id="rId209"/>
    <pivotCache cacheId="389" r:id="rId210"/>
    <pivotCache cacheId="390" r:id="rId211"/>
    <pivotCache cacheId="391" r:id="rId212"/>
    <pivotCache cacheId="392" r:id="rId213"/>
    <pivotCache cacheId="393" r:id="rId214"/>
    <pivotCache cacheId="394" r:id="rId215"/>
    <pivotCache cacheId="395" r:id="rId216"/>
    <pivotCache cacheId="396" r:id="rId217"/>
    <pivotCache cacheId="397" r:id="rId218"/>
    <pivotCache cacheId="398" r:id="rId219"/>
  </pivotCaches>
  <extLst>
    <ext xmlns:x14="http://schemas.microsoft.com/office/spreadsheetml/2009/9/main" uri="{BBE1A952-AA13-448e-AADC-164F8A28A991}">
      <x14:slicerCaches>
        <x14:slicerCache r:id="rId220"/>
        <x14:slicerCache r:id="rId221"/>
        <x14:slicerCache r:id="rId222"/>
        <x14:slicerCache r:id="rId223"/>
        <x14:slicerCache r:id="rId224"/>
        <x14:slicerCache r:id="rId225"/>
        <x14:slicerCache r:id="rId226"/>
        <x14:slicerCache r:id="rId227"/>
        <x14:slicerCache r:id="rId228"/>
        <x14:slicerCache r:id="rId229"/>
        <x14:slicerCache r:id="rId230"/>
        <x14:slicerCache r:id="rId231"/>
        <x14:slicerCache r:id="rId232"/>
        <x14:slicerCache r:id="rId233"/>
        <x14:slicerCache r:id="rId234"/>
        <x14:slicerCache r:id="rId235"/>
        <x14:slicerCache r:id="rId236"/>
        <x14:slicerCache r:id="rId237"/>
        <x14:slicerCache r:id="rId238"/>
        <x14:slicerCache r:id="rId239"/>
        <x14:slicerCache r:id="rId240"/>
        <x14:slicerCache r:id="rId241"/>
        <x14:slicerCache r:id="rId242"/>
        <x14:slicerCache r:id="rId243"/>
        <x14:slicerCache r:id="rId244"/>
        <x14:slicerCache r:id="rId245"/>
        <x14:slicerCache r:id="rId246"/>
        <x14:slicerCache r:id="rId247"/>
        <x14:slicerCache r:id="rId248"/>
        <x14:slicerCache r:id="rId249"/>
        <x14:slicerCache r:id="rId250"/>
        <x14:slicerCache r:id="rId251"/>
        <x14:slicerCache r:id="rId252"/>
        <x14:slicerCache r:id="rId253"/>
        <x14:slicerCache r:id="rId254"/>
        <x14:slicerCache r:id="rId255"/>
        <x14:slicerCache r:id="rId256"/>
        <x14:slicerCache r:id="rId257"/>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58"/>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77" l="1"/>
  <c r="A10" i="23" s="1"/>
  <c r="A26" i="23" s="1"/>
  <c r="D45" i="86"/>
  <c r="D7" i="25" s="1"/>
  <c r="A24" i="25" s="1"/>
  <c r="C3" i="147"/>
  <c r="D7" i="38" s="1"/>
  <c r="E14" i="38" s="1"/>
  <c r="A31" i="25" l="1"/>
  <c r="A33" i="23"/>
  <c r="E22" i="38"/>
  <c r="A23" i="38"/>
  <c r="C23" i="38"/>
  <c r="A30" i="38"/>
  <c r="C30" i="38"/>
  <c r="E38" i="38"/>
  <c r="I42" i="36"/>
  <c r="D1" i="85"/>
  <c r="A10" i="36" s="1"/>
  <c r="O14" i="36" s="1"/>
  <c r="D15" i="33"/>
  <c r="A18" i="21"/>
  <c r="A17" i="21"/>
  <c r="I19" i="20"/>
  <c r="J19" i="20"/>
  <c r="H19" i="20"/>
  <c r="G19" i="20"/>
  <c r="A19" i="20"/>
  <c r="A18" i="20"/>
  <c r="B18" i="20"/>
  <c r="C18" i="20"/>
  <c r="D18" i="20"/>
  <c r="E18" i="20"/>
  <c r="F18" i="20"/>
  <c r="G18" i="20"/>
  <c r="K18" i="20"/>
  <c r="L18" i="20"/>
  <c r="M18" i="20"/>
  <c r="N18" i="20"/>
  <c r="O18" i="20"/>
  <c r="P18" i="20"/>
  <c r="Q18" i="20"/>
  <c r="R18" i="20"/>
  <c r="S18" i="20"/>
  <c r="T18" i="20"/>
  <c r="U18" i="20"/>
  <c r="V18" i="20"/>
  <c r="W18" i="20"/>
  <c r="X18" i="20"/>
  <c r="Y18" i="20"/>
  <c r="B19" i="20"/>
  <c r="C19" i="20"/>
  <c r="D19" i="20"/>
  <c r="E19" i="20"/>
  <c r="F19" i="20"/>
  <c r="K19" i="20"/>
  <c r="L19" i="20"/>
  <c r="M19" i="20"/>
  <c r="N19" i="20"/>
  <c r="O19" i="20"/>
  <c r="P19" i="20"/>
  <c r="Q19" i="20"/>
  <c r="R19" i="20"/>
  <c r="S19" i="20"/>
  <c r="T19" i="20"/>
  <c r="U19" i="20"/>
  <c r="V19" i="20"/>
  <c r="W19" i="20"/>
  <c r="X19" i="20"/>
  <c r="Y19" i="20"/>
  <c r="H71" i="76"/>
  <c r="D54" i="76"/>
  <c r="E71" i="76"/>
  <c r="C72" i="76"/>
  <c r="E9" i="12"/>
  <c r="E72" i="76"/>
  <c r="B71" i="76"/>
  <c r="D9" i="12"/>
  <c r="G72" i="76"/>
  <c r="C70" i="76"/>
  <c r="C71" i="76"/>
  <c r="H70" i="76"/>
  <c r="D70" i="76"/>
  <c r="D55" i="76"/>
  <c r="I9" i="12"/>
  <c r="H72" i="76"/>
  <c r="F70" i="76"/>
  <c r="F72" i="76"/>
  <c r="G71" i="76"/>
  <c r="E70" i="76"/>
  <c r="D38" i="76"/>
  <c r="B72" i="76"/>
  <c r="D72" i="76"/>
  <c r="B70" i="76"/>
  <c r="D56" i="76"/>
  <c r="G70" i="76"/>
  <c r="G9" i="12"/>
  <c r="C9" i="12"/>
  <c r="F71" i="76"/>
  <c r="H9" i="12"/>
  <c r="D71" i="76"/>
  <c r="F9" i="12"/>
  <c r="N37" i="36" l="1"/>
  <c r="N29" i="36"/>
  <c r="N22" i="36"/>
  <c r="O41" i="36"/>
  <c r="O33" i="36"/>
  <c r="N14" i="36"/>
  <c r="N38" i="36"/>
  <c r="O25" i="36"/>
  <c r="O17" i="36"/>
  <c r="N30" i="36"/>
  <c r="N21" i="36"/>
  <c r="N13" i="36"/>
  <c r="O40" i="36"/>
  <c r="O32" i="36"/>
  <c r="O24" i="36"/>
  <c r="N42" i="36"/>
  <c r="N34" i="36"/>
  <c r="N26" i="36"/>
  <c r="N18" i="36"/>
  <c r="O12" i="36"/>
  <c r="O37" i="36"/>
  <c r="O29" i="36"/>
  <c r="O21" i="36"/>
  <c r="O13" i="36"/>
  <c r="N41" i="36"/>
  <c r="N33" i="36"/>
  <c r="N25" i="36"/>
  <c r="N17" i="36"/>
  <c r="O44" i="36"/>
  <c r="O36" i="36"/>
  <c r="O28" i="36"/>
  <c r="O20" i="36"/>
  <c r="N40" i="36"/>
  <c r="N32" i="36"/>
  <c r="N24" i="36"/>
  <c r="N16" i="36"/>
  <c r="O43" i="36"/>
  <c r="O35" i="36"/>
  <c r="O27" i="36"/>
  <c r="O19" i="36"/>
  <c r="N39" i="36"/>
  <c r="N31" i="36"/>
  <c r="N23" i="36"/>
  <c r="N15" i="36"/>
  <c r="O42" i="36"/>
  <c r="O34" i="36"/>
  <c r="O26" i="36"/>
  <c r="O18" i="36"/>
  <c r="O16" i="36"/>
  <c r="N36" i="36"/>
  <c r="N28" i="36"/>
  <c r="N20" i="36"/>
  <c r="N44" i="36"/>
  <c r="O39" i="36"/>
  <c r="O31" i="36"/>
  <c r="O23" i="36"/>
  <c r="O15" i="36"/>
  <c r="N43" i="36"/>
  <c r="N35" i="36"/>
  <c r="N27" i="36"/>
  <c r="N19" i="36"/>
  <c r="N12" i="36"/>
  <c r="O38" i="36"/>
  <c r="O30" i="36"/>
  <c r="O22" i="36"/>
  <c r="B32" i="138" l="1"/>
  <c r="C32" i="138"/>
  <c r="D32" i="138"/>
  <c r="E32" i="138"/>
  <c r="F32" i="138"/>
  <c r="B33" i="138"/>
  <c r="C33" i="138"/>
  <c r="D33" i="138"/>
  <c r="E33" i="138"/>
  <c r="F33" i="138"/>
  <c r="B34" i="138"/>
  <c r="C34" i="138"/>
  <c r="D34" i="138"/>
  <c r="E34" i="138"/>
  <c r="F34" i="138"/>
  <c r="B35" i="138"/>
  <c r="C35" i="138"/>
  <c r="D35" i="138"/>
  <c r="E35" i="138"/>
  <c r="F35" i="138"/>
  <c r="B36" i="138"/>
  <c r="C36" i="138"/>
  <c r="D36" i="138"/>
  <c r="E36" i="138"/>
  <c r="F36" i="138"/>
  <c r="C31" i="138"/>
  <c r="D31" i="138"/>
  <c r="E31" i="138"/>
  <c r="F31" i="138"/>
  <c r="B31" i="138"/>
  <c r="C12" i="138"/>
  <c r="D12" i="138"/>
  <c r="E12" i="138"/>
  <c r="F12" i="138"/>
  <c r="C13" i="138"/>
  <c r="D13" i="138"/>
  <c r="E13" i="138"/>
  <c r="F13" i="138"/>
  <c r="C14" i="138"/>
  <c r="D14" i="138"/>
  <c r="E14" i="138"/>
  <c r="F14" i="138"/>
  <c r="C15" i="138"/>
  <c r="D15" i="138"/>
  <c r="E15" i="138"/>
  <c r="F15" i="138"/>
  <c r="C16" i="138"/>
  <c r="D16" i="138"/>
  <c r="E16" i="138"/>
  <c r="F16" i="138"/>
  <c r="C17" i="138"/>
  <c r="D17" i="138"/>
  <c r="E17" i="138"/>
  <c r="F17" i="138"/>
  <c r="B13" i="138"/>
  <c r="B14" i="138"/>
  <c r="B15" i="138"/>
  <c r="B16" i="138"/>
  <c r="B17" i="138"/>
  <c r="B12" i="138"/>
  <c r="A36" i="138"/>
  <c r="A35" i="138"/>
  <c r="A34" i="138"/>
  <c r="A33" i="138"/>
  <c r="A32" i="138"/>
  <c r="A31" i="138"/>
  <c r="A17" i="138"/>
  <c r="A16" i="138"/>
  <c r="A15" i="138"/>
  <c r="A14" i="138"/>
  <c r="A13" i="138"/>
  <c r="A12" i="138"/>
  <c r="H37" i="118"/>
  <c r="C31" i="137"/>
  <c r="D31" i="137"/>
  <c r="E31" i="137"/>
  <c r="F31" i="137"/>
  <c r="C32" i="137"/>
  <c r="D32" i="137"/>
  <c r="E32" i="137"/>
  <c r="F32" i="137"/>
  <c r="C33" i="137"/>
  <c r="D33" i="137"/>
  <c r="E33" i="137"/>
  <c r="F33" i="137"/>
  <c r="C34" i="137"/>
  <c r="D34" i="137"/>
  <c r="E34" i="137"/>
  <c r="F34" i="137"/>
  <c r="C35" i="137"/>
  <c r="D35" i="137"/>
  <c r="E35" i="137"/>
  <c r="F35" i="137"/>
  <c r="C36" i="137"/>
  <c r="D36" i="137"/>
  <c r="E36" i="137"/>
  <c r="F36" i="137"/>
  <c r="B32" i="137"/>
  <c r="B33" i="137"/>
  <c r="B34" i="137"/>
  <c r="B35" i="137"/>
  <c r="B36" i="137"/>
  <c r="B31" i="137"/>
  <c r="C12" i="137"/>
  <c r="D12" i="137"/>
  <c r="E12" i="137"/>
  <c r="F12" i="137"/>
  <c r="C13" i="137"/>
  <c r="D13" i="137"/>
  <c r="E13" i="137"/>
  <c r="F13" i="137"/>
  <c r="C14" i="137"/>
  <c r="D14" i="137"/>
  <c r="E14" i="137"/>
  <c r="F14" i="137"/>
  <c r="C15" i="137"/>
  <c r="D15" i="137"/>
  <c r="E15" i="137"/>
  <c r="F15" i="137"/>
  <c r="C16" i="137"/>
  <c r="D16" i="137"/>
  <c r="E16" i="137"/>
  <c r="F16" i="137"/>
  <c r="C17" i="137"/>
  <c r="D17" i="137"/>
  <c r="E17" i="137"/>
  <c r="F17" i="137"/>
  <c r="B13" i="137"/>
  <c r="B14" i="137"/>
  <c r="B15" i="137"/>
  <c r="B16" i="137"/>
  <c r="B17" i="137"/>
  <c r="B12" i="137"/>
  <c r="A36" i="137"/>
  <c r="A35" i="137"/>
  <c r="A34" i="137"/>
  <c r="A33" i="137"/>
  <c r="A32" i="137"/>
  <c r="A31" i="137"/>
  <c r="A17" i="137"/>
  <c r="A16" i="137"/>
  <c r="A15" i="137"/>
  <c r="A14" i="137"/>
  <c r="A13" i="137"/>
  <c r="A12" i="137"/>
  <c r="A34" i="82"/>
  <c r="B34" i="82"/>
  <c r="C34" i="82"/>
  <c r="D34" i="82"/>
  <c r="E34" i="82"/>
  <c r="F34" i="82"/>
  <c r="G34" i="82"/>
  <c r="A35" i="82"/>
  <c r="B35" i="82"/>
  <c r="C35" i="82"/>
  <c r="D35" i="82"/>
  <c r="E35" i="82"/>
  <c r="F35" i="82"/>
  <c r="G35" i="82"/>
  <c r="A11" i="120"/>
  <c r="A12" i="120"/>
  <c r="A13" i="120"/>
  <c r="A14" i="120"/>
  <c r="A15" i="120"/>
  <c r="A16" i="120"/>
  <c r="B11" i="120"/>
  <c r="C11" i="120"/>
  <c r="D11" i="120"/>
  <c r="E11" i="120"/>
  <c r="K11" i="120" s="1"/>
  <c r="F11" i="120"/>
  <c r="B12" i="120"/>
  <c r="C12" i="120"/>
  <c r="D12" i="120"/>
  <c r="E12" i="120"/>
  <c r="F12" i="120"/>
  <c r="B13" i="120"/>
  <c r="C13" i="120"/>
  <c r="D13" i="120"/>
  <c r="E13" i="120"/>
  <c r="F13" i="120"/>
  <c r="B14" i="120"/>
  <c r="C14" i="120"/>
  <c r="D14" i="120"/>
  <c r="E14" i="120"/>
  <c r="K14" i="120" s="1"/>
  <c r="F14" i="120"/>
  <c r="B15" i="120"/>
  <c r="C15" i="120"/>
  <c r="D15" i="120"/>
  <c r="E15" i="120"/>
  <c r="F15" i="120"/>
  <c r="B16" i="120"/>
  <c r="C16" i="120"/>
  <c r="D16" i="120"/>
  <c r="E16" i="120"/>
  <c r="F16" i="120"/>
  <c r="B17" i="120"/>
  <c r="H16" i="120" s="1"/>
  <c r="C17" i="120"/>
  <c r="D17" i="120"/>
  <c r="E17" i="120"/>
  <c r="F17" i="120"/>
  <c r="C10" i="120"/>
  <c r="I10" i="120" s="1"/>
  <c r="D10" i="120"/>
  <c r="J10" i="120" s="1"/>
  <c r="E10" i="120"/>
  <c r="K10" i="120" s="1"/>
  <c r="F10" i="120"/>
  <c r="L10" i="120" s="1"/>
  <c r="B10" i="120"/>
  <c r="H10" i="120" s="1"/>
  <c r="K16" i="120" l="1"/>
  <c r="L14" i="120"/>
  <c r="I11" i="120"/>
  <c r="L12" i="120"/>
  <c r="L13" i="120"/>
  <c r="L16" i="120"/>
  <c r="L11" i="120"/>
  <c r="J14" i="120"/>
  <c r="L15" i="120"/>
  <c r="K12" i="120"/>
  <c r="H11" i="120"/>
  <c r="I16" i="120"/>
  <c r="K15" i="120"/>
  <c r="H14" i="120"/>
  <c r="J12" i="120"/>
  <c r="I15" i="120"/>
  <c r="K13" i="120"/>
  <c r="H12" i="120"/>
  <c r="J15" i="120"/>
  <c r="H15" i="120"/>
  <c r="I13" i="120"/>
  <c r="J11" i="120"/>
  <c r="I12" i="120"/>
  <c r="J13" i="120"/>
  <c r="J16" i="120"/>
  <c r="I14" i="120"/>
  <c r="G13" i="137"/>
  <c r="G16" i="137"/>
  <c r="G14" i="137"/>
  <c r="G12" i="137"/>
  <c r="G17" i="137"/>
  <c r="G15" i="137"/>
  <c r="H13" i="120"/>
  <c r="A72" i="76" l="1"/>
  <c r="A71" i="76"/>
  <c r="A70" i="76"/>
  <c r="A39" i="76"/>
  <c r="A38" i="76"/>
  <c r="D23" i="132"/>
  <c r="A36" i="76" s="1"/>
  <c r="D43" i="132"/>
  <c r="A11" i="76" s="1"/>
  <c r="A39" i="61"/>
  <c r="A40" i="61"/>
  <c r="A41" i="61"/>
  <c r="A42" i="61"/>
  <c r="A43" i="61"/>
  <c r="A44" i="61"/>
  <c r="A45" i="61"/>
  <c r="A46" i="61"/>
  <c r="A47" i="61"/>
  <c r="A48" i="61"/>
  <c r="A49" i="61"/>
  <c r="A50" i="61"/>
  <c r="A51" i="61"/>
  <c r="A38" i="61"/>
  <c r="A24" i="61"/>
  <c r="A12" i="61"/>
  <c r="A13" i="61"/>
  <c r="A14" i="61"/>
  <c r="A15" i="61"/>
  <c r="A16" i="61"/>
  <c r="A17" i="61"/>
  <c r="A18" i="61"/>
  <c r="A19" i="61"/>
  <c r="A20" i="61"/>
  <c r="A21" i="61"/>
  <c r="A22" i="61"/>
  <c r="A23" i="61"/>
  <c r="A11" i="61"/>
  <c r="D1" i="135"/>
  <c r="D27" i="135"/>
  <c r="G16" i="96"/>
  <c r="B16" i="61"/>
  <c r="C13" i="96"/>
  <c r="D16" i="61"/>
  <c r="C21" i="76"/>
  <c r="G23" i="61"/>
  <c r="B17" i="76"/>
  <c r="C19" i="96"/>
  <c r="B21" i="76"/>
  <c r="E17" i="96"/>
  <c r="B50" i="61"/>
  <c r="B14" i="96"/>
  <c r="G54" i="76"/>
  <c r="E55" i="76"/>
  <c r="B41" i="61"/>
  <c r="E38" i="76"/>
  <c r="G17" i="96"/>
  <c r="D39" i="76"/>
  <c r="C19" i="76"/>
  <c r="D51" i="61"/>
  <c r="F15" i="76"/>
  <c r="F16" i="96"/>
  <c r="C11" i="61"/>
  <c r="F50" i="61"/>
  <c r="F15" i="96"/>
  <c r="E20" i="96"/>
  <c r="E14" i="76"/>
  <c r="E24" i="61"/>
  <c r="B22" i="96"/>
  <c r="F18" i="96"/>
  <c r="F16" i="61"/>
  <c r="B20" i="76"/>
  <c r="E19" i="96"/>
  <c r="C45" i="61"/>
  <c r="D22" i="76"/>
  <c r="D50" i="61"/>
  <c r="D15" i="96"/>
  <c r="B21" i="96"/>
  <c r="F17" i="96"/>
  <c r="C50" i="61"/>
  <c r="D14" i="76"/>
  <c r="D46" i="61"/>
  <c r="G55" i="76"/>
  <c r="E49" i="61"/>
  <c r="C18" i="76"/>
  <c r="B19" i="76"/>
  <c r="F20" i="76"/>
  <c r="E16" i="96"/>
  <c r="F14" i="76"/>
  <c r="B23" i="96"/>
  <c r="E13" i="76"/>
  <c r="G15" i="96"/>
  <c r="H55" i="76"/>
  <c r="E22" i="96"/>
  <c r="D21" i="96"/>
  <c r="G18" i="96"/>
  <c r="B43" i="61"/>
  <c r="D20" i="61"/>
  <c r="G21" i="96"/>
  <c r="G16" i="61"/>
  <c r="G19" i="96"/>
  <c r="E39" i="76"/>
  <c r="F46" i="61"/>
  <c r="E21" i="76"/>
  <c r="C20" i="76"/>
  <c r="C17" i="96"/>
  <c r="C21" i="96"/>
  <c r="G13" i="96"/>
  <c r="F22" i="76"/>
  <c r="D17" i="96"/>
  <c r="D20" i="76"/>
  <c r="F55" i="76"/>
  <c r="B13" i="96"/>
  <c r="B55" i="76"/>
  <c r="E18" i="96"/>
  <c r="E18" i="76"/>
  <c r="B16" i="76"/>
  <c r="E23" i="61"/>
  <c r="C14" i="96"/>
  <c r="B18" i="96"/>
  <c r="E51" i="61"/>
  <c r="G22" i="96"/>
  <c r="F49" i="61"/>
  <c r="E50" i="61"/>
  <c r="C13" i="76"/>
  <c r="C56" i="76"/>
  <c r="D16" i="76"/>
  <c r="B15" i="61"/>
  <c r="H56" i="76"/>
  <c r="D13" i="76"/>
  <c r="F18" i="76"/>
  <c r="E14" i="96"/>
  <c r="F13" i="76"/>
  <c r="E20" i="76"/>
  <c r="C23" i="76"/>
  <c r="F23" i="61"/>
  <c r="C55" i="76"/>
  <c r="G20" i="96"/>
  <c r="F23" i="96"/>
  <c r="F19" i="61"/>
  <c r="E11" i="61"/>
  <c r="F38" i="76"/>
  <c r="D13" i="96"/>
  <c r="G23" i="96"/>
  <c r="B13" i="76"/>
  <c r="F14" i="96"/>
  <c r="E23" i="96"/>
  <c r="E22" i="76"/>
  <c r="D21" i="76"/>
  <c r="C18" i="96"/>
  <c r="D20" i="96"/>
  <c r="C44" i="61"/>
  <c r="F23" i="76"/>
  <c r="E17" i="76"/>
  <c r="F21" i="76"/>
  <c r="D44" i="61"/>
  <c r="G12" i="61"/>
  <c r="C54" i="76"/>
  <c r="D19" i="76"/>
  <c r="D22" i="96"/>
  <c r="E56" i="76"/>
  <c r="E15" i="76"/>
  <c r="F19" i="96"/>
  <c r="C40" i="61"/>
  <c r="H54" i="76"/>
  <c r="B44" i="61"/>
  <c r="E15" i="61"/>
  <c r="E16" i="76"/>
  <c r="D43" i="61"/>
  <c r="B54" i="76"/>
  <c r="B22" i="76"/>
  <c r="C38" i="76"/>
  <c r="C22" i="76"/>
  <c r="E13" i="96"/>
  <c r="D18" i="96"/>
  <c r="F38" i="61"/>
  <c r="E23" i="76"/>
  <c r="F21" i="96"/>
  <c r="D17" i="76"/>
  <c r="E21" i="96"/>
  <c r="F39" i="76"/>
  <c r="G14" i="96"/>
  <c r="C14" i="76"/>
  <c r="F22" i="96"/>
  <c r="B56" i="76"/>
  <c r="D23" i="96"/>
  <c r="C16" i="76"/>
  <c r="E42" i="61"/>
  <c r="G19" i="61"/>
  <c r="F20" i="96"/>
  <c r="B23" i="76"/>
  <c r="C22" i="96"/>
  <c r="F54" i="76"/>
  <c r="E16" i="61"/>
  <c r="D19" i="96"/>
  <c r="E15" i="96"/>
  <c r="D14" i="96"/>
  <c r="G56" i="76"/>
  <c r="F17" i="76"/>
  <c r="B15" i="76"/>
  <c r="B51" i="61"/>
  <c r="B19" i="96"/>
  <c r="F19" i="76"/>
  <c r="F11" i="61"/>
  <c r="C15" i="96"/>
  <c r="C20" i="96"/>
  <c r="B15" i="96"/>
  <c r="D18" i="76"/>
  <c r="D23" i="76"/>
  <c r="C15" i="76"/>
  <c r="D11" i="61"/>
  <c r="B17" i="96"/>
  <c r="D16" i="96"/>
  <c r="D15" i="61"/>
  <c r="C23" i="96"/>
  <c r="F16" i="76"/>
  <c r="F12" i="61"/>
  <c r="B14" i="76"/>
  <c r="E44" i="61"/>
  <c r="B16" i="96"/>
  <c r="C17" i="61"/>
  <c r="B38" i="76"/>
  <c r="B18" i="76"/>
  <c r="E19" i="76"/>
  <c r="F56" i="76"/>
  <c r="C39" i="76"/>
  <c r="C16" i="96"/>
  <c r="F13" i="96"/>
  <c r="E54" i="76"/>
  <c r="B39" i="76"/>
  <c r="E12" i="61"/>
  <c r="C17" i="76"/>
  <c r="E14" i="61"/>
  <c r="G11" i="61"/>
  <c r="B20" i="96"/>
  <c r="D15" i="76"/>
  <c r="E43" i="61"/>
  <c r="E48" i="61"/>
  <c r="F14" i="61"/>
  <c r="F22" i="61"/>
  <c r="C18" i="61"/>
  <c r="B12" i="61"/>
  <c r="E47" i="61"/>
  <c r="D21" i="61"/>
  <c r="E17" i="61"/>
  <c r="B38" i="61"/>
  <c r="C20" i="61"/>
  <c r="D13" i="61"/>
  <c r="F44" i="61"/>
  <c r="D39" i="61"/>
  <c r="G44" i="61" l="1"/>
  <c r="G50" i="61"/>
  <c r="G39" i="76"/>
  <c r="G38" i="76"/>
  <c r="G13" i="76"/>
  <c r="B24" i="76"/>
  <c r="G20" i="76"/>
  <c r="G17" i="76"/>
  <c r="G23" i="76"/>
  <c r="G15" i="76"/>
  <c r="G14" i="76"/>
  <c r="G21" i="76"/>
  <c r="G16" i="76"/>
  <c r="G22" i="76"/>
  <c r="G18" i="76"/>
  <c r="G19" i="76"/>
  <c r="D2" i="83"/>
  <c r="G8" i="34" s="1"/>
  <c r="G15" i="33"/>
  <c r="G10" i="33"/>
  <c r="F11" i="33"/>
  <c r="F12" i="33"/>
  <c r="F13" i="33"/>
  <c r="F14" i="33"/>
  <c r="F15" i="33"/>
  <c r="F10" i="33"/>
  <c r="D11" i="33"/>
  <c r="D12" i="33"/>
  <c r="D13" i="33"/>
  <c r="D14" i="33"/>
  <c r="D10" i="33"/>
  <c r="C10" i="33"/>
  <c r="C11" i="33"/>
  <c r="C12" i="33"/>
  <c r="C13" i="33"/>
  <c r="C14" i="33"/>
  <c r="C15" i="33"/>
  <c r="E15" i="33"/>
  <c r="E14" i="33"/>
  <c r="E13" i="33"/>
  <c r="E12" i="33"/>
  <c r="E11" i="33"/>
  <c r="E10" i="33"/>
  <c r="G11" i="33"/>
  <c r="G12" i="33"/>
  <c r="G13" i="33"/>
  <c r="G14" i="33"/>
  <c r="D47" i="7"/>
  <c r="F47" i="7"/>
  <c r="H47" i="7"/>
  <c r="D48" i="7"/>
  <c r="F48" i="7"/>
  <c r="H48" i="7"/>
  <c r="D49" i="7"/>
  <c r="F49" i="7"/>
  <c r="H49" i="7"/>
  <c r="D50" i="7"/>
  <c r="F50" i="7"/>
  <c r="H50" i="7"/>
  <c r="D51" i="7"/>
  <c r="F51" i="7"/>
  <c r="H51" i="7"/>
  <c r="D52" i="7"/>
  <c r="F52" i="7"/>
  <c r="H52" i="7"/>
  <c r="D53" i="7"/>
  <c r="F53" i="7"/>
  <c r="H53" i="7"/>
  <c r="D54" i="7"/>
  <c r="F54" i="7"/>
  <c r="H54" i="7"/>
  <c r="D55" i="7"/>
  <c r="F55" i="7"/>
  <c r="H55" i="7"/>
  <c r="D56" i="7"/>
  <c r="F56" i="7"/>
  <c r="H56" i="7"/>
  <c r="D57" i="7"/>
  <c r="F57" i="7"/>
  <c r="H57" i="7"/>
  <c r="D58" i="7"/>
  <c r="F58" i="7"/>
  <c r="H58" i="7"/>
  <c r="D59" i="7"/>
  <c r="F59" i="7"/>
  <c r="H59" i="7"/>
  <c r="D60" i="7"/>
  <c r="F60" i="7"/>
  <c r="H60" i="7"/>
  <c r="D61" i="7"/>
  <c r="F61" i="7"/>
  <c r="H61" i="7"/>
  <c r="D62" i="7"/>
  <c r="F62" i="7"/>
  <c r="H62" i="7"/>
  <c r="D63" i="7"/>
  <c r="F63" i="7"/>
  <c r="H63" i="7"/>
  <c r="D13" i="7"/>
  <c r="E13" i="7"/>
  <c r="F13" i="7"/>
  <c r="G13" i="7"/>
  <c r="H13" i="7"/>
  <c r="D14" i="7"/>
  <c r="E14" i="7"/>
  <c r="F14" i="7"/>
  <c r="G14" i="7"/>
  <c r="H14" i="7"/>
  <c r="D15" i="7"/>
  <c r="E15" i="7"/>
  <c r="F15" i="7"/>
  <c r="G15" i="7"/>
  <c r="H15" i="7"/>
  <c r="D16" i="7"/>
  <c r="E16" i="7"/>
  <c r="F16" i="7"/>
  <c r="G16" i="7"/>
  <c r="H16" i="7"/>
  <c r="D17" i="7"/>
  <c r="E17" i="7"/>
  <c r="F17" i="7"/>
  <c r="G17" i="7"/>
  <c r="H17" i="7"/>
  <c r="D18" i="7"/>
  <c r="E18" i="7"/>
  <c r="F18" i="7"/>
  <c r="G18" i="7"/>
  <c r="H18" i="7"/>
  <c r="D19" i="7"/>
  <c r="E19" i="7"/>
  <c r="F19" i="7"/>
  <c r="G19" i="7"/>
  <c r="H19" i="7"/>
  <c r="D20" i="7"/>
  <c r="E20" i="7"/>
  <c r="F20" i="7"/>
  <c r="G20" i="7"/>
  <c r="H20" i="7"/>
  <c r="D21" i="7"/>
  <c r="E21" i="7"/>
  <c r="F21" i="7"/>
  <c r="G21" i="7"/>
  <c r="H21" i="7"/>
  <c r="D22" i="7"/>
  <c r="E22" i="7"/>
  <c r="F22" i="7"/>
  <c r="G22" i="7"/>
  <c r="H22" i="7"/>
  <c r="D23" i="7"/>
  <c r="E23" i="7"/>
  <c r="F23" i="7"/>
  <c r="G23" i="7"/>
  <c r="H23" i="7"/>
  <c r="D24" i="7"/>
  <c r="E24" i="7"/>
  <c r="F24" i="7"/>
  <c r="G24" i="7"/>
  <c r="H24" i="7"/>
  <c r="D25" i="7"/>
  <c r="E25" i="7"/>
  <c r="F25" i="7"/>
  <c r="G25" i="7"/>
  <c r="H25" i="7"/>
  <c r="D26" i="7"/>
  <c r="E26" i="7"/>
  <c r="F26" i="7"/>
  <c r="G26" i="7"/>
  <c r="H26" i="7"/>
  <c r="D27" i="7"/>
  <c r="E27" i="7"/>
  <c r="F27" i="7"/>
  <c r="G27" i="7"/>
  <c r="H27" i="7"/>
  <c r="D28" i="7"/>
  <c r="E28" i="7"/>
  <c r="F28" i="7"/>
  <c r="G28" i="7"/>
  <c r="H28" i="7"/>
  <c r="D29" i="7"/>
  <c r="E29" i="7"/>
  <c r="F29" i="7"/>
  <c r="G29" i="7"/>
  <c r="H29" i="7"/>
  <c r="D30" i="7"/>
  <c r="E30" i="7"/>
  <c r="F30" i="7"/>
  <c r="G30" i="7"/>
  <c r="H30" i="7"/>
  <c r="D31" i="7"/>
  <c r="E31" i="7"/>
  <c r="F31" i="7"/>
  <c r="G31" i="7"/>
  <c r="H31" i="7"/>
  <c r="D32" i="7"/>
  <c r="E32" i="7"/>
  <c r="F32" i="7"/>
  <c r="G32" i="7"/>
  <c r="H32" i="7"/>
  <c r="D33" i="7"/>
  <c r="E33" i="7"/>
  <c r="F33" i="7"/>
  <c r="G33" i="7"/>
  <c r="H33" i="7"/>
  <c r="D34" i="7"/>
  <c r="E34" i="7"/>
  <c r="F34" i="7"/>
  <c r="G34" i="7"/>
  <c r="H34" i="7"/>
  <c r="D35" i="7"/>
  <c r="E35" i="7"/>
  <c r="F35" i="7"/>
  <c r="G35" i="7"/>
  <c r="H35" i="7"/>
  <c r="D36" i="7"/>
  <c r="E36" i="7"/>
  <c r="F36" i="7"/>
  <c r="G36" i="7"/>
  <c r="H36" i="7"/>
  <c r="D37" i="7"/>
  <c r="E37" i="7"/>
  <c r="F37" i="7"/>
  <c r="G37" i="7"/>
  <c r="H37" i="7"/>
  <c r="D38" i="7"/>
  <c r="E38" i="7"/>
  <c r="F38" i="7"/>
  <c r="G38" i="7"/>
  <c r="H38" i="7"/>
  <c r="D39" i="7"/>
  <c r="E39" i="7"/>
  <c r="F39" i="7"/>
  <c r="G39" i="7"/>
  <c r="H39" i="7"/>
  <c r="D40" i="7"/>
  <c r="E40" i="7"/>
  <c r="F40" i="7"/>
  <c r="G40" i="7"/>
  <c r="H40" i="7"/>
  <c r="D41" i="7"/>
  <c r="E41" i="7"/>
  <c r="F41" i="7"/>
  <c r="G41" i="7"/>
  <c r="H41" i="7"/>
  <c r="D42" i="7"/>
  <c r="E42" i="7"/>
  <c r="F42" i="7"/>
  <c r="G42" i="7"/>
  <c r="H42" i="7"/>
  <c r="D43" i="7"/>
  <c r="E43" i="7"/>
  <c r="F43" i="7"/>
  <c r="G43" i="7"/>
  <c r="H43" i="7"/>
  <c r="E12" i="7"/>
  <c r="F12" i="7"/>
  <c r="G12" i="7"/>
  <c r="H12" i="7"/>
  <c r="E22" i="61"/>
  <c r="D12" i="61"/>
  <c r="G14" i="61"/>
  <c r="C12" i="61"/>
  <c r="F48" i="61"/>
  <c r="C48" i="61"/>
  <c r="E20" i="61"/>
  <c r="H12" i="61" l="1"/>
  <c r="G44" i="7"/>
  <c r="H44" i="7"/>
  <c r="F44" i="7"/>
  <c r="C3" i="77"/>
  <c r="A11" i="96" l="1"/>
  <c r="A37" i="76"/>
  <c r="D13" i="132"/>
  <c r="A52" i="76" s="1"/>
  <c r="D1" i="132"/>
  <c r="A69" i="76" s="1"/>
  <c r="D18" i="21"/>
  <c r="D1" i="131"/>
  <c r="A11" i="126" s="1"/>
  <c r="E47" i="7"/>
  <c r="F41" i="61"/>
  <c r="C54" i="7"/>
  <c r="C15" i="34"/>
  <c r="F15" i="126"/>
  <c r="G20" i="34"/>
  <c r="G35" i="34"/>
  <c r="K21" i="34"/>
  <c r="C40" i="34"/>
  <c r="J33" i="34"/>
  <c r="I23" i="34"/>
  <c r="F74" i="125"/>
  <c r="C20" i="34"/>
  <c r="C61" i="125"/>
  <c r="F55" i="125"/>
  <c r="C19" i="34"/>
  <c r="G52" i="7"/>
  <c r="P26" i="34"/>
  <c r="Q30" i="34"/>
  <c r="D58" i="125"/>
  <c r="C52" i="125"/>
  <c r="I26" i="34"/>
  <c r="H15" i="34"/>
  <c r="B42" i="61"/>
  <c r="O39" i="34"/>
  <c r="F43" i="61"/>
  <c r="C24" i="125"/>
  <c r="C60" i="7"/>
  <c r="C23" i="34"/>
  <c r="F26" i="34"/>
  <c r="I35" i="34"/>
  <c r="G16" i="34"/>
  <c r="D65" i="125"/>
  <c r="N24" i="34"/>
  <c r="F39" i="61"/>
  <c r="M32" i="34"/>
  <c r="F15" i="34"/>
  <c r="G55" i="7"/>
  <c r="F35" i="34"/>
  <c r="G24" i="34"/>
  <c r="M40" i="34"/>
  <c r="G49" i="7"/>
  <c r="P12" i="34"/>
  <c r="H11" i="34"/>
  <c r="J16" i="34"/>
  <c r="D29" i="34"/>
  <c r="J25" i="34"/>
  <c r="E51" i="7"/>
  <c r="C30" i="125"/>
  <c r="G21" i="34"/>
  <c r="N23" i="34"/>
  <c r="N34" i="34"/>
  <c r="C43" i="9"/>
  <c r="E10" i="34"/>
  <c r="C33" i="34"/>
  <c r="D41" i="61"/>
  <c r="F51" i="125"/>
  <c r="C61" i="7"/>
  <c r="N31" i="34"/>
  <c r="D14" i="125"/>
  <c r="M16" i="34"/>
  <c r="F24" i="61"/>
  <c r="H33" i="34"/>
  <c r="L34" i="34"/>
  <c r="Q24" i="34"/>
  <c r="C27" i="125"/>
  <c r="G39" i="34"/>
  <c r="C35" i="34"/>
  <c r="F21" i="61"/>
  <c r="H40" i="34"/>
  <c r="G32" i="34"/>
  <c r="H14" i="126"/>
  <c r="I31" i="34"/>
  <c r="C52" i="7"/>
  <c r="C41" i="34"/>
  <c r="K22" i="34"/>
  <c r="O28" i="34"/>
  <c r="C22" i="61"/>
  <c r="I38" i="34"/>
  <c r="C49" i="7"/>
  <c r="H17" i="34"/>
  <c r="N15" i="34"/>
  <c r="O15" i="34"/>
  <c r="K34" i="34"/>
  <c r="N14" i="34"/>
  <c r="H16" i="34"/>
  <c r="O23" i="34"/>
  <c r="Q27" i="34"/>
  <c r="D10" i="34"/>
  <c r="L19" i="34"/>
  <c r="E23" i="34"/>
  <c r="J35" i="34"/>
  <c r="P11" i="34"/>
  <c r="G13" i="34"/>
  <c r="J13" i="34"/>
  <c r="E55" i="125"/>
  <c r="C33" i="125"/>
  <c r="C69" i="7"/>
  <c r="O27" i="34"/>
  <c r="F70" i="12"/>
  <c r="C14" i="61"/>
  <c r="F17" i="34"/>
  <c r="P18" i="34"/>
  <c r="K29" i="34"/>
  <c r="L37" i="34"/>
  <c r="M29" i="34"/>
  <c r="F41" i="34"/>
  <c r="C56" i="125"/>
  <c r="C38" i="61"/>
  <c r="C51" i="125"/>
  <c r="F54" i="125"/>
  <c r="M30" i="34"/>
  <c r="Q39" i="34"/>
  <c r="P33" i="34"/>
  <c r="C23" i="125"/>
  <c r="B24" i="61"/>
  <c r="N22" i="34"/>
  <c r="G20" i="61"/>
  <c r="E54" i="7"/>
  <c r="G25" i="34"/>
  <c r="L24" i="34"/>
  <c r="I15" i="34"/>
  <c r="J10" i="34"/>
  <c r="P16" i="34"/>
  <c r="G17" i="34"/>
  <c r="C62" i="125"/>
  <c r="E69" i="7"/>
  <c r="L40" i="34"/>
  <c r="I37" i="34"/>
  <c r="L33" i="34"/>
  <c r="D52" i="125"/>
  <c r="D38" i="61"/>
  <c r="M36" i="34"/>
  <c r="H34" i="34"/>
  <c r="H44" i="12"/>
  <c r="E31" i="34"/>
  <c r="N26" i="34"/>
  <c r="E63" i="125"/>
  <c r="C19" i="125"/>
  <c r="N35" i="34"/>
  <c r="C38" i="34"/>
  <c r="E67" i="7"/>
  <c r="I39" i="34"/>
  <c r="G28" i="34"/>
  <c r="N29" i="34"/>
  <c r="C29" i="125"/>
  <c r="J29" i="34"/>
  <c r="C14" i="34"/>
  <c r="H36" i="34"/>
  <c r="I30" i="34"/>
  <c r="B47" i="61"/>
  <c r="I13" i="34"/>
  <c r="G10" i="34"/>
  <c r="F60" i="125"/>
  <c r="C15" i="61"/>
  <c r="E70" i="125"/>
  <c r="C51" i="7"/>
  <c r="O26" i="34"/>
  <c r="G22" i="34"/>
  <c r="C31" i="34"/>
  <c r="D30" i="34"/>
  <c r="L20" i="34"/>
  <c r="B18" i="61"/>
  <c r="O41" i="34"/>
  <c r="D32" i="34"/>
  <c r="O30" i="34"/>
  <c r="C13" i="61"/>
  <c r="L27" i="34"/>
  <c r="Q26" i="34"/>
  <c r="C21" i="34"/>
  <c r="C34" i="34"/>
  <c r="H27" i="34"/>
  <c r="O13" i="34"/>
  <c r="G18" i="34"/>
  <c r="L16" i="34"/>
  <c r="P23" i="34"/>
  <c r="G13" i="61"/>
  <c r="O32" i="34"/>
  <c r="L11" i="34"/>
  <c r="E64" i="12"/>
  <c r="I33" i="34"/>
  <c r="C58" i="7"/>
  <c r="L41" i="34"/>
  <c r="F24" i="34"/>
  <c r="C37" i="125"/>
  <c r="H18" i="34"/>
  <c r="F25" i="34"/>
  <c r="E60" i="7"/>
  <c r="B46" i="61"/>
  <c r="E50" i="125"/>
  <c r="E51" i="125"/>
  <c r="C10" i="34"/>
  <c r="E15" i="34"/>
  <c r="O17" i="34"/>
  <c r="N32" i="34"/>
  <c r="D19" i="61"/>
  <c r="J12" i="34"/>
  <c r="E25" i="34"/>
  <c r="D69" i="125"/>
  <c r="G21" i="61"/>
  <c r="H70" i="12"/>
  <c r="P40" i="34"/>
  <c r="E41" i="61"/>
  <c r="C13" i="126"/>
  <c r="P27" i="34"/>
  <c r="F47" i="61"/>
  <c r="G53" i="7"/>
  <c r="C16" i="61"/>
  <c r="M20" i="34"/>
  <c r="Q32" i="34"/>
  <c r="F49" i="125"/>
  <c r="G27" i="34"/>
  <c r="H31" i="34"/>
  <c r="F70" i="125"/>
  <c r="F69" i="7"/>
  <c r="M11" i="34"/>
  <c r="C22" i="34"/>
  <c r="D22" i="34"/>
  <c r="C16" i="125"/>
  <c r="G40" i="34"/>
  <c r="M17" i="34"/>
  <c r="C45" i="125"/>
  <c r="E52" i="7"/>
  <c r="H37" i="34"/>
  <c r="C56" i="7"/>
  <c r="E63" i="7"/>
  <c r="E34" i="34"/>
  <c r="C51" i="61"/>
  <c r="F67" i="7"/>
  <c r="O35" i="34"/>
  <c r="F51" i="61"/>
  <c r="E54" i="125"/>
  <c r="E21" i="34"/>
  <c r="H24" i="34"/>
  <c r="F61" i="125"/>
  <c r="Q22" i="34"/>
  <c r="G67" i="7"/>
  <c r="N18" i="34"/>
  <c r="H67" i="7"/>
  <c r="M22" i="34"/>
  <c r="I64" i="12"/>
  <c r="F21" i="34"/>
  <c r="J15" i="34"/>
  <c r="P39" i="34"/>
  <c r="C43" i="61"/>
  <c r="D15" i="34"/>
  <c r="I28" i="34"/>
  <c r="E56" i="7"/>
  <c r="O24" i="34"/>
  <c r="I34" i="34"/>
  <c r="E41" i="34"/>
  <c r="N10" i="34"/>
  <c r="K16" i="34"/>
  <c r="D50" i="125"/>
  <c r="Q33" i="34"/>
  <c r="G47" i="7"/>
  <c r="G24" i="61"/>
  <c r="E24" i="34"/>
  <c r="D19" i="34"/>
  <c r="C21" i="61"/>
  <c r="H13" i="34"/>
  <c r="C12" i="34"/>
  <c r="D49" i="61"/>
  <c r="F58" i="125"/>
  <c r="B13" i="61"/>
  <c r="F37" i="34"/>
  <c r="G37" i="34"/>
  <c r="N39" i="34"/>
  <c r="F45" i="61"/>
  <c r="E61" i="7"/>
  <c r="F14" i="126"/>
  <c r="E36" i="34"/>
  <c r="M35" i="34"/>
  <c r="D69" i="7"/>
  <c r="C57" i="125"/>
  <c r="E16" i="34"/>
  <c r="D16" i="34"/>
  <c r="N17" i="34"/>
  <c r="D25" i="34"/>
  <c r="Q40" i="34"/>
  <c r="H15" i="126"/>
  <c r="Q13" i="34"/>
  <c r="P41" i="34"/>
  <c r="I41" i="34"/>
  <c r="F17" i="61"/>
  <c r="C50" i="7"/>
  <c r="D73" i="7"/>
  <c r="C19" i="61"/>
  <c r="C17" i="125"/>
  <c r="D11" i="34"/>
  <c r="F14" i="34"/>
  <c r="P31" i="34"/>
  <c r="D31" i="34"/>
  <c r="C41" i="61"/>
  <c r="O19" i="34"/>
  <c r="H69" i="7"/>
  <c r="E48" i="7"/>
  <c r="L15" i="34"/>
  <c r="B14" i="61"/>
  <c r="C40" i="125"/>
  <c r="G31" i="34"/>
  <c r="C47" i="61"/>
  <c r="L22" i="34"/>
  <c r="G36" i="34"/>
  <c r="G54" i="7"/>
  <c r="C54" i="125"/>
  <c r="K31" i="34"/>
  <c r="E20" i="34"/>
  <c r="G30" i="34"/>
  <c r="D42" i="125"/>
  <c r="F38" i="34"/>
  <c r="K37" i="34"/>
  <c r="D64" i="12"/>
  <c r="J24" i="34"/>
  <c r="P13" i="34"/>
  <c r="E39" i="61"/>
  <c r="M28" i="34"/>
  <c r="G56" i="7"/>
  <c r="K27" i="34"/>
  <c r="N36" i="34"/>
  <c r="D67" i="7"/>
  <c r="E40" i="61"/>
  <c r="F65" i="125"/>
  <c r="C28" i="34"/>
  <c r="G11" i="34"/>
  <c r="D48" i="61"/>
  <c r="D33" i="34"/>
  <c r="G60" i="7"/>
  <c r="D63" i="125"/>
  <c r="Q41" i="34"/>
  <c r="L23" i="34"/>
  <c r="L39" i="34"/>
  <c r="K35" i="34"/>
  <c r="E18" i="34"/>
  <c r="L10" i="34"/>
  <c r="I14" i="34"/>
  <c r="H28" i="34"/>
  <c r="D41" i="34"/>
  <c r="F39" i="34"/>
  <c r="C23" i="61"/>
  <c r="H64" i="12"/>
  <c r="G18" i="61"/>
  <c r="M33" i="34"/>
  <c r="H22" i="34"/>
  <c r="K14" i="34"/>
  <c r="K18" i="34"/>
  <c r="Q18" i="34"/>
  <c r="M34" i="34"/>
  <c r="N13" i="34"/>
  <c r="E73" i="7"/>
  <c r="G73" i="7"/>
  <c r="E33" i="34"/>
  <c r="B17" i="61"/>
  <c r="O40" i="34"/>
  <c r="Q19" i="34"/>
  <c r="C43" i="125"/>
  <c r="M14" i="34"/>
  <c r="J21" i="34"/>
  <c r="K41" i="34"/>
  <c r="G12" i="34"/>
  <c r="G62" i="7"/>
  <c r="K24" i="34"/>
  <c r="M24" i="34"/>
  <c r="F36" i="34"/>
  <c r="D40" i="34"/>
  <c r="N21" i="34"/>
  <c r="F16" i="34"/>
  <c r="E53" i="125"/>
  <c r="E29" i="34"/>
  <c r="O16" i="34"/>
  <c r="F33" i="34"/>
  <c r="E13" i="34"/>
  <c r="C36" i="125"/>
  <c r="G26" i="34"/>
  <c r="P29" i="34"/>
  <c r="F19" i="34"/>
  <c r="I20" i="34"/>
  <c r="B22" i="61"/>
  <c r="F71" i="125"/>
  <c r="H39" i="34"/>
  <c r="N37" i="34"/>
  <c r="C21" i="125"/>
  <c r="P25" i="34"/>
  <c r="D26" i="34"/>
  <c r="K39" i="34"/>
  <c r="Q20" i="34"/>
  <c r="Q36" i="34"/>
  <c r="D39" i="34"/>
  <c r="Q14" i="34"/>
  <c r="H20" i="34"/>
  <c r="J17" i="34"/>
  <c r="C55" i="7"/>
  <c r="C35" i="125"/>
  <c r="M38" i="34"/>
  <c r="N12" i="34"/>
  <c r="D17" i="61"/>
  <c r="D37" i="34"/>
  <c r="B23" i="61"/>
  <c r="C38" i="125"/>
  <c r="B40" i="61"/>
  <c r="H32" i="34"/>
  <c r="L14" i="34"/>
  <c r="C39" i="125"/>
  <c r="I10" i="34"/>
  <c r="J22" i="34"/>
  <c r="C18" i="125"/>
  <c r="B19" i="61"/>
  <c r="G50" i="7"/>
  <c r="E56" i="125"/>
  <c r="P30" i="34"/>
  <c r="H29" i="34"/>
  <c r="I32" i="34"/>
  <c r="E18" i="61"/>
  <c r="K25" i="34"/>
  <c r="C14" i="125"/>
  <c r="Q11" i="34"/>
  <c r="F29" i="34"/>
  <c r="I21" i="34"/>
  <c r="O18" i="34"/>
  <c r="D17" i="34"/>
  <c r="M25" i="34"/>
  <c r="N20" i="34"/>
  <c r="G15" i="126"/>
  <c r="E13" i="61"/>
  <c r="P28" i="34"/>
  <c r="D70" i="12"/>
  <c r="F50" i="125"/>
  <c r="G63" i="7"/>
  <c r="O22" i="34"/>
  <c r="M12" i="34"/>
  <c r="D13" i="34"/>
  <c r="P15" i="34"/>
  <c r="L25" i="34"/>
  <c r="Q23" i="34"/>
  <c r="M23" i="34"/>
  <c r="Q38" i="34"/>
  <c r="D57" i="125"/>
  <c r="K10" i="34"/>
  <c r="J27" i="34"/>
  <c r="O31" i="34"/>
  <c r="F73" i="7"/>
  <c r="B20" i="61"/>
  <c r="C26" i="34"/>
  <c r="E21" i="61"/>
  <c r="D14" i="61"/>
  <c r="G15" i="34"/>
  <c r="K40" i="34"/>
  <c r="F64" i="12"/>
  <c r="K32" i="34"/>
  <c r="N28" i="34"/>
  <c r="C47" i="8"/>
  <c r="H12" i="34"/>
  <c r="P17" i="34"/>
  <c r="P32" i="34"/>
  <c r="K17" i="34"/>
  <c r="P22" i="34"/>
  <c r="H38" i="34"/>
  <c r="M15" i="34"/>
  <c r="K20" i="34"/>
  <c r="E17" i="34"/>
  <c r="G64" i="12"/>
  <c r="D23" i="61"/>
  <c r="L12" i="34"/>
  <c r="D24" i="61"/>
  <c r="I29" i="34"/>
  <c r="L28" i="34"/>
  <c r="H19" i="34"/>
  <c r="B45" i="61"/>
  <c r="O20" i="34"/>
  <c r="E70" i="12"/>
  <c r="H35" i="34"/>
  <c r="N11" i="34"/>
  <c r="D18" i="34"/>
  <c r="O21" i="34"/>
  <c r="E19" i="61"/>
  <c r="F40" i="34"/>
  <c r="I22" i="34"/>
  <c r="F27" i="34"/>
  <c r="N41" i="34"/>
  <c r="C39" i="34"/>
  <c r="F62" i="125"/>
  <c r="N25" i="34"/>
  <c r="N38" i="34"/>
  <c r="I25" i="34"/>
  <c r="B21" i="61"/>
  <c r="C30" i="34"/>
  <c r="C73" i="7"/>
  <c r="D53" i="125"/>
  <c r="G61" i="7"/>
  <c r="J31" i="34"/>
  <c r="P34" i="34"/>
  <c r="M39" i="34"/>
  <c r="G14" i="34"/>
  <c r="F32" i="34"/>
  <c r="E74" i="125"/>
  <c r="F30" i="34"/>
  <c r="L30" i="34"/>
  <c r="J23" i="34"/>
  <c r="L38" i="34"/>
  <c r="E53" i="7"/>
  <c r="M10" i="34"/>
  <c r="D28" i="34"/>
  <c r="D27" i="34"/>
  <c r="J14" i="34"/>
  <c r="O25" i="34"/>
  <c r="F22" i="34"/>
  <c r="C41" i="125"/>
  <c r="F20" i="34"/>
  <c r="C32" i="34"/>
  <c r="G51" i="7"/>
  <c r="D18" i="61"/>
  <c r="J18" i="34"/>
  <c r="O14" i="34"/>
  <c r="M41" i="34"/>
  <c r="H41" i="34"/>
  <c r="M27" i="34"/>
  <c r="E62" i="125"/>
  <c r="M18" i="34"/>
  <c r="F53" i="125"/>
  <c r="D42" i="61"/>
  <c r="N19" i="34"/>
  <c r="F57" i="125"/>
  <c r="D56" i="125"/>
  <c r="J39" i="34"/>
  <c r="D54" i="125"/>
  <c r="E22" i="34"/>
  <c r="N33" i="34"/>
  <c r="M31" i="34"/>
  <c r="K36" i="34"/>
  <c r="F68" i="7"/>
  <c r="J30" i="34"/>
  <c r="E59" i="7"/>
  <c r="P38" i="34"/>
  <c r="C18" i="34"/>
  <c r="C42" i="61"/>
  <c r="O12" i="34"/>
  <c r="L26" i="34"/>
  <c r="C17" i="34"/>
  <c r="O37" i="34"/>
  <c r="H68" i="7"/>
  <c r="G48" i="7"/>
  <c r="H30" i="34"/>
  <c r="D21" i="34"/>
  <c r="F23" i="34"/>
  <c r="B48" i="61"/>
  <c r="I12" i="34"/>
  <c r="C53" i="7"/>
  <c r="G14" i="126"/>
  <c r="F34" i="34"/>
  <c r="K28" i="34"/>
  <c r="G59" i="7"/>
  <c r="L13" i="34"/>
  <c r="B39" i="61"/>
  <c r="E68" i="7"/>
  <c r="C16" i="34"/>
  <c r="N40" i="34"/>
  <c r="P36" i="34"/>
  <c r="I18" i="34"/>
  <c r="J40" i="34"/>
  <c r="D34" i="34"/>
  <c r="M19" i="34"/>
  <c r="C39" i="61"/>
  <c r="E60" i="125"/>
  <c r="F11" i="34"/>
  <c r="F13" i="34"/>
  <c r="I27" i="34"/>
  <c r="F20" i="61"/>
  <c r="L32" i="34"/>
  <c r="I44" i="12"/>
  <c r="K23" i="34"/>
  <c r="E11" i="34"/>
  <c r="D13" i="126"/>
  <c r="E28" i="34"/>
  <c r="B13" i="126"/>
  <c r="E65" i="125"/>
  <c r="J41" i="34"/>
  <c r="O11" i="34"/>
  <c r="N27" i="34"/>
  <c r="E49" i="125"/>
  <c r="C53" i="125"/>
  <c r="C22" i="125"/>
  <c r="C50" i="125"/>
  <c r="P20" i="34"/>
  <c r="F63" i="125"/>
  <c r="C44" i="125"/>
  <c r="D47" i="61"/>
  <c r="K30" i="34"/>
  <c r="K11" i="34"/>
  <c r="D36" i="34"/>
  <c r="I16" i="34"/>
  <c r="P37" i="34"/>
  <c r="Q12" i="34"/>
  <c r="J11" i="34"/>
  <c r="L31" i="34"/>
  <c r="N30" i="34"/>
  <c r="G41" i="34"/>
  <c r="F42" i="61"/>
  <c r="I36" i="34"/>
  <c r="K15" i="34"/>
  <c r="Q31" i="34"/>
  <c r="F18" i="34"/>
  <c r="D22" i="61"/>
  <c r="L29" i="34"/>
  <c r="E57" i="125"/>
  <c r="H14" i="34"/>
  <c r="D61" i="125"/>
  <c r="J28" i="34"/>
  <c r="D74" i="125"/>
  <c r="G15" i="61"/>
  <c r="K13" i="34"/>
  <c r="L17" i="34"/>
  <c r="J20" i="34"/>
  <c r="L21" i="34"/>
  <c r="Q37" i="34"/>
  <c r="E46" i="61"/>
  <c r="E38" i="61"/>
  <c r="K19" i="34"/>
  <c r="E69" i="125"/>
  <c r="K33" i="34"/>
  <c r="C46" i="61"/>
  <c r="Q25" i="34"/>
  <c r="B49" i="61"/>
  <c r="E52" i="125"/>
  <c r="G23" i="34"/>
  <c r="F69" i="125"/>
  <c r="C15" i="125"/>
  <c r="E30" i="34"/>
  <c r="L36" i="34"/>
  <c r="D60" i="125"/>
  <c r="C60" i="125"/>
  <c r="L18" i="34"/>
  <c r="G70" i="12"/>
  <c r="G38" i="34"/>
  <c r="D12" i="34"/>
  <c r="E49" i="7"/>
  <c r="F56" i="125"/>
  <c r="D62" i="125"/>
  <c r="I24" i="34"/>
  <c r="E14" i="34"/>
  <c r="K12" i="34"/>
  <c r="C63" i="125"/>
  <c r="D35" i="34"/>
  <c r="C58" i="125"/>
  <c r="G17" i="61"/>
  <c r="P19" i="34"/>
  <c r="E12" i="34"/>
  <c r="C29" i="34"/>
  <c r="J26" i="34"/>
  <c r="C48" i="7"/>
  <c r="D49" i="125"/>
  <c r="G57" i="7"/>
  <c r="B11" i="61"/>
  <c r="J37" i="34"/>
  <c r="J38" i="34"/>
  <c r="J32" i="34"/>
  <c r="E35" i="34"/>
  <c r="C20" i="125"/>
  <c r="Q16" i="34"/>
  <c r="O36" i="34"/>
  <c r="E26" i="34"/>
  <c r="O33" i="34"/>
  <c r="K26" i="34"/>
  <c r="F28" i="34"/>
  <c r="C11" i="34"/>
  <c r="E40" i="34"/>
  <c r="F15" i="61"/>
  <c r="E19" i="34"/>
  <c r="F40" i="61"/>
  <c r="Q21" i="34"/>
  <c r="K38" i="34"/>
  <c r="J19" i="34"/>
  <c r="E50" i="7"/>
  <c r="C13" i="34"/>
  <c r="L35" i="34"/>
  <c r="H21" i="34"/>
  <c r="N16" i="34"/>
  <c r="E37" i="34"/>
  <c r="H23" i="34"/>
  <c r="E58" i="7"/>
  <c r="C27" i="34"/>
  <c r="D40" i="61"/>
  <c r="C24" i="34"/>
  <c r="C31" i="125"/>
  <c r="G34" i="34"/>
  <c r="P24" i="34"/>
  <c r="D71" i="125"/>
  <c r="Q28" i="34"/>
  <c r="C65" i="125"/>
  <c r="G33" i="34"/>
  <c r="G22" i="61"/>
  <c r="O10" i="34"/>
  <c r="C59" i="7"/>
  <c r="C69" i="125"/>
  <c r="C68" i="7"/>
  <c r="H25" i="34"/>
  <c r="H10" i="34"/>
  <c r="F13" i="61"/>
  <c r="C37" i="34"/>
  <c r="C25" i="34"/>
  <c r="P14" i="34"/>
  <c r="G68" i="7"/>
  <c r="E45" i="61"/>
  <c r="M37" i="34"/>
  <c r="E32" i="34"/>
  <c r="J36" i="34"/>
  <c r="D55" i="125"/>
  <c r="D24" i="34"/>
  <c r="C42" i="125"/>
  <c r="E38" i="34"/>
  <c r="C63" i="7"/>
  <c r="H73" i="7"/>
  <c r="P35" i="34"/>
  <c r="E61" i="125"/>
  <c r="G29" i="34"/>
  <c r="D68" i="7"/>
  <c r="O34" i="34"/>
  <c r="D23" i="34"/>
  <c r="Q35" i="34"/>
  <c r="M26" i="34"/>
  <c r="C49" i="61"/>
  <c r="C55" i="125"/>
  <c r="C67" i="7"/>
  <c r="E27" i="34"/>
  <c r="O38" i="34"/>
  <c r="C34" i="125"/>
  <c r="Q10" i="34"/>
  <c r="F10" i="34"/>
  <c r="F52" i="125"/>
  <c r="G44" i="12"/>
  <c r="I19" i="34"/>
  <c r="O29" i="34"/>
  <c r="E71" i="125"/>
  <c r="C25" i="125"/>
  <c r="C47" i="7"/>
  <c r="Q15" i="34"/>
  <c r="P10" i="34"/>
  <c r="D51" i="125"/>
  <c r="F31" i="34"/>
  <c r="M21" i="34"/>
  <c r="C28" i="125"/>
  <c r="G58" i="7"/>
  <c r="G69" i="7"/>
  <c r="F12" i="34"/>
  <c r="C26" i="125"/>
  <c r="E39" i="34"/>
  <c r="C36" i="34"/>
  <c r="J34" i="34"/>
  <c r="P21" i="34"/>
  <c r="D20" i="34"/>
  <c r="H16" i="126"/>
  <c r="E13" i="126"/>
  <c r="G19" i="34"/>
  <c r="C49" i="125"/>
  <c r="I11" i="34"/>
  <c r="E58" i="125"/>
  <c r="C32" i="125"/>
  <c r="C24" i="61"/>
  <c r="M13" i="34"/>
  <c r="E55" i="7"/>
  <c r="F18" i="61"/>
  <c r="Q29" i="34"/>
  <c r="D70" i="125"/>
  <c r="D14" i="34"/>
  <c r="D45" i="61"/>
  <c r="H26" i="34"/>
  <c r="D38" i="34"/>
  <c r="I17" i="34"/>
  <c r="I40" i="34"/>
  <c r="Q17" i="34"/>
  <c r="Q34" i="34"/>
  <c r="D10" i="40"/>
  <c r="D15" i="8"/>
  <c r="G49" i="125" l="1"/>
  <c r="E17" i="126"/>
  <c r="I16" i="126"/>
  <c r="I47" i="7"/>
  <c r="I67" i="7"/>
  <c r="G55" i="125"/>
  <c r="I63" i="7"/>
  <c r="I68" i="7"/>
  <c r="G69" i="125"/>
  <c r="I59" i="7"/>
  <c r="G65" i="125"/>
  <c r="H11" i="61"/>
  <c r="I48" i="7"/>
  <c r="G58" i="125"/>
  <c r="G63" i="125"/>
  <c r="G60" i="125"/>
  <c r="G49" i="61"/>
  <c r="G50" i="125"/>
  <c r="G53" i="125"/>
  <c r="I13" i="126"/>
  <c r="B17" i="126"/>
  <c r="D17" i="126"/>
  <c r="G39" i="61"/>
  <c r="G17" i="126"/>
  <c r="I53" i="7"/>
  <c r="G48" i="61"/>
  <c r="I73" i="7"/>
  <c r="J73" i="7" s="1"/>
  <c r="H21" i="61"/>
  <c r="G45" i="61"/>
  <c r="H20" i="61"/>
  <c r="H19" i="61"/>
  <c r="G40" i="61"/>
  <c r="H23" i="61"/>
  <c r="I55" i="7"/>
  <c r="H22" i="61"/>
  <c r="H17" i="61"/>
  <c r="G54" i="125"/>
  <c r="H14" i="61"/>
  <c r="G41" i="61"/>
  <c r="I50" i="7"/>
  <c r="G57" i="125"/>
  <c r="F17" i="126"/>
  <c r="I14" i="126"/>
  <c r="H13" i="61"/>
  <c r="G43" i="61"/>
  <c r="G51" i="61"/>
  <c r="I56" i="7"/>
  <c r="H16" i="61"/>
  <c r="C17" i="126"/>
  <c r="C42" i="34"/>
  <c r="G46" i="61"/>
  <c r="I58" i="7"/>
  <c r="H18" i="61"/>
  <c r="I51" i="7"/>
  <c r="H15" i="61"/>
  <c r="G47" i="61"/>
  <c r="G62" i="125"/>
  <c r="H24" i="61"/>
  <c r="G51" i="125"/>
  <c r="G38" i="61"/>
  <c r="G56" i="125"/>
  <c r="I69" i="7"/>
  <c r="I49" i="7"/>
  <c r="I52" i="7"/>
  <c r="H17" i="126"/>
  <c r="I61" i="7"/>
  <c r="I60" i="7"/>
  <c r="G42" i="61"/>
  <c r="G52" i="125"/>
  <c r="G61" i="125"/>
  <c r="I15" i="126"/>
  <c r="I54" i="7"/>
  <c r="F70" i="7"/>
  <c r="F64" i="7"/>
  <c r="D2" i="67"/>
  <c r="A9" i="13" s="1"/>
  <c r="D1" i="66"/>
  <c r="A9" i="12" s="1"/>
  <c r="D43" i="65"/>
  <c r="A9" i="11" s="1"/>
  <c r="D22" i="65"/>
  <c r="A24" i="10" s="1"/>
  <c r="D1" i="65"/>
  <c r="B9" i="10" s="1"/>
  <c r="D1" i="64"/>
  <c r="D1" i="63"/>
  <c r="C12" i="7"/>
  <c r="D1" i="62"/>
  <c r="D1" i="130"/>
  <c r="F12" i="124"/>
  <c r="F13" i="124"/>
  <c r="F14" i="124"/>
  <c r="F11" i="124"/>
  <c r="A2" i="129"/>
  <c r="B2" i="129"/>
  <c r="C2" i="129"/>
  <c r="D2" i="129"/>
  <c r="E2" i="129"/>
  <c r="F2" i="129"/>
  <c r="G2" i="129"/>
  <c r="H2" i="129"/>
  <c r="A3" i="129"/>
  <c r="B3" i="129"/>
  <c r="C3" i="129"/>
  <c r="D3" i="129"/>
  <c r="E3" i="129"/>
  <c r="F3" i="129"/>
  <c r="G3" i="129"/>
  <c r="H3" i="129"/>
  <c r="A4" i="129"/>
  <c r="B4" i="129"/>
  <c r="C4" i="129"/>
  <c r="D4" i="129"/>
  <c r="E4" i="129"/>
  <c r="F4" i="129"/>
  <c r="G4" i="129"/>
  <c r="H4" i="129"/>
  <c r="A5" i="129"/>
  <c r="B5" i="129"/>
  <c r="C5" i="129"/>
  <c r="D5" i="129"/>
  <c r="E5" i="129"/>
  <c r="F5" i="129"/>
  <c r="G5" i="129"/>
  <c r="H5" i="129"/>
  <c r="A6" i="129"/>
  <c r="B6" i="129"/>
  <c r="C6" i="129"/>
  <c r="D6" i="129"/>
  <c r="E6" i="129"/>
  <c r="F6" i="129"/>
  <c r="G6" i="129"/>
  <c r="H6" i="129"/>
  <c r="A7" i="129"/>
  <c r="B7" i="129"/>
  <c r="C7" i="129"/>
  <c r="D7" i="129"/>
  <c r="E7" i="129"/>
  <c r="F7" i="129"/>
  <c r="G7" i="129"/>
  <c r="H7" i="129"/>
  <c r="A8" i="129"/>
  <c r="B8" i="129"/>
  <c r="C8" i="129"/>
  <c r="D8" i="129"/>
  <c r="E8" i="129"/>
  <c r="F8" i="129"/>
  <c r="G8" i="129"/>
  <c r="H8" i="129"/>
  <c r="A9" i="129"/>
  <c r="B9" i="129"/>
  <c r="C9" i="129"/>
  <c r="D9" i="129"/>
  <c r="E9" i="129"/>
  <c r="F9" i="129"/>
  <c r="G9" i="129"/>
  <c r="H9" i="129"/>
  <c r="A10" i="129"/>
  <c r="B10" i="129"/>
  <c r="C10" i="129"/>
  <c r="D10" i="129"/>
  <c r="E10" i="129"/>
  <c r="F10" i="129"/>
  <c r="G10" i="129"/>
  <c r="H10" i="129"/>
  <c r="A11" i="129"/>
  <c r="B11" i="129"/>
  <c r="C11" i="129"/>
  <c r="D11" i="129"/>
  <c r="E11" i="129"/>
  <c r="F11" i="129"/>
  <c r="G11" i="129"/>
  <c r="H11" i="129"/>
  <c r="A12" i="129"/>
  <c r="B12" i="129"/>
  <c r="C12" i="129"/>
  <c r="D12" i="129"/>
  <c r="E12" i="129"/>
  <c r="F12" i="129"/>
  <c r="G12" i="129"/>
  <c r="H12" i="129"/>
  <c r="A13" i="129"/>
  <c r="B13" i="129"/>
  <c r="C13" i="129"/>
  <c r="D13" i="129"/>
  <c r="E13" i="129"/>
  <c r="F13" i="129"/>
  <c r="G13" i="129"/>
  <c r="H13" i="129"/>
  <c r="A14" i="129"/>
  <c r="B14" i="129"/>
  <c r="C14" i="129"/>
  <c r="D14" i="129"/>
  <c r="E14" i="129"/>
  <c r="F14" i="129"/>
  <c r="G14" i="129"/>
  <c r="H14" i="129"/>
  <c r="A15" i="129"/>
  <c r="B15" i="129"/>
  <c r="C15" i="129"/>
  <c r="D15" i="129"/>
  <c r="E15" i="129"/>
  <c r="F15" i="129"/>
  <c r="G15" i="129"/>
  <c r="H15" i="129"/>
  <c r="A16" i="129"/>
  <c r="B16" i="129"/>
  <c r="C16" i="129"/>
  <c r="D16" i="129"/>
  <c r="E16" i="129"/>
  <c r="F16" i="129"/>
  <c r="G16" i="129"/>
  <c r="H16" i="129"/>
  <c r="A17" i="129"/>
  <c r="B17" i="129"/>
  <c r="C17" i="129"/>
  <c r="D17" i="129"/>
  <c r="E17" i="129"/>
  <c r="F17" i="129"/>
  <c r="G17" i="129"/>
  <c r="H17" i="129"/>
  <c r="A18" i="129"/>
  <c r="B18" i="129"/>
  <c r="C18" i="129"/>
  <c r="D18" i="129"/>
  <c r="E18" i="129"/>
  <c r="F18" i="129"/>
  <c r="G18" i="129"/>
  <c r="H18" i="129"/>
  <c r="A19" i="129"/>
  <c r="B19" i="129"/>
  <c r="C19" i="129"/>
  <c r="D19" i="129"/>
  <c r="E19" i="129"/>
  <c r="F19" i="129"/>
  <c r="G19" i="129"/>
  <c r="H19" i="129"/>
  <c r="A20" i="129"/>
  <c r="B20" i="129"/>
  <c r="C20" i="129"/>
  <c r="D20" i="129"/>
  <c r="E20" i="129"/>
  <c r="F20" i="129"/>
  <c r="G20" i="129"/>
  <c r="H20" i="129"/>
  <c r="A21" i="129"/>
  <c r="B21" i="129"/>
  <c r="C21" i="129"/>
  <c r="D21" i="129"/>
  <c r="E21" i="129"/>
  <c r="F21" i="129"/>
  <c r="G21" i="129"/>
  <c r="H21" i="129"/>
  <c r="A22" i="129"/>
  <c r="B22" i="129"/>
  <c r="C22" i="129"/>
  <c r="D22" i="129"/>
  <c r="E22" i="129"/>
  <c r="F22" i="129"/>
  <c r="G22" i="129"/>
  <c r="H22" i="129"/>
  <c r="A23" i="129"/>
  <c r="B23" i="129"/>
  <c r="C23" i="129"/>
  <c r="D23" i="129"/>
  <c r="E23" i="129"/>
  <c r="F23" i="129"/>
  <c r="G23" i="129"/>
  <c r="H23" i="129"/>
  <c r="A24" i="129"/>
  <c r="B24" i="129"/>
  <c r="C24" i="129"/>
  <c r="D24" i="129"/>
  <c r="E24" i="129"/>
  <c r="F24" i="129"/>
  <c r="G24" i="129"/>
  <c r="H24" i="129"/>
  <c r="A25" i="129"/>
  <c r="B25" i="129"/>
  <c r="C25" i="129"/>
  <c r="D25" i="129"/>
  <c r="E25" i="129"/>
  <c r="F25" i="129"/>
  <c r="G25" i="129"/>
  <c r="H25" i="129"/>
  <c r="A26" i="129"/>
  <c r="B26" i="129"/>
  <c r="C26" i="129"/>
  <c r="D26" i="129"/>
  <c r="E26" i="129"/>
  <c r="F26" i="129"/>
  <c r="G26" i="129"/>
  <c r="H26" i="129"/>
  <c r="A27" i="129"/>
  <c r="B27" i="129"/>
  <c r="C27" i="129"/>
  <c r="D27" i="129"/>
  <c r="E27" i="129"/>
  <c r="F27" i="129"/>
  <c r="G27" i="129"/>
  <c r="H27" i="129"/>
  <c r="A28" i="129"/>
  <c r="B28" i="129"/>
  <c r="C28" i="129"/>
  <c r="D28" i="129"/>
  <c r="E28" i="129"/>
  <c r="F28" i="129"/>
  <c r="G28" i="129"/>
  <c r="H28" i="129"/>
  <c r="A29" i="129"/>
  <c r="B29" i="129"/>
  <c r="C29" i="129"/>
  <c r="D29" i="129"/>
  <c r="E29" i="129"/>
  <c r="F29" i="129"/>
  <c r="G29" i="129"/>
  <c r="H29" i="129"/>
  <c r="A30" i="129"/>
  <c r="B30" i="129"/>
  <c r="C30" i="129"/>
  <c r="D30" i="129"/>
  <c r="E30" i="129"/>
  <c r="F30" i="129"/>
  <c r="G30" i="129"/>
  <c r="H30" i="129"/>
  <c r="A31" i="129"/>
  <c r="B31" i="129"/>
  <c r="C31" i="129"/>
  <c r="D31" i="129"/>
  <c r="E31" i="129"/>
  <c r="F31" i="129"/>
  <c r="G31" i="129"/>
  <c r="H31" i="129"/>
  <c r="A32" i="129"/>
  <c r="B32" i="129"/>
  <c r="C32" i="129"/>
  <c r="D32" i="129"/>
  <c r="E32" i="129"/>
  <c r="F32" i="129"/>
  <c r="G32" i="129"/>
  <c r="H32" i="129"/>
  <c r="A33" i="129"/>
  <c r="B33" i="129"/>
  <c r="C33" i="129"/>
  <c r="D33" i="129"/>
  <c r="E33" i="129"/>
  <c r="F33" i="129"/>
  <c r="G33" i="129"/>
  <c r="H33" i="129"/>
  <c r="A34" i="129"/>
  <c r="B34" i="129"/>
  <c r="B9" i="38" s="1"/>
  <c r="C34" i="129"/>
  <c r="A9" i="38" s="1"/>
  <c r="D34" i="129"/>
  <c r="D9" i="38" s="1"/>
  <c r="E34" i="129"/>
  <c r="E9" i="38" s="1"/>
  <c r="F34" i="129"/>
  <c r="C9" i="38" s="1"/>
  <c r="G34" i="129"/>
  <c r="G9" i="38" s="1"/>
  <c r="H34" i="129"/>
  <c r="F9" i="38" s="1"/>
  <c r="A35" i="129"/>
  <c r="B35" i="129"/>
  <c r="B10" i="38" s="1"/>
  <c r="C35" i="129"/>
  <c r="A10" i="38" s="1"/>
  <c r="D35" i="129"/>
  <c r="D10" i="38" s="1"/>
  <c r="E35" i="129"/>
  <c r="E10" i="38" s="1"/>
  <c r="F35" i="129"/>
  <c r="C10" i="38" s="1"/>
  <c r="G35" i="129"/>
  <c r="G10" i="38" s="1"/>
  <c r="H35" i="129"/>
  <c r="F10" i="38" s="1"/>
  <c r="A36" i="129"/>
  <c r="B36" i="129"/>
  <c r="B11" i="38" s="1"/>
  <c r="C36" i="129"/>
  <c r="A11" i="38" s="1"/>
  <c r="D36" i="129"/>
  <c r="D11" i="38" s="1"/>
  <c r="E36" i="129"/>
  <c r="E11" i="38" s="1"/>
  <c r="F36" i="129"/>
  <c r="C11" i="38" s="1"/>
  <c r="G36" i="129"/>
  <c r="G11" i="38" s="1"/>
  <c r="H36" i="129"/>
  <c r="F11" i="38" s="1"/>
  <c r="A37" i="129"/>
  <c r="B37" i="129"/>
  <c r="B12" i="38" s="1"/>
  <c r="C37" i="129"/>
  <c r="A12" i="38" s="1"/>
  <c r="D37" i="129"/>
  <c r="D12" i="38" s="1"/>
  <c r="E37" i="129"/>
  <c r="E12" i="38" s="1"/>
  <c r="F37" i="129"/>
  <c r="C12" i="38" s="1"/>
  <c r="G37" i="129"/>
  <c r="G12" i="38" s="1"/>
  <c r="H37" i="129"/>
  <c r="F12" i="38" s="1"/>
  <c r="A38" i="129"/>
  <c r="B38" i="129"/>
  <c r="B13" i="38" s="1"/>
  <c r="C38" i="129"/>
  <c r="A13" i="38" s="1"/>
  <c r="D38" i="129"/>
  <c r="D13" i="38" s="1"/>
  <c r="E38" i="129"/>
  <c r="E13" i="38" s="1"/>
  <c r="F38" i="129"/>
  <c r="C13" i="38" s="1"/>
  <c r="G38" i="129"/>
  <c r="G13" i="38" s="1"/>
  <c r="H38" i="129"/>
  <c r="F13" i="38" s="1"/>
  <c r="A39" i="129"/>
  <c r="B39" i="129"/>
  <c r="B14" i="38" s="1"/>
  <c r="C39" i="129"/>
  <c r="A14" i="38" s="1"/>
  <c r="D39" i="129"/>
  <c r="D14" i="38" s="1"/>
  <c r="E39" i="129"/>
  <c r="F39" i="129"/>
  <c r="C14" i="38" s="1"/>
  <c r="G39" i="129"/>
  <c r="G14" i="38" s="1"/>
  <c r="H39" i="129"/>
  <c r="F14" i="38" s="1"/>
  <c r="A40" i="129"/>
  <c r="B40" i="129"/>
  <c r="B15" i="38" s="1"/>
  <c r="C40" i="129"/>
  <c r="A15" i="38" s="1"/>
  <c r="D40" i="129"/>
  <c r="D15" i="38" s="1"/>
  <c r="E40" i="129"/>
  <c r="E15" i="38" s="1"/>
  <c r="F40" i="129"/>
  <c r="C15" i="38" s="1"/>
  <c r="G40" i="129"/>
  <c r="G15" i="38" s="1"/>
  <c r="H40" i="129"/>
  <c r="F15" i="38" s="1"/>
  <c r="A41" i="129"/>
  <c r="B41" i="129"/>
  <c r="B16" i="38" s="1"/>
  <c r="C41" i="129"/>
  <c r="A16" i="38" s="1"/>
  <c r="D41" i="129"/>
  <c r="D16" i="38" s="1"/>
  <c r="E41" i="129"/>
  <c r="E16" i="38" s="1"/>
  <c r="F41" i="129"/>
  <c r="C16" i="38" s="1"/>
  <c r="G41" i="129"/>
  <c r="G16" i="38" s="1"/>
  <c r="H41" i="129"/>
  <c r="F16" i="38" s="1"/>
  <c r="A42" i="129"/>
  <c r="B42" i="129"/>
  <c r="B17" i="38" s="1"/>
  <c r="C42" i="129"/>
  <c r="A17" i="38" s="1"/>
  <c r="D42" i="129"/>
  <c r="D17" i="38" s="1"/>
  <c r="E42" i="129"/>
  <c r="E17" i="38" s="1"/>
  <c r="F42" i="129"/>
  <c r="C17" i="38" s="1"/>
  <c r="G42" i="129"/>
  <c r="G17" i="38" s="1"/>
  <c r="H42" i="129"/>
  <c r="F17" i="38" s="1"/>
  <c r="A43" i="129"/>
  <c r="B43" i="129"/>
  <c r="B18" i="38" s="1"/>
  <c r="C43" i="129"/>
  <c r="A18" i="38" s="1"/>
  <c r="D43" i="129"/>
  <c r="D18" i="38" s="1"/>
  <c r="E43" i="129"/>
  <c r="E18" i="38" s="1"/>
  <c r="F43" i="129"/>
  <c r="C18" i="38" s="1"/>
  <c r="G43" i="129"/>
  <c r="G18" i="38" s="1"/>
  <c r="H43" i="129"/>
  <c r="F18" i="38" s="1"/>
  <c r="A44" i="129"/>
  <c r="B44" i="129"/>
  <c r="B19" i="38" s="1"/>
  <c r="C44" i="129"/>
  <c r="A19" i="38" s="1"/>
  <c r="D44" i="129"/>
  <c r="D19" i="38" s="1"/>
  <c r="E44" i="129"/>
  <c r="E19" i="38" s="1"/>
  <c r="F44" i="129"/>
  <c r="C19" i="38" s="1"/>
  <c r="G44" i="129"/>
  <c r="G19" i="38" s="1"/>
  <c r="H44" i="129"/>
  <c r="F19" i="38" s="1"/>
  <c r="A45" i="129"/>
  <c r="B45" i="129"/>
  <c r="B20" i="38" s="1"/>
  <c r="C45" i="129"/>
  <c r="A20" i="38" s="1"/>
  <c r="D45" i="129"/>
  <c r="D20" i="38" s="1"/>
  <c r="E45" i="129"/>
  <c r="E20" i="38" s="1"/>
  <c r="F45" i="129"/>
  <c r="C20" i="38" s="1"/>
  <c r="G45" i="129"/>
  <c r="G20" i="38" s="1"/>
  <c r="H45" i="129"/>
  <c r="F20" i="38" s="1"/>
  <c r="A46" i="129"/>
  <c r="B46" i="129"/>
  <c r="B21" i="38" s="1"/>
  <c r="C46" i="129"/>
  <c r="A21" i="38" s="1"/>
  <c r="D46" i="129"/>
  <c r="D21" i="38" s="1"/>
  <c r="E46" i="129"/>
  <c r="E21" i="38" s="1"/>
  <c r="F46" i="129"/>
  <c r="C21" i="38" s="1"/>
  <c r="G46" i="129"/>
  <c r="G21" i="38" s="1"/>
  <c r="H46" i="129"/>
  <c r="F21" i="38" s="1"/>
  <c r="A47" i="129"/>
  <c r="B47" i="129"/>
  <c r="B22" i="38" s="1"/>
  <c r="C47" i="129"/>
  <c r="A22" i="38" s="1"/>
  <c r="D47" i="129"/>
  <c r="D22" i="38" s="1"/>
  <c r="E47" i="129"/>
  <c r="F47" i="129"/>
  <c r="C22" i="38" s="1"/>
  <c r="G47" i="129"/>
  <c r="G22" i="38" s="1"/>
  <c r="H47" i="129"/>
  <c r="F22" i="38" s="1"/>
  <c r="A48" i="129"/>
  <c r="B48" i="129"/>
  <c r="B23" i="38" s="1"/>
  <c r="C48" i="129"/>
  <c r="D48" i="129"/>
  <c r="D23" i="38" s="1"/>
  <c r="E48" i="129"/>
  <c r="E23" i="38" s="1"/>
  <c r="F48" i="129"/>
  <c r="G48" i="129"/>
  <c r="G23" i="38" s="1"/>
  <c r="H48" i="129"/>
  <c r="F23" i="38" s="1"/>
  <c r="A49" i="129"/>
  <c r="B49" i="129"/>
  <c r="B24" i="38" s="1"/>
  <c r="C49" i="129"/>
  <c r="A24" i="38" s="1"/>
  <c r="D49" i="129"/>
  <c r="D24" i="38" s="1"/>
  <c r="E49" i="129"/>
  <c r="E24" i="38" s="1"/>
  <c r="F49" i="129"/>
  <c r="C24" i="38" s="1"/>
  <c r="G49" i="129"/>
  <c r="G24" i="38" s="1"/>
  <c r="H49" i="129"/>
  <c r="F24" i="38" s="1"/>
  <c r="A50" i="129"/>
  <c r="B50" i="129"/>
  <c r="B25" i="38" s="1"/>
  <c r="C50" i="129"/>
  <c r="A25" i="38" s="1"/>
  <c r="D50" i="129"/>
  <c r="D25" i="38" s="1"/>
  <c r="E50" i="129"/>
  <c r="E25" i="38" s="1"/>
  <c r="F50" i="129"/>
  <c r="C25" i="38" s="1"/>
  <c r="G50" i="129"/>
  <c r="G25" i="38" s="1"/>
  <c r="H50" i="129"/>
  <c r="F25" i="38" s="1"/>
  <c r="A51" i="129"/>
  <c r="B51" i="129"/>
  <c r="B26" i="38" s="1"/>
  <c r="C51" i="129"/>
  <c r="A26" i="38" s="1"/>
  <c r="D51" i="129"/>
  <c r="D26" i="38" s="1"/>
  <c r="E51" i="129"/>
  <c r="E26" i="38" s="1"/>
  <c r="F51" i="129"/>
  <c r="C26" i="38" s="1"/>
  <c r="G51" i="129"/>
  <c r="G26" i="38" s="1"/>
  <c r="H51" i="129"/>
  <c r="F26" i="38" s="1"/>
  <c r="A52" i="129"/>
  <c r="B52" i="129"/>
  <c r="B27" i="38" s="1"/>
  <c r="C52" i="129"/>
  <c r="A27" i="38" s="1"/>
  <c r="D52" i="129"/>
  <c r="D27" i="38" s="1"/>
  <c r="E52" i="129"/>
  <c r="E27" i="38" s="1"/>
  <c r="F52" i="129"/>
  <c r="C27" i="38" s="1"/>
  <c r="G52" i="129"/>
  <c r="G27" i="38" s="1"/>
  <c r="H52" i="129"/>
  <c r="F27" i="38" s="1"/>
  <c r="A53" i="129"/>
  <c r="B53" i="129"/>
  <c r="B28" i="38" s="1"/>
  <c r="C53" i="129"/>
  <c r="A28" i="38" s="1"/>
  <c r="D53" i="129"/>
  <c r="D28" i="38" s="1"/>
  <c r="E53" i="129"/>
  <c r="E28" i="38" s="1"/>
  <c r="F53" i="129"/>
  <c r="C28" i="38" s="1"/>
  <c r="G53" i="129"/>
  <c r="G28" i="38" s="1"/>
  <c r="H53" i="129"/>
  <c r="F28" i="38" s="1"/>
  <c r="A54" i="129"/>
  <c r="B54" i="129"/>
  <c r="B29" i="38" s="1"/>
  <c r="C54" i="129"/>
  <c r="A29" i="38" s="1"/>
  <c r="D54" i="129"/>
  <c r="D29" i="38" s="1"/>
  <c r="E54" i="129"/>
  <c r="E29" i="38" s="1"/>
  <c r="F54" i="129"/>
  <c r="C29" i="38" s="1"/>
  <c r="G54" i="129"/>
  <c r="G29" i="38" s="1"/>
  <c r="H54" i="129"/>
  <c r="F29" i="38" s="1"/>
  <c r="A55" i="129"/>
  <c r="B55" i="129"/>
  <c r="B30" i="38" s="1"/>
  <c r="C55" i="129"/>
  <c r="D55" i="129"/>
  <c r="D30" i="38" s="1"/>
  <c r="E55" i="129"/>
  <c r="E30" i="38" s="1"/>
  <c r="F55" i="129"/>
  <c r="G55" i="129"/>
  <c r="G30" i="38" s="1"/>
  <c r="H55" i="129"/>
  <c r="F30" i="38" s="1"/>
  <c r="A56" i="129"/>
  <c r="B56" i="129"/>
  <c r="B31" i="38" s="1"/>
  <c r="C56" i="129"/>
  <c r="A31" i="38" s="1"/>
  <c r="D56" i="129"/>
  <c r="D31" i="38" s="1"/>
  <c r="E56" i="129"/>
  <c r="E31" i="38" s="1"/>
  <c r="F56" i="129"/>
  <c r="C31" i="38" s="1"/>
  <c r="G56" i="129"/>
  <c r="G31" i="38" s="1"/>
  <c r="H56" i="129"/>
  <c r="F31" i="38" s="1"/>
  <c r="A57" i="129"/>
  <c r="B57" i="129"/>
  <c r="B32" i="38" s="1"/>
  <c r="C57" i="129"/>
  <c r="A32" i="38" s="1"/>
  <c r="D57" i="129"/>
  <c r="D32" i="38" s="1"/>
  <c r="E57" i="129"/>
  <c r="E32" i="38" s="1"/>
  <c r="F57" i="129"/>
  <c r="C32" i="38" s="1"/>
  <c r="G57" i="129"/>
  <c r="G32" i="38" s="1"/>
  <c r="H57" i="129"/>
  <c r="F32" i="38" s="1"/>
  <c r="A58" i="129"/>
  <c r="B58" i="129"/>
  <c r="B33" i="38" s="1"/>
  <c r="C58" i="129"/>
  <c r="A33" i="38" s="1"/>
  <c r="D58" i="129"/>
  <c r="D33" i="38" s="1"/>
  <c r="E58" i="129"/>
  <c r="E33" i="38" s="1"/>
  <c r="F58" i="129"/>
  <c r="C33" i="38" s="1"/>
  <c r="G58" i="129"/>
  <c r="G33" i="38" s="1"/>
  <c r="H58" i="129"/>
  <c r="F33" i="38" s="1"/>
  <c r="A59" i="129"/>
  <c r="B59" i="129"/>
  <c r="B34" i="38" s="1"/>
  <c r="C59" i="129"/>
  <c r="A34" i="38" s="1"/>
  <c r="D59" i="129"/>
  <c r="D34" i="38" s="1"/>
  <c r="E59" i="129"/>
  <c r="E34" i="38" s="1"/>
  <c r="F59" i="129"/>
  <c r="C34" i="38" s="1"/>
  <c r="G59" i="129"/>
  <c r="G34" i="38" s="1"/>
  <c r="H59" i="129"/>
  <c r="F34" i="38" s="1"/>
  <c r="A60" i="129"/>
  <c r="B60" i="129"/>
  <c r="B35" i="38" s="1"/>
  <c r="C60" i="129"/>
  <c r="A35" i="38" s="1"/>
  <c r="D60" i="129"/>
  <c r="D35" i="38" s="1"/>
  <c r="E60" i="129"/>
  <c r="E35" i="38" s="1"/>
  <c r="F60" i="129"/>
  <c r="C35" i="38" s="1"/>
  <c r="G60" i="129"/>
  <c r="G35" i="38" s="1"/>
  <c r="H60" i="129"/>
  <c r="F35" i="38" s="1"/>
  <c r="A61" i="129"/>
  <c r="B61" i="129"/>
  <c r="B36" i="38" s="1"/>
  <c r="C61" i="129"/>
  <c r="A36" i="38" s="1"/>
  <c r="D61" i="129"/>
  <c r="D36" i="38" s="1"/>
  <c r="E61" i="129"/>
  <c r="E36" i="38" s="1"/>
  <c r="F61" i="129"/>
  <c r="C36" i="38" s="1"/>
  <c r="G61" i="129"/>
  <c r="G36" i="38" s="1"/>
  <c r="H61" i="129"/>
  <c r="F36" i="38" s="1"/>
  <c r="A62" i="129"/>
  <c r="B62" i="129"/>
  <c r="B37" i="38" s="1"/>
  <c r="C62" i="129"/>
  <c r="A37" i="38" s="1"/>
  <c r="D62" i="129"/>
  <c r="D37" i="38" s="1"/>
  <c r="E62" i="129"/>
  <c r="E37" i="38" s="1"/>
  <c r="F62" i="129"/>
  <c r="C37" i="38" s="1"/>
  <c r="G62" i="129"/>
  <c r="G37" i="38" s="1"/>
  <c r="H62" i="129"/>
  <c r="F37" i="38" s="1"/>
  <c r="A63" i="129"/>
  <c r="B63" i="129"/>
  <c r="B38" i="38" s="1"/>
  <c r="C63" i="129"/>
  <c r="A38" i="38" s="1"/>
  <c r="D63" i="129"/>
  <c r="D38" i="38" s="1"/>
  <c r="E63" i="129"/>
  <c r="F63" i="129"/>
  <c r="C38" i="38" s="1"/>
  <c r="G63" i="129"/>
  <c r="G38" i="38" s="1"/>
  <c r="H63" i="129"/>
  <c r="F38" i="38" s="1"/>
  <c r="A64" i="129"/>
  <c r="B64" i="129"/>
  <c r="B39" i="38" s="1"/>
  <c r="C64" i="129"/>
  <c r="A39" i="38" s="1"/>
  <c r="D64" i="129"/>
  <c r="D39" i="38" s="1"/>
  <c r="E64" i="129"/>
  <c r="E39" i="38" s="1"/>
  <c r="F64" i="129"/>
  <c r="C39" i="38" s="1"/>
  <c r="G64" i="129"/>
  <c r="G39" i="38" s="1"/>
  <c r="H64" i="129"/>
  <c r="F39" i="38" s="1"/>
  <c r="A65" i="129"/>
  <c r="B65" i="129"/>
  <c r="B40" i="38" s="1"/>
  <c r="C65" i="129"/>
  <c r="A40" i="38" s="1"/>
  <c r="D65" i="129"/>
  <c r="D40" i="38" s="1"/>
  <c r="E65" i="129"/>
  <c r="E40" i="38" s="1"/>
  <c r="F65" i="129"/>
  <c r="C40" i="38" s="1"/>
  <c r="G65" i="129"/>
  <c r="G40" i="38" s="1"/>
  <c r="H65" i="129"/>
  <c r="F40" i="38" s="1"/>
  <c r="E37" i="125"/>
  <c r="F36" i="125"/>
  <c r="D31" i="125"/>
  <c r="D34" i="125"/>
  <c r="D17" i="125"/>
  <c r="F39" i="125"/>
  <c r="D36" i="125"/>
  <c r="F45" i="125"/>
  <c r="F32" i="125"/>
  <c r="E40" i="125"/>
  <c r="F24" i="125"/>
  <c r="F38" i="125"/>
  <c r="F30" i="125"/>
  <c r="F22" i="125"/>
  <c r="D21" i="125"/>
  <c r="F37" i="125"/>
  <c r="D20" i="125"/>
  <c r="D16" i="125"/>
  <c r="E44" i="125"/>
  <c r="F25" i="125"/>
  <c r="E33" i="125"/>
  <c r="F42" i="125"/>
  <c r="E22" i="125"/>
  <c r="E17" i="125"/>
  <c r="D29" i="125"/>
  <c r="F27" i="125"/>
  <c r="E45" i="125"/>
  <c r="D43" i="125"/>
  <c r="F17" i="125"/>
  <c r="F40" i="125"/>
  <c r="D38" i="125"/>
  <c r="D32" i="125"/>
  <c r="D22" i="125"/>
  <c r="F19" i="125"/>
  <c r="F44" i="125"/>
  <c r="F14" i="125"/>
  <c r="E19" i="125"/>
  <c r="F31" i="125"/>
  <c r="F20" i="125"/>
  <c r="E39" i="125"/>
  <c r="F18" i="125"/>
  <c r="E29" i="125"/>
  <c r="D44" i="125"/>
  <c r="D25" i="125"/>
  <c r="E16" i="125"/>
  <c r="C71" i="125"/>
  <c r="F23" i="125"/>
  <c r="D23" i="125"/>
  <c r="C13" i="8"/>
  <c r="D41" i="125"/>
  <c r="D27" i="125"/>
  <c r="F43" i="125"/>
  <c r="E32" i="125"/>
  <c r="C74" i="125"/>
  <c r="F26" i="125"/>
  <c r="E43" i="125"/>
  <c r="E27" i="125"/>
  <c r="F41" i="125"/>
  <c r="E30" i="125"/>
  <c r="F21" i="125"/>
  <c r="D40" i="125"/>
  <c r="D26" i="125"/>
  <c r="D30" i="125"/>
  <c r="E15" i="125"/>
  <c r="E20" i="125"/>
  <c r="D24" i="125"/>
  <c r="D37" i="125"/>
  <c r="E42" i="125"/>
  <c r="D39" i="125"/>
  <c r="F34" i="125"/>
  <c r="E25" i="125"/>
  <c r="D19" i="125"/>
  <c r="E12" i="9"/>
  <c r="D33" i="125"/>
  <c r="F29" i="125"/>
  <c r="F28" i="125"/>
  <c r="F16" i="125"/>
  <c r="E41" i="125"/>
  <c r="E31" i="125"/>
  <c r="E18" i="125"/>
  <c r="C70" i="125"/>
  <c r="D35" i="125"/>
  <c r="E14" i="125"/>
  <c r="D15" i="125"/>
  <c r="F35" i="125"/>
  <c r="E36" i="125"/>
  <c r="F15" i="125"/>
  <c r="E21" i="125"/>
  <c r="E34" i="125"/>
  <c r="D28" i="125"/>
  <c r="E38" i="125"/>
  <c r="E23" i="125"/>
  <c r="D45" i="125"/>
  <c r="E28" i="125"/>
  <c r="E35" i="125"/>
  <c r="D18" i="125"/>
  <c r="E24" i="125"/>
  <c r="E26" i="125"/>
  <c r="F33" i="125"/>
  <c r="I17" i="126" l="1"/>
  <c r="I70" i="7"/>
  <c r="A33" i="11"/>
  <c r="A26" i="11"/>
  <c r="A33" i="12"/>
  <c r="A26" i="12"/>
  <c r="A33" i="13"/>
  <c r="A26" i="13"/>
  <c r="F9" i="7"/>
  <c r="A60" i="12"/>
  <c r="A58" i="12"/>
  <c r="B57" i="12"/>
  <c r="A57" i="12"/>
  <c r="B62" i="12"/>
  <c r="A62" i="12"/>
  <c r="G70" i="7"/>
  <c r="G64" i="7"/>
  <c r="G15" i="125"/>
  <c r="G24" i="125"/>
  <c r="G25" i="125"/>
  <c r="G41" i="125"/>
  <c r="G18" i="125"/>
  <c r="G26" i="125"/>
  <c r="G34" i="125"/>
  <c r="G42" i="125"/>
  <c r="G14" i="125"/>
  <c r="G27" i="125"/>
  <c r="G28" i="125"/>
  <c r="G44" i="125"/>
  <c r="G45" i="125"/>
  <c r="G20" i="125"/>
  <c r="G36" i="125"/>
  <c r="G21" i="125"/>
  <c r="G29" i="125"/>
  <c r="G37" i="125"/>
  <c r="G43" i="125"/>
  <c r="G19" i="125"/>
  <c r="G22" i="125"/>
  <c r="G30" i="125"/>
  <c r="G38" i="125"/>
  <c r="G70" i="125"/>
  <c r="G71" i="125"/>
  <c r="G23" i="125"/>
  <c r="G35" i="125"/>
  <c r="G31" i="125"/>
  <c r="G16" i="125"/>
  <c r="G40" i="125"/>
  <c r="G74" i="125"/>
  <c r="G39" i="125"/>
  <c r="G32" i="125"/>
  <c r="G17" i="125"/>
  <c r="G33" i="125"/>
  <c r="A11" i="125"/>
  <c r="A35" i="125" s="1"/>
  <c r="C46" i="125"/>
  <c r="D72" i="125"/>
  <c r="D46" i="125"/>
  <c r="E72" i="125"/>
  <c r="F72" i="125"/>
  <c r="C72" i="125"/>
  <c r="F46" i="125"/>
  <c r="E46" i="125"/>
  <c r="R21" i="114"/>
  <c r="N14" i="114"/>
  <c r="E14" i="114"/>
  <c r="G9" i="7" l="1"/>
  <c r="H70" i="7"/>
  <c r="J60" i="7"/>
  <c r="J49" i="7"/>
  <c r="J50" i="7"/>
  <c r="J61" i="7"/>
  <c r="J58" i="7"/>
  <c r="J55" i="7"/>
  <c r="J53" i="7"/>
  <c r="J54" i="7"/>
  <c r="J63" i="7"/>
  <c r="J56" i="7"/>
  <c r="J59" i="7"/>
  <c r="J52" i="7"/>
  <c r="J48" i="7"/>
  <c r="H64" i="7"/>
  <c r="J51" i="7"/>
  <c r="G46" i="125"/>
  <c r="A28" i="125"/>
  <c r="B59" i="125"/>
  <c r="A64" i="125"/>
  <c r="A62" i="125"/>
  <c r="B64" i="125"/>
  <c r="A60" i="125"/>
  <c r="A59" i="125"/>
  <c r="G72" i="125"/>
  <c r="D59" i="125"/>
  <c r="C59" i="125"/>
  <c r="F64" i="125"/>
  <c r="H9" i="7" l="1"/>
  <c r="J47" i="7"/>
  <c r="D64" i="125"/>
  <c r="F59" i="125"/>
  <c r="E64" i="125"/>
  <c r="C64" i="125"/>
  <c r="E59" i="125"/>
  <c r="F66" i="125" l="1"/>
  <c r="F11" i="125" s="1"/>
  <c r="G59" i="125"/>
  <c r="E66" i="125"/>
  <c r="E11" i="125" s="1"/>
  <c r="D66" i="125"/>
  <c r="D11" i="125" s="1"/>
  <c r="C66" i="125"/>
  <c r="C11" i="125" s="1"/>
  <c r="G64" i="125"/>
  <c r="A14" i="42"/>
  <c r="B14" i="42"/>
  <c r="C14" i="42"/>
  <c r="D14" i="42"/>
  <c r="A15" i="42"/>
  <c r="B15" i="42"/>
  <c r="C15" i="42"/>
  <c r="D15" i="42"/>
  <c r="A20" i="35"/>
  <c r="B20" i="35"/>
  <c r="C20" i="35"/>
  <c r="D20" i="35"/>
  <c r="E20" i="35"/>
  <c r="H20" i="35"/>
  <c r="I20" i="35"/>
  <c r="J20" i="35"/>
  <c r="K20" i="35"/>
  <c r="A21" i="35"/>
  <c r="B21" i="35"/>
  <c r="C21" i="35"/>
  <c r="D21" i="35"/>
  <c r="E21" i="35"/>
  <c r="H21" i="35"/>
  <c r="I21" i="35"/>
  <c r="J21" i="35"/>
  <c r="K21" i="35"/>
  <c r="L9" i="113"/>
  <c r="L10" i="113"/>
  <c r="L11" i="113"/>
  <c r="L12" i="113"/>
  <c r="L13" i="113"/>
  <c r="L14" i="113"/>
  <c r="L15" i="113"/>
  <c r="L16" i="113"/>
  <c r="L17" i="113"/>
  <c r="L18" i="113"/>
  <c r="L19" i="113"/>
  <c r="L20" i="113"/>
  <c r="L21" i="113"/>
  <c r="L22" i="113"/>
  <c r="L23" i="113"/>
  <c r="L24" i="113"/>
  <c r="A14" i="33"/>
  <c r="B14" i="33"/>
  <c r="A15" i="33"/>
  <c r="B15" i="33"/>
  <c r="A13" i="33"/>
  <c r="B13" i="33"/>
  <c r="H38" i="118"/>
  <c r="H39" i="118"/>
  <c r="H40" i="118"/>
  <c r="H41" i="118"/>
  <c r="H42" i="118"/>
  <c r="H43" i="118"/>
  <c r="H44" i="118"/>
  <c r="H45" i="118"/>
  <c r="H46" i="118"/>
  <c r="H47" i="118"/>
  <c r="H48" i="118"/>
  <c r="H49" i="118"/>
  <c r="H50" i="118"/>
  <c r="H51" i="118"/>
  <c r="H52" i="118"/>
  <c r="H53" i="118"/>
  <c r="H54" i="118"/>
  <c r="H55" i="118"/>
  <c r="H56" i="118"/>
  <c r="H57" i="118"/>
  <c r="H58" i="118"/>
  <c r="H59" i="118"/>
  <c r="H60" i="118"/>
  <c r="H61" i="118"/>
  <c r="H62" i="118"/>
  <c r="H63" i="118"/>
  <c r="H64" i="118"/>
  <c r="H65" i="118"/>
  <c r="H66" i="118"/>
  <c r="E14" i="42" l="1"/>
  <c r="E15" i="42"/>
  <c r="G66" i="125"/>
  <c r="G11" i="125" s="1"/>
  <c r="N20" i="35"/>
  <c r="F21" i="35"/>
  <c r="L21" i="35" s="1"/>
  <c r="P20" i="35"/>
  <c r="O20" i="35"/>
  <c r="G21" i="35"/>
  <c r="G20" i="35"/>
  <c r="F20" i="35"/>
  <c r="L20" i="35" s="1"/>
  <c r="M20" i="35"/>
  <c r="L26" i="113"/>
  <c r="L28" i="113"/>
  <c r="A34" i="107"/>
  <c r="B34" i="107"/>
  <c r="C34" i="107"/>
  <c r="D34" i="107"/>
  <c r="E34" i="107"/>
  <c r="F34" i="107"/>
  <c r="G34" i="107"/>
  <c r="H34" i="107"/>
  <c r="A35" i="107"/>
  <c r="B35" i="107"/>
  <c r="C35" i="107"/>
  <c r="D35" i="107"/>
  <c r="E35" i="107"/>
  <c r="F35" i="107"/>
  <c r="G35" i="107"/>
  <c r="H35" i="107"/>
  <c r="A15" i="107"/>
  <c r="B15" i="107"/>
  <c r="C15" i="107"/>
  <c r="D15" i="107"/>
  <c r="E15" i="107"/>
  <c r="F15" i="107"/>
  <c r="G15" i="107"/>
  <c r="H15" i="107"/>
  <c r="A16" i="107"/>
  <c r="B16" i="107"/>
  <c r="C16" i="107"/>
  <c r="D16" i="107"/>
  <c r="E16" i="107"/>
  <c r="F16" i="107"/>
  <c r="G16" i="107"/>
  <c r="H16" i="107"/>
  <c r="B16" i="28" l="1"/>
  <c r="C11" i="107"/>
  <c r="D11" i="107"/>
  <c r="E11" i="107"/>
  <c r="F11" i="107"/>
  <c r="G11" i="107"/>
  <c r="H11" i="107"/>
  <c r="C12" i="107"/>
  <c r="D12" i="107"/>
  <c r="E12" i="107"/>
  <c r="F12" i="107"/>
  <c r="G12" i="107"/>
  <c r="H12" i="107"/>
  <c r="C13" i="107"/>
  <c r="D13" i="107"/>
  <c r="E13" i="107"/>
  <c r="F13" i="107"/>
  <c r="G13" i="107"/>
  <c r="H13" i="107"/>
  <c r="C14" i="107"/>
  <c r="D14" i="107"/>
  <c r="E14" i="107"/>
  <c r="F14" i="107"/>
  <c r="G14" i="107"/>
  <c r="H14" i="107"/>
  <c r="A12" i="107"/>
  <c r="B12" i="107"/>
  <c r="A13" i="107"/>
  <c r="B13" i="107"/>
  <c r="A14" i="107"/>
  <c r="B14" i="107"/>
  <c r="B11" i="107"/>
  <c r="A11" i="107"/>
  <c r="A30" i="82"/>
  <c r="A12" i="82"/>
  <c r="A13" i="82"/>
  <c r="A14" i="82"/>
  <c r="A15" i="82"/>
  <c r="A16" i="82"/>
  <c r="B12" i="82"/>
  <c r="C12" i="82"/>
  <c r="D12" i="82"/>
  <c r="E12" i="82"/>
  <c r="F12" i="82"/>
  <c r="G12" i="82"/>
  <c r="B13" i="82"/>
  <c r="C13" i="82"/>
  <c r="D13" i="82"/>
  <c r="E13" i="82"/>
  <c r="F13" i="82"/>
  <c r="G13" i="82"/>
  <c r="B14" i="82"/>
  <c r="C14" i="82"/>
  <c r="D14" i="82"/>
  <c r="E14" i="82"/>
  <c r="F14" i="82"/>
  <c r="G14" i="82"/>
  <c r="B15" i="82"/>
  <c r="C15" i="82"/>
  <c r="D15" i="82"/>
  <c r="E15" i="82"/>
  <c r="F15" i="82"/>
  <c r="G15" i="82"/>
  <c r="B16" i="82"/>
  <c r="C16" i="82"/>
  <c r="D16" i="82"/>
  <c r="E16" i="82"/>
  <c r="F16" i="82"/>
  <c r="G16" i="82"/>
  <c r="C11" i="82"/>
  <c r="D11" i="82"/>
  <c r="E11" i="82"/>
  <c r="F11" i="82"/>
  <c r="G11" i="82"/>
  <c r="B11" i="82"/>
  <c r="A11" i="82"/>
  <c r="A35" i="81"/>
  <c r="B35" i="81"/>
  <c r="C35" i="81"/>
  <c r="D35" i="81"/>
  <c r="E35" i="81"/>
  <c r="F35" i="81"/>
  <c r="G35" i="81"/>
  <c r="H35" i="81"/>
  <c r="A36" i="81"/>
  <c r="B36" i="81"/>
  <c r="C36" i="81"/>
  <c r="D36" i="81"/>
  <c r="E36" i="81"/>
  <c r="F36" i="81"/>
  <c r="G36" i="81"/>
  <c r="H36" i="81"/>
  <c r="A16" i="81"/>
  <c r="B16" i="81"/>
  <c r="C16" i="81"/>
  <c r="D16" i="81"/>
  <c r="E16" i="81"/>
  <c r="F16" i="81"/>
  <c r="G16" i="81"/>
  <c r="H16" i="81"/>
  <c r="A17" i="81"/>
  <c r="B17" i="81"/>
  <c r="C17" i="81"/>
  <c r="D17" i="81"/>
  <c r="E17" i="81"/>
  <c r="F17" i="81"/>
  <c r="G17" i="81"/>
  <c r="H17" i="81"/>
  <c r="B31" i="106"/>
  <c r="B32" i="106"/>
  <c r="C32" i="106"/>
  <c r="B33" i="106"/>
  <c r="C33" i="106"/>
  <c r="B34" i="106"/>
  <c r="C34" i="106"/>
  <c r="D34" i="106"/>
  <c r="B35" i="106"/>
  <c r="C35" i="106"/>
  <c r="D35" i="106"/>
  <c r="B36" i="106"/>
  <c r="C36" i="106"/>
  <c r="D36" i="106"/>
  <c r="B30" i="106"/>
  <c r="A16" i="106"/>
  <c r="B16" i="106"/>
  <c r="C16" i="106"/>
  <c r="D16" i="106"/>
  <c r="A17" i="106"/>
  <c r="B17" i="106"/>
  <c r="C17" i="106"/>
  <c r="D17" i="106"/>
  <c r="B32" i="105"/>
  <c r="B33" i="105"/>
  <c r="C33" i="105"/>
  <c r="B34" i="105"/>
  <c r="C34" i="105"/>
  <c r="B35" i="105"/>
  <c r="C35" i="105"/>
  <c r="D35" i="105"/>
  <c r="B36" i="105"/>
  <c r="C36" i="105"/>
  <c r="D36" i="105"/>
  <c r="B37" i="105"/>
  <c r="C37" i="105"/>
  <c r="D37" i="105"/>
  <c r="B31" i="105"/>
  <c r="A32" i="105"/>
  <c r="A33" i="105"/>
  <c r="A34" i="105"/>
  <c r="A35" i="105"/>
  <c r="A36" i="105"/>
  <c r="A37" i="105"/>
  <c r="A31" i="105"/>
  <c r="A16" i="105"/>
  <c r="B16" i="105"/>
  <c r="C16" i="105"/>
  <c r="D16" i="105"/>
  <c r="E16" i="105"/>
  <c r="A17" i="105"/>
  <c r="B17" i="105"/>
  <c r="C17" i="105"/>
  <c r="D17" i="105"/>
  <c r="E17" i="105"/>
  <c r="A68" i="28"/>
  <c r="F68" i="28"/>
  <c r="A50" i="28"/>
  <c r="A51" i="28"/>
  <c r="A14" i="28"/>
  <c r="B14" i="28"/>
  <c r="C14" i="28"/>
  <c r="E14" i="28"/>
  <c r="F14" i="28"/>
  <c r="G14" i="28"/>
  <c r="A15" i="28"/>
  <c r="B15" i="28"/>
  <c r="C15" i="28"/>
  <c r="E15" i="28"/>
  <c r="F15" i="28"/>
  <c r="G15" i="28"/>
  <c r="A16" i="28"/>
  <c r="C16" i="28"/>
  <c r="E16" i="28"/>
  <c r="F16" i="28"/>
  <c r="G16" i="28"/>
  <c r="A17" i="28"/>
  <c r="B17" i="28"/>
  <c r="C17" i="28"/>
  <c r="E17" i="28"/>
  <c r="F17" i="28"/>
  <c r="G17" i="28"/>
  <c r="A18" i="28"/>
  <c r="B18" i="28"/>
  <c r="C18" i="28"/>
  <c r="E18" i="28"/>
  <c r="F18" i="28"/>
  <c r="G18" i="28"/>
  <c r="A19" i="28"/>
  <c r="B19" i="28"/>
  <c r="C19" i="28"/>
  <c r="E19" i="28"/>
  <c r="F19" i="28"/>
  <c r="G19" i="28"/>
  <c r="A67" i="28"/>
  <c r="F67" i="28"/>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A31" i="26"/>
  <c r="B31" i="26"/>
  <c r="C31" i="26"/>
  <c r="D31" i="26"/>
  <c r="E31" i="26"/>
  <c r="F31" i="26"/>
  <c r="G31" i="26"/>
  <c r="H31" i="26"/>
  <c r="I31" i="26"/>
  <c r="A32" i="26"/>
  <c r="B32" i="26"/>
  <c r="C32" i="26"/>
  <c r="D32" i="26"/>
  <c r="E32" i="26"/>
  <c r="F32" i="26"/>
  <c r="G32" i="26"/>
  <c r="H32" i="26"/>
  <c r="I32" i="26"/>
  <c r="A14" i="26"/>
  <c r="B14" i="26"/>
  <c r="C14" i="26"/>
  <c r="D14" i="26"/>
  <c r="E14" i="26"/>
  <c r="F14" i="26"/>
  <c r="G14" i="26"/>
  <c r="H14" i="26"/>
  <c r="I14" i="26"/>
  <c r="A15" i="26"/>
  <c r="B15" i="26"/>
  <c r="C15" i="26"/>
  <c r="D15" i="26"/>
  <c r="E15" i="26"/>
  <c r="F15" i="26"/>
  <c r="G15" i="26"/>
  <c r="H15" i="26"/>
  <c r="I15" i="26"/>
  <c r="G26" i="28" l="1"/>
  <c r="G27" i="28" s="1"/>
  <c r="F26" i="28"/>
  <c r="F27" i="28" s="1"/>
  <c r="E68" i="28"/>
  <c r="B68" i="28"/>
  <c r="E48" i="28"/>
  <c r="E50" i="28"/>
  <c r="D17" i="28"/>
  <c r="D49" i="28" s="1"/>
  <c r="E47" i="28"/>
  <c r="C67" i="28"/>
  <c r="K15" i="26"/>
  <c r="G42" i="27"/>
  <c r="K32" i="26"/>
  <c r="B22" i="28"/>
  <c r="B23" i="28" s="1"/>
  <c r="B26" i="28"/>
  <c r="B27" i="28" s="1"/>
  <c r="D16" i="28"/>
  <c r="C48" i="28" s="1"/>
  <c r="E49" i="28"/>
  <c r="D18" i="28"/>
  <c r="D67" i="28" s="1"/>
  <c r="A25" i="28"/>
  <c r="C26" i="28"/>
  <c r="C27" i="28" s="1"/>
  <c r="J14" i="26"/>
  <c r="K31" i="26"/>
  <c r="K14" i="26"/>
  <c r="J31" i="26"/>
  <c r="E67" i="28"/>
  <c r="J32" i="26"/>
  <c r="B67" i="28"/>
  <c r="J15" i="26"/>
  <c r="E51" i="28"/>
  <c r="E46" i="28"/>
  <c r="C68" i="28"/>
  <c r="E26" i="28"/>
  <c r="E27" i="28" s="1"/>
  <c r="D14" i="28"/>
  <c r="D19" i="28"/>
  <c r="B51" i="28" s="1"/>
  <c r="D15" i="28"/>
  <c r="D47" i="28" s="1"/>
  <c r="I35" i="21"/>
  <c r="I34" i="21"/>
  <c r="H35" i="21"/>
  <c r="H34" i="21"/>
  <c r="G35" i="21"/>
  <c r="G34" i="21"/>
  <c r="F35" i="21"/>
  <c r="F34" i="21"/>
  <c r="E35" i="21"/>
  <c r="E34" i="21"/>
  <c r="D35" i="21"/>
  <c r="C34" i="21"/>
  <c r="C35" i="21"/>
  <c r="B35" i="21"/>
  <c r="B34" i="21"/>
  <c r="A35" i="21"/>
  <c r="A34" i="21"/>
  <c r="I18" i="21"/>
  <c r="I17" i="21"/>
  <c r="H18" i="21"/>
  <c r="H17" i="21"/>
  <c r="G18" i="21"/>
  <c r="G17" i="21"/>
  <c r="F18" i="21"/>
  <c r="F17" i="21"/>
  <c r="E18" i="21"/>
  <c r="E17" i="21"/>
  <c r="C18" i="21"/>
  <c r="C17" i="21"/>
  <c r="B18" i="21"/>
  <c r="B17" i="21"/>
  <c r="B16" i="21"/>
  <c r="D16" i="19"/>
  <c r="D11" i="19"/>
  <c r="D12" i="19"/>
  <c r="D13" i="19"/>
  <c r="D14" i="19"/>
  <c r="D15" i="19"/>
  <c r="D17" i="19"/>
  <c r="D18" i="19"/>
  <c r="D19" i="19"/>
  <c r="D20" i="19"/>
  <c r="D10" i="19"/>
  <c r="D9" i="19"/>
  <c r="G19" i="15"/>
  <c r="F19" i="15"/>
  <c r="A18" i="15"/>
  <c r="B18" i="15"/>
  <c r="C18" i="15"/>
  <c r="D18" i="15"/>
  <c r="E18" i="15"/>
  <c r="H18" i="15"/>
  <c r="I18" i="15"/>
  <c r="J18" i="15"/>
  <c r="K18" i="15"/>
  <c r="L18" i="15"/>
  <c r="M18" i="15"/>
  <c r="A19" i="15"/>
  <c r="A32" i="15" s="1"/>
  <c r="B19" i="15"/>
  <c r="C19" i="15"/>
  <c r="D19" i="15"/>
  <c r="E19" i="15"/>
  <c r="H19" i="15"/>
  <c r="I19" i="15"/>
  <c r="J19" i="15"/>
  <c r="K19" i="15"/>
  <c r="L19" i="15"/>
  <c r="M19" i="15"/>
  <c r="E12" i="115"/>
  <c r="E11" i="115"/>
  <c r="D12" i="115"/>
  <c r="D11" i="115"/>
  <c r="C12" i="115"/>
  <c r="C11" i="115"/>
  <c r="B12" i="115"/>
  <c r="B11" i="115"/>
  <c r="A12" i="115"/>
  <c r="A11" i="115"/>
  <c r="D17" i="40"/>
  <c r="D18" i="40"/>
  <c r="D14" i="40"/>
  <c r="B12" i="17"/>
  <c r="D13" i="40"/>
  <c r="D16" i="40"/>
  <c r="D12" i="40"/>
  <c r="D11" i="40"/>
  <c r="D15" i="40"/>
  <c r="C12" i="17"/>
  <c r="D29" i="13"/>
  <c r="K31" i="15" l="1"/>
  <c r="C35" i="15"/>
  <c r="C36" i="15" s="1"/>
  <c r="F17" i="105"/>
  <c r="F16" i="105"/>
  <c r="B49" i="28"/>
  <c r="C49" i="28"/>
  <c r="F35" i="15"/>
  <c r="E32" i="15"/>
  <c r="D48" i="28"/>
  <c r="B48" i="28"/>
  <c r="I35" i="15"/>
  <c r="I36" i="15" s="1"/>
  <c r="F32" i="15"/>
  <c r="C50" i="28"/>
  <c r="E35" i="15"/>
  <c r="E36" i="15" s="1"/>
  <c r="K35" i="15"/>
  <c r="K36" i="15" s="1"/>
  <c r="D50" i="28"/>
  <c r="J35" i="15"/>
  <c r="J36" i="15" s="1"/>
  <c r="M31" i="15"/>
  <c r="C31" i="15"/>
  <c r="B50" i="28"/>
  <c r="D31" i="15"/>
  <c r="F39" i="15"/>
  <c r="D21" i="19"/>
  <c r="D38" i="19" s="1"/>
  <c r="D26" i="28"/>
  <c r="D27" i="28" s="1"/>
  <c r="D68" i="28"/>
  <c r="D51" i="28"/>
  <c r="B47" i="28"/>
  <c r="N19" i="15"/>
  <c r="P19" i="15" s="1"/>
  <c r="C47" i="28"/>
  <c r="B46" i="28"/>
  <c r="E31" i="15"/>
  <c r="H35" i="15"/>
  <c r="H36" i="15" s="1"/>
  <c r="C46" i="28"/>
  <c r="G35" i="15"/>
  <c r="C51" i="28"/>
  <c r="D46" i="28"/>
  <c r="D19" i="40"/>
  <c r="L32" i="15"/>
  <c r="G32" i="15"/>
  <c r="M35" i="15"/>
  <c r="M36" i="15" s="1"/>
  <c r="L35" i="15"/>
  <c r="L36" i="15" s="1"/>
  <c r="D35" i="15"/>
  <c r="D36" i="15" s="1"/>
  <c r="L31" i="15"/>
  <c r="B31" i="15"/>
  <c r="B35" i="15"/>
  <c r="B36" i="15" s="1"/>
  <c r="G39" i="15"/>
  <c r="J31" i="15"/>
  <c r="I31" i="15"/>
  <c r="D12" i="17"/>
  <c r="F12" i="17" s="1"/>
  <c r="A34" i="15"/>
  <c r="J32" i="15"/>
  <c r="D32" i="15"/>
  <c r="H31" i="15"/>
  <c r="B32" i="15"/>
  <c r="A31" i="15"/>
  <c r="K32" i="15"/>
  <c r="O19" i="15"/>
  <c r="C32" i="15"/>
  <c r="I32" i="15"/>
  <c r="N18" i="15"/>
  <c r="H32" i="15"/>
  <c r="O18" i="15"/>
  <c r="M32" i="15"/>
  <c r="F11" i="115"/>
  <c r="F12" i="115"/>
  <c r="D36" i="19" l="1"/>
  <c r="D37" i="19"/>
  <c r="D33" i="19"/>
  <c r="D39" i="19"/>
  <c r="D40" i="19"/>
  <c r="D35" i="19"/>
  <c r="D34" i="19"/>
  <c r="D34" i="40"/>
  <c r="D35" i="40"/>
  <c r="D37" i="40"/>
  <c r="D38" i="40"/>
  <c r="D40" i="40"/>
  <c r="D36" i="40"/>
  <c r="D41" i="40"/>
  <c r="D39" i="40"/>
  <c r="D33" i="40"/>
  <c r="N35" i="15"/>
  <c r="N36" i="15" s="1"/>
  <c r="O35" i="15"/>
  <c r="O36" i="15" s="1"/>
  <c r="N32" i="15"/>
  <c r="E12" i="17"/>
  <c r="Q18" i="15"/>
  <c r="O31" i="15"/>
  <c r="Q19" i="15"/>
  <c r="O32" i="15"/>
  <c r="P18" i="15"/>
  <c r="P35" i="15" s="1"/>
  <c r="P36" i="15" s="1"/>
  <c r="N31" i="15"/>
  <c r="M19" i="24"/>
  <c r="L19" i="24"/>
  <c r="K19" i="24"/>
  <c r="L18" i="24"/>
  <c r="J19" i="24"/>
  <c r="F19" i="24"/>
  <c r="C10" i="92"/>
  <c r="C9" i="92"/>
  <c r="C8" i="92"/>
  <c r="C7" i="92"/>
  <c r="C6" i="92"/>
  <c r="B10" i="92"/>
  <c r="B9" i="92"/>
  <c r="B8" i="92"/>
  <c r="B7" i="92"/>
  <c r="B6" i="92"/>
  <c r="N19" i="24"/>
  <c r="N18" i="24"/>
  <c r="D42" i="40" l="1"/>
  <c r="Q35" i="15"/>
  <c r="Q36" i="15" s="1"/>
  <c r="Q31" i="15"/>
  <c r="Q32" i="15"/>
  <c r="P32" i="15"/>
  <c r="P31" i="15"/>
  <c r="A13" i="100" l="1"/>
  <c r="A12" i="100"/>
  <c r="A18" i="24" l="1"/>
  <c r="F37" i="2" l="1"/>
  <c r="F38" i="2"/>
  <c r="F39" i="2"/>
  <c r="F40" i="2"/>
  <c r="F41" i="2"/>
  <c r="F42" i="2"/>
  <c r="F43" i="2"/>
  <c r="F44" i="2"/>
  <c r="F45" i="2"/>
  <c r="A44" i="2"/>
  <c r="B44" i="2"/>
  <c r="C44" i="2"/>
  <c r="D44" i="2"/>
  <c r="E44" i="2"/>
  <c r="A45" i="2"/>
  <c r="B45" i="2"/>
  <c r="C45" i="2"/>
  <c r="D45" i="2"/>
  <c r="E45" i="2"/>
  <c r="A17" i="2"/>
  <c r="B17" i="2"/>
  <c r="C17" i="2"/>
  <c r="D17" i="2"/>
  <c r="E17" i="2"/>
  <c r="F17" i="2"/>
  <c r="G17" i="2"/>
  <c r="A18" i="2"/>
  <c r="B18" i="2"/>
  <c r="C18" i="2"/>
  <c r="D18" i="2"/>
  <c r="E18" i="2"/>
  <c r="F18" i="2"/>
  <c r="G18" i="2"/>
  <c r="G10" i="2"/>
  <c r="G11" i="2"/>
  <c r="G12" i="2"/>
  <c r="G13" i="2"/>
  <c r="G14" i="2"/>
  <c r="G15" i="2"/>
  <c r="G16" i="2"/>
  <c r="F16" i="2"/>
  <c r="E16" i="2"/>
  <c r="F15" i="2"/>
  <c r="E15" i="2"/>
  <c r="F14" i="2"/>
  <c r="E14" i="2"/>
  <c r="F13" i="2"/>
  <c r="E13" i="2"/>
  <c r="F12" i="2"/>
  <c r="E12" i="2"/>
  <c r="F11" i="2"/>
  <c r="E11" i="2"/>
  <c r="F10" i="2"/>
  <c r="E10" i="2"/>
  <c r="G45" i="2" l="1"/>
  <c r="H17" i="2"/>
  <c r="J17" i="2" s="1"/>
  <c r="H18" i="2"/>
  <c r="G44" i="2"/>
  <c r="D48" i="2"/>
  <c r="D49" i="2" s="1"/>
  <c r="A47" i="2"/>
  <c r="G25" i="2"/>
  <c r="G26" i="2" s="1"/>
  <c r="B21" i="2"/>
  <c r="B22" i="2" s="1"/>
  <c r="E25" i="2"/>
  <c r="E26" i="2" s="1"/>
  <c r="F52" i="2"/>
  <c r="F53" i="2" s="1"/>
  <c r="F25" i="2"/>
  <c r="F26" i="2" s="1"/>
  <c r="B48" i="2"/>
  <c r="B49" i="2" s="1"/>
  <c r="F48" i="2"/>
  <c r="F49" i="2" s="1"/>
  <c r="A20" i="2"/>
  <c r="E48" i="2"/>
  <c r="E49" i="2" s="1"/>
  <c r="C48" i="2"/>
  <c r="C49" i="2" s="1"/>
  <c r="G21" i="2"/>
  <c r="G22" i="2" s="1"/>
  <c r="F21" i="2"/>
  <c r="F22" i="2" s="1"/>
  <c r="E21" i="2"/>
  <c r="E22" i="2" s="1"/>
  <c r="D21" i="2"/>
  <c r="D22" i="2" s="1"/>
  <c r="C21" i="2"/>
  <c r="C22" i="2" s="1"/>
  <c r="B18" i="24"/>
  <c r="C18" i="24"/>
  <c r="D18" i="24"/>
  <c r="E18" i="24"/>
  <c r="F18" i="24"/>
  <c r="G18" i="24"/>
  <c r="H18" i="24"/>
  <c r="J18" i="24"/>
  <c r="K18" i="24"/>
  <c r="M18" i="24"/>
  <c r="A19" i="24"/>
  <c r="B19" i="24"/>
  <c r="C19" i="24"/>
  <c r="D19" i="24"/>
  <c r="E19" i="24"/>
  <c r="G19" i="24"/>
  <c r="H19" i="24"/>
  <c r="E19" i="22"/>
  <c r="D19" i="22"/>
  <c r="C19" i="22"/>
  <c r="B19" i="22"/>
  <c r="A19" i="22"/>
  <c r="A31" i="22" s="1"/>
  <c r="A18" i="22"/>
  <c r="A30" i="22" s="1"/>
  <c r="B18" i="22"/>
  <c r="C18" i="22"/>
  <c r="D18" i="22"/>
  <c r="E18" i="22"/>
  <c r="I19" i="24" l="1"/>
  <c r="F19" i="22"/>
  <c r="B31" i="22" s="1"/>
  <c r="I18" i="24"/>
  <c r="G48" i="2"/>
  <c r="G49" i="2" s="1"/>
  <c r="J18" i="2"/>
  <c r="H21" i="2"/>
  <c r="H22" i="2" s="1"/>
  <c r="F18" i="22"/>
  <c r="E30" i="22" s="1"/>
  <c r="C31" i="22" l="1"/>
  <c r="D31" i="22"/>
  <c r="E31" i="22"/>
  <c r="J21" i="2"/>
  <c r="J22" i="2" s="1"/>
  <c r="D30" i="22"/>
  <c r="C30" i="22"/>
  <c r="B30" i="22"/>
  <c r="F31" i="22" l="1"/>
  <c r="F30" i="22"/>
  <c r="B52" i="89" l="1"/>
  <c r="B10" i="89"/>
  <c r="C12" i="36"/>
  <c r="B37" i="35"/>
  <c r="A11" i="35"/>
  <c r="A10" i="33"/>
  <c r="C10" i="30"/>
  <c r="A11" i="81"/>
  <c r="A11" i="105"/>
  <c r="A10" i="28"/>
  <c r="C10" i="27"/>
  <c r="A11" i="26"/>
  <c r="I33" i="21"/>
  <c r="H33" i="21"/>
  <c r="G33" i="21"/>
  <c r="F33" i="21"/>
  <c r="E33" i="21"/>
  <c r="C33" i="21"/>
  <c r="B33" i="21"/>
  <c r="A33" i="21"/>
  <c r="I32" i="21"/>
  <c r="H32" i="21"/>
  <c r="G32" i="21"/>
  <c r="F32" i="21"/>
  <c r="E32" i="21"/>
  <c r="C32" i="21"/>
  <c r="B32" i="21"/>
  <c r="A32" i="21"/>
  <c r="I31" i="21"/>
  <c r="H31" i="21"/>
  <c r="G31" i="21"/>
  <c r="F31" i="21"/>
  <c r="E31" i="21"/>
  <c r="C31" i="21"/>
  <c r="B31" i="21"/>
  <c r="A31" i="21"/>
  <c r="I30" i="21"/>
  <c r="H30" i="21"/>
  <c r="G30" i="21"/>
  <c r="F30" i="21"/>
  <c r="E30" i="21"/>
  <c r="C30" i="21"/>
  <c r="B30" i="21"/>
  <c r="A30" i="21"/>
  <c r="I16" i="21"/>
  <c r="H16" i="21"/>
  <c r="G16" i="21"/>
  <c r="F16" i="21"/>
  <c r="E16" i="21"/>
  <c r="C16" i="21"/>
  <c r="A16" i="21"/>
  <c r="I15" i="21"/>
  <c r="H15" i="21"/>
  <c r="G15" i="21"/>
  <c r="F15" i="21"/>
  <c r="E15" i="21"/>
  <c r="C15" i="21"/>
  <c r="B15" i="21"/>
  <c r="A15" i="21"/>
  <c r="I14" i="21"/>
  <c r="H14" i="21"/>
  <c r="G14" i="21"/>
  <c r="F14" i="21"/>
  <c r="E14" i="21"/>
  <c r="C14" i="21"/>
  <c r="B14" i="21"/>
  <c r="A14" i="21"/>
  <c r="I13" i="21"/>
  <c r="H13" i="21"/>
  <c r="G13" i="21"/>
  <c r="F13" i="21"/>
  <c r="E13" i="21"/>
  <c r="C13" i="21"/>
  <c r="B13" i="21"/>
  <c r="A13" i="21"/>
  <c r="I12" i="21"/>
  <c r="H12" i="21"/>
  <c r="G12" i="21"/>
  <c r="F12" i="21"/>
  <c r="E12" i="21"/>
  <c r="C12" i="21"/>
  <c r="B12" i="21"/>
  <c r="A12" i="21"/>
  <c r="I11" i="21"/>
  <c r="H11" i="21"/>
  <c r="G11" i="21"/>
  <c r="F11" i="21"/>
  <c r="E11" i="21"/>
  <c r="C11" i="21"/>
  <c r="B11" i="21"/>
  <c r="A11" i="21"/>
  <c r="I10" i="21"/>
  <c r="H10" i="21"/>
  <c r="G10" i="21"/>
  <c r="F10" i="21"/>
  <c r="E10" i="21"/>
  <c r="C10" i="21"/>
  <c r="B10" i="21"/>
  <c r="A10" i="21"/>
  <c r="Y17" i="20"/>
  <c r="X17" i="20"/>
  <c r="W17" i="20"/>
  <c r="V17" i="20"/>
  <c r="U17" i="20"/>
  <c r="T17" i="20"/>
  <c r="S17" i="20"/>
  <c r="R17" i="20"/>
  <c r="Q17" i="20"/>
  <c r="P17" i="20"/>
  <c r="O17" i="20"/>
  <c r="N17" i="20"/>
  <c r="M17" i="20"/>
  <c r="L17" i="20"/>
  <c r="K17" i="20"/>
  <c r="G17" i="20"/>
  <c r="F17" i="20"/>
  <c r="E17" i="20"/>
  <c r="D17" i="20"/>
  <c r="C17" i="20"/>
  <c r="B17" i="20"/>
  <c r="Y16" i="20"/>
  <c r="X16" i="20"/>
  <c r="W16" i="20"/>
  <c r="V16" i="20"/>
  <c r="U16" i="20"/>
  <c r="T16" i="20"/>
  <c r="S16" i="20"/>
  <c r="R16" i="20"/>
  <c r="Q16" i="20"/>
  <c r="P16" i="20"/>
  <c r="O16" i="20"/>
  <c r="N16" i="20"/>
  <c r="M16" i="20"/>
  <c r="L16" i="20"/>
  <c r="K16" i="20"/>
  <c r="G16" i="20"/>
  <c r="F16" i="20"/>
  <c r="E16" i="20"/>
  <c r="D16" i="20"/>
  <c r="C16" i="20"/>
  <c r="B16" i="20"/>
  <c r="Y15" i="20"/>
  <c r="X15" i="20"/>
  <c r="W15" i="20"/>
  <c r="V15" i="20"/>
  <c r="U15" i="20"/>
  <c r="T15" i="20"/>
  <c r="S15" i="20"/>
  <c r="R15" i="20"/>
  <c r="Q15" i="20"/>
  <c r="P15" i="20"/>
  <c r="O15" i="20"/>
  <c r="N15" i="20"/>
  <c r="M15" i="20"/>
  <c r="L15" i="20"/>
  <c r="K15" i="20"/>
  <c r="G15" i="20"/>
  <c r="F15" i="20"/>
  <c r="E15" i="20"/>
  <c r="D15" i="20"/>
  <c r="C15" i="20"/>
  <c r="B15" i="20"/>
  <c r="Y14" i="20"/>
  <c r="X14" i="20"/>
  <c r="W14" i="20"/>
  <c r="V14" i="20"/>
  <c r="U14" i="20"/>
  <c r="T14" i="20"/>
  <c r="S14" i="20"/>
  <c r="R14" i="20"/>
  <c r="Q14" i="20"/>
  <c r="P14" i="20"/>
  <c r="O14" i="20"/>
  <c r="N14" i="20"/>
  <c r="M14" i="20"/>
  <c r="L14" i="20"/>
  <c r="K14" i="20"/>
  <c r="G14" i="20"/>
  <c r="F14" i="20"/>
  <c r="E14" i="20"/>
  <c r="D14" i="20"/>
  <c r="C14" i="20"/>
  <c r="B14" i="20"/>
  <c r="Y13" i="20"/>
  <c r="X13" i="20"/>
  <c r="W13" i="20"/>
  <c r="V13" i="20"/>
  <c r="U13" i="20"/>
  <c r="T13" i="20"/>
  <c r="S13" i="20"/>
  <c r="R13" i="20"/>
  <c r="Q13" i="20"/>
  <c r="P13" i="20"/>
  <c r="O13" i="20"/>
  <c r="N13" i="20"/>
  <c r="M13" i="20"/>
  <c r="L13" i="20"/>
  <c r="K13" i="20"/>
  <c r="G13" i="20"/>
  <c r="F13" i="20"/>
  <c r="E13" i="20"/>
  <c r="D13" i="20"/>
  <c r="C13" i="20"/>
  <c r="B13" i="20"/>
  <c r="Y12" i="20"/>
  <c r="X12" i="20"/>
  <c r="W12" i="20"/>
  <c r="V12" i="20"/>
  <c r="U12" i="20"/>
  <c r="T12" i="20"/>
  <c r="S12" i="20"/>
  <c r="R12" i="20"/>
  <c r="Q12" i="20"/>
  <c r="P12" i="20"/>
  <c r="O12" i="20"/>
  <c r="N12" i="20"/>
  <c r="M12" i="20"/>
  <c r="L12" i="20"/>
  <c r="K12" i="20"/>
  <c r="G12" i="20"/>
  <c r="F12" i="20"/>
  <c r="E12" i="20"/>
  <c r="D12" i="20"/>
  <c r="C12" i="20"/>
  <c r="B12" i="20"/>
  <c r="Y11" i="20"/>
  <c r="X11" i="20"/>
  <c r="W11" i="20"/>
  <c r="V11" i="20"/>
  <c r="U11" i="20"/>
  <c r="T11" i="20"/>
  <c r="S11" i="20"/>
  <c r="R11" i="20"/>
  <c r="Q11" i="20"/>
  <c r="P11" i="20"/>
  <c r="O11" i="20"/>
  <c r="N11" i="20"/>
  <c r="M11" i="20"/>
  <c r="L11" i="20"/>
  <c r="K11" i="20"/>
  <c r="G11" i="20"/>
  <c r="F11" i="20"/>
  <c r="E11" i="20"/>
  <c r="D11" i="20"/>
  <c r="C11" i="20"/>
  <c r="B11" i="20"/>
  <c r="A17" i="20"/>
  <c r="A16" i="20"/>
  <c r="A15" i="20"/>
  <c r="A14" i="20"/>
  <c r="A13" i="20"/>
  <c r="A12" i="20"/>
  <c r="A11" i="20"/>
  <c r="G20" i="19"/>
  <c r="F20" i="19"/>
  <c r="E20" i="19"/>
  <c r="C20" i="19"/>
  <c r="B20" i="19"/>
  <c r="A20" i="19"/>
  <c r="G19" i="19"/>
  <c r="F19" i="19"/>
  <c r="E19" i="19"/>
  <c r="C19" i="19"/>
  <c r="B19" i="19"/>
  <c r="A19" i="19"/>
  <c r="A18" i="19"/>
  <c r="A17" i="19"/>
  <c r="B17" i="19" s="1"/>
  <c r="G16" i="19"/>
  <c r="F16" i="19"/>
  <c r="E16" i="19"/>
  <c r="C16" i="19"/>
  <c r="B16" i="19"/>
  <c r="A16" i="19"/>
  <c r="G15" i="19"/>
  <c r="F15" i="19"/>
  <c r="E15" i="19"/>
  <c r="C15" i="19"/>
  <c r="B15" i="19"/>
  <c r="A15" i="19"/>
  <c r="G14" i="19"/>
  <c r="F14" i="19"/>
  <c r="E14" i="19"/>
  <c r="C14" i="19"/>
  <c r="B14" i="19"/>
  <c r="A14" i="19"/>
  <c r="G13" i="19"/>
  <c r="F13" i="19"/>
  <c r="E13" i="19"/>
  <c r="C13" i="19"/>
  <c r="B13" i="19"/>
  <c r="A13" i="19"/>
  <c r="G12" i="19"/>
  <c r="F12" i="19"/>
  <c r="E12" i="19"/>
  <c r="C12" i="19"/>
  <c r="B12" i="19"/>
  <c r="A12" i="19"/>
  <c r="G11" i="19"/>
  <c r="F11" i="19"/>
  <c r="E11" i="19"/>
  <c r="C11" i="19"/>
  <c r="B11" i="19"/>
  <c r="A11" i="19"/>
  <c r="G10" i="19"/>
  <c r="F10" i="19"/>
  <c r="E10" i="19"/>
  <c r="C10" i="19"/>
  <c r="B10" i="19"/>
  <c r="A10" i="19"/>
  <c r="G9" i="19"/>
  <c r="F9" i="19"/>
  <c r="E9" i="19"/>
  <c r="C9" i="19"/>
  <c r="B9" i="19"/>
  <c r="M17" i="15"/>
  <c r="L17" i="15"/>
  <c r="K17" i="15"/>
  <c r="J17" i="15"/>
  <c r="I17" i="15"/>
  <c r="H17" i="15"/>
  <c r="E17" i="15"/>
  <c r="D17" i="15"/>
  <c r="C17" i="15"/>
  <c r="B17" i="15"/>
  <c r="A17" i="15"/>
  <c r="M16" i="15"/>
  <c r="L16" i="15"/>
  <c r="K16" i="15"/>
  <c r="J16" i="15"/>
  <c r="I16" i="15"/>
  <c r="H16" i="15"/>
  <c r="E16" i="15"/>
  <c r="D16" i="15"/>
  <c r="C16" i="15"/>
  <c r="B16" i="15"/>
  <c r="A16" i="15"/>
  <c r="M15" i="15"/>
  <c r="L15" i="15"/>
  <c r="K15" i="15"/>
  <c r="J15" i="15"/>
  <c r="I15" i="15"/>
  <c r="H15" i="15"/>
  <c r="E15" i="15"/>
  <c r="D15" i="15"/>
  <c r="C15" i="15"/>
  <c r="B15" i="15"/>
  <c r="A15" i="15"/>
  <c r="M14" i="15"/>
  <c r="M39" i="15" s="1"/>
  <c r="M40" i="15" s="1"/>
  <c r="L14" i="15"/>
  <c r="L39" i="15" s="1"/>
  <c r="L40" i="15" s="1"/>
  <c r="K14" i="15"/>
  <c r="K39" i="15" s="1"/>
  <c r="K40" i="15" s="1"/>
  <c r="J14" i="15"/>
  <c r="J39" i="15" s="1"/>
  <c r="J40" i="15" s="1"/>
  <c r="I14" i="15"/>
  <c r="I39" i="15" s="1"/>
  <c r="I40" i="15" s="1"/>
  <c r="H14" i="15"/>
  <c r="H39" i="15" s="1"/>
  <c r="H40" i="15" s="1"/>
  <c r="E14" i="15"/>
  <c r="D14" i="15"/>
  <c r="D39" i="15" s="1"/>
  <c r="D40" i="15" s="1"/>
  <c r="C14" i="15"/>
  <c r="C39" i="15" s="1"/>
  <c r="C40" i="15" s="1"/>
  <c r="B14" i="15"/>
  <c r="B39" i="15" s="1"/>
  <c r="B40" i="15" s="1"/>
  <c r="A14" i="15"/>
  <c r="A38" i="15" s="1"/>
  <c r="M13" i="15"/>
  <c r="L13" i="15"/>
  <c r="K13" i="15"/>
  <c r="J13" i="15"/>
  <c r="I13" i="15"/>
  <c r="H13" i="15"/>
  <c r="E13" i="15"/>
  <c r="D13" i="15"/>
  <c r="C13" i="15"/>
  <c r="B13" i="15"/>
  <c r="A13" i="15"/>
  <c r="M12" i="15"/>
  <c r="L12" i="15"/>
  <c r="K12" i="15"/>
  <c r="J12" i="15"/>
  <c r="I12" i="15"/>
  <c r="H12" i="15"/>
  <c r="E12" i="15"/>
  <c r="D12" i="15"/>
  <c r="C12" i="15"/>
  <c r="B12" i="15"/>
  <c r="A12" i="15"/>
  <c r="M11" i="15"/>
  <c r="L11" i="15"/>
  <c r="K11" i="15"/>
  <c r="J11" i="15"/>
  <c r="I11" i="15"/>
  <c r="H11" i="15"/>
  <c r="E11" i="15"/>
  <c r="D11" i="15"/>
  <c r="C11" i="15"/>
  <c r="B11" i="15"/>
  <c r="A11" i="15"/>
  <c r="I31" i="10"/>
  <c r="H31" i="10"/>
  <c r="G31" i="10"/>
  <c r="F31" i="10"/>
  <c r="E31" i="10"/>
  <c r="D31" i="10"/>
  <c r="C31" i="10"/>
  <c r="I28" i="10"/>
  <c r="H28" i="10"/>
  <c r="G28" i="10"/>
  <c r="F28" i="10"/>
  <c r="E28" i="10"/>
  <c r="D28" i="10"/>
  <c r="C28" i="10"/>
  <c r="I27" i="10"/>
  <c r="H27" i="10"/>
  <c r="G27" i="10"/>
  <c r="F27" i="10"/>
  <c r="E27" i="10"/>
  <c r="D27" i="10"/>
  <c r="C27" i="10"/>
  <c r="I26" i="10"/>
  <c r="H26" i="10"/>
  <c r="G26" i="10"/>
  <c r="F26" i="10"/>
  <c r="E26" i="10"/>
  <c r="D26" i="10"/>
  <c r="C26" i="10"/>
  <c r="H12" i="10"/>
  <c r="G12" i="10"/>
  <c r="F12" i="10"/>
  <c r="E12" i="10"/>
  <c r="D12" i="10"/>
  <c r="C12" i="10"/>
  <c r="J68" i="7"/>
  <c r="C43" i="7"/>
  <c r="I43" i="7" s="1"/>
  <c r="J43" i="7" s="1"/>
  <c r="C42" i="7"/>
  <c r="I42" i="7" s="1"/>
  <c r="J42" i="7" s="1"/>
  <c r="C41" i="7"/>
  <c r="I41" i="7" s="1"/>
  <c r="J41" i="7" s="1"/>
  <c r="C40" i="7"/>
  <c r="I40" i="7" s="1"/>
  <c r="J40" i="7" s="1"/>
  <c r="C39" i="7"/>
  <c r="I39" i="7" s="1"/>
  <c r="J39" i="7" s="1"/>
  <c r="C38" i="7"/>
  <c r="I38" i="7" s="1"/>
  <c r="J38" i="7" s="1"/>
  <c r="C37" i="7"/>
  <c r="I37" i="7" s="1"/>
  <c r="J37" i="7" s="1"/>
  <c r="C36" i="7"/>
  <c r="I36" i="7" s="1"/>
  <c r="J36" i="7" s="1"/>
  <c r="C35" i="7"/>
  <c r="I35" i="7" s="1"/>
  <c r="J35" i="7" s="1"/>
  <c r="C34" i="7"/>
  <c r="I34" i="7" s="1"/>
  <c r="J34" i="7" s="1"/>
  <c r="C33" i="7"/>
  <c r="I33" i="7" s="1"/>
  <c r="J33" i="7" s="1"/>
  <c r="C32" i="7"/>
  <c r="I32" i="7" s="1"/>
  <c r="J32" i="7" s="1"/>
  <c r="C31" i="7"/>
  <c r="I31" i="7" s="1"/>
  <c r="J31" i="7" s="1"/>
  <c r="C30" i="7"/>
  <c r="I30" i="7" s="1"/>
  <c r="J30" i="7" s="1"/>
  <c r="C29" i="7"/>
  <c r="I29" i="7" s="1"/>
  <c r="J29" i="7" s="1"/>
  <c r="C28" i="7"/>
  <c r="I28" i="7" s="1"/>
  <c r="J28" i="7" s="1"/>
  <c r="C27" i="7"/>
  <c r="I27" i="7" s="1"/>
  <c r="J27" i="7" s="1"/>
  <c r="C26" i="7"/>
  <c r="I26" i="7" s="1"/>
  <c r="J26" i="7" s="1"/>
  <c r="C25" i="7"/>
  <c r="I25" i="7" s="1"/>
  <c r="J25" i="7" s="1"/>
  <c r="C24" i="7"/>
  <c r="I24" i="7" s="1"/>
  <c r="J24" i="7" s="1"/>
  <c r="C23" i="7"/>
  <c r="I23" i="7" s="1"/>
  <c r="J23" i="7" s="1"/>
  <c r="C22" i="7"/>
  <c r="I22" i="7" s="1"/>
  <c r="J22" i="7" s="1"/>
  <c r="C21" i="7"/>
  <c r="I21" i="7" s="1"/>
  <c r="J21" i="7" s="1"/>
  <c r="C20" i="7"/>
  <c r="I20" i="7" s="1"/>
  <c r="J20" i="7" s="1"/>
  <c r="C19" i="7"/>
  <c r="I19" i="7" s="1"/>
  <c r="J19" i="7" s="1"/>
  <c r="C18" i="7"/>
  <c r="I18" i="7" s="1"/>
  <c r="J18" i="7" s="1"/>
  <c r="C17" i="7"/>
  <c r="I17" i="7" s="1"/>
  <c r="C16" i="7"/>
  <c r="I16" i="7" s="1"/>
  <c r="J16" i="7" s="1"/>
  <c r="C15" i="7"/>
  <c r="I15" i="7" s="1"/>
  <c r="J15" i="7" s="1"/>
  <c r="C14" i="7"/>
  <c r="I14" i="7" s="1"/>
  <c r="J14" i="7" s="1"/>
  <c r="C13" i="7"/>
  <c r="I13" i="7" s="1"/>
  <c r="J13" i="7" s="1"/>
  <c r="D12" i="7"/>
  <c r="I12" i="7" s="1"/>
  <c r="F11" i="3"/>
  <c r="E11" i="3"/>
  <c r="E43" i="2"/>
  <c r="D43" i="2"/>
  <c r="C43" i="2"/>
  <c r="B43" i="2"/>
  <c r="A43" i="2"/>
  <c r="E42" i="2"/>
  <c r="D42" i="2"/>
  <c r="C42" i="2"/>
  <c r="B42" i="2"/>
  <c r="A42" i="2"/>
  <c r="E41" i="2"/>
  <c r="D41" i="2"/>
  <c r="C41" i="2"/>
  <c r="B41" i="2"/>
  <c r="A41" i="2"/>
  <c r="E40" i="2"/>
  <c r="E52" i="2" s="1"/>
  <c r="E53" i="2" s="1"/>
  <c r="D40" i="2"/>
  <c r="D52" i="2" s="1"/>
  <c r="C40" i="2"/>
  <c r="C52" i="2" s="1"/>
  <c r="C53" i="2" s="1"/>
  <c r="B40" i="2"/>
  <c r="A40" i="2"/>
  <c r="A51" i="2" s="1"/>
  <c r="E39" i="2"/>
  <c r="D39" i="2"/>
  <c r="C39" i="2"/>
  <c r="B39" i="2"/>
  <c r="A39" i="2"/>
  <c r="E38" i="2"/>
  <c r="D38" i="2"/>
  <c r="C38" i="2"/>
  <c r="B38" i="2"/>
  <c r="A38" i="2"/>
  <c r="E37" i="2"/>
  <c r="D37" i="2"/>
  <c r="C37" i="2"/>
  <c r="B37" i="2"/>
  <c r="A37" i="2"/>
  <c r="D16" i="2"/>
  <c r="C16" i="2"/>
  <c r="B16" i="2"/>
  <c r="A16" i="2"/>
  <c r="D15" i="2"/>
  <c r="C15" i="2"/>
  <c r="B15" i="2"/>
  <c r="A15" i="2"/>
  <c r="D14" i="2"/>
  <c r="C14" i="2"/>
  <c r="B14" i="2"/>
  <c r="A14" i="2"/>
  <c r="D13" i="2"/>
  <c r="D25" i="2" s="1"/>
  <c r="C13" i="2"/>
  <c r="C25" i="2" s="1"/>
  <c r="C26" i="2" s="1"/>
  <c r="B13" i="2"/>
  <c r="A13" i="2"/>
  <c r="A24" i="2" s="1"/>
  <c r="D12" i="2"/>
  <c r="C12" i="2"/>
  <c r="B12" i="2"/>
  <c r="A12" i="2"/>
  <c r="D11" i="2"/>
  <c r="C11" i="2"/>
  <c r="B11" i="2"/>
  <c r="A11" i="2"/>
  <c r="D10" i="2"/>
  <c r="C10" i="2"/>
  <c r="B10" i="2"/>
  <c r="A10" i="2"/>
  <c r="I41" i="25"/>
  <c r="H41" i="25"/>
  <c r="G41" i="25"/>
  <c r="F41" i="25"/>
  <c r="E41" i="25"/>
  <c r="D41" i="25"/>
  <c r="C41" i="25"/>
  <c r="I40" i="25"/>
  <c r="H40" i="25"/>
  <c r="G40" i="25"/>
  <c r="F40" i="25"/>
  <c r="E40" i="25"/>
  <c r="D40" i="25"/>
  <c r="C40" i="25"/>
  <c r="I39" i="25"/>
  <c r="H39" i="25"/>
  <c r="G39" i="25"/>
  <c r="F39" i="25"/>
  <c r="E39" i="25"/>
  <c r="D39" i="25"/>
  <c r="C39" i="25"/>
  <c r="I38" i="25"/>
  <c r="H38" i="25"/>
  <c r="G38" i="25"/>
  <c r="F38" i="25"/>
  <c r="E38" i="25"/>
  <c r="D38" i="25"/>
  <c r="C38" i="25"/>
  <c r="I37" i="25"/>
  <c r="H37" i="25"/>
  <c r="G37" i="25"/>
  <c r="F37" i="25"/>
  <c r="E37" i="25"/>
  <c r="D37" i="25"/>
  <c r="C37" i="25"/>
  <c r="I36" i="25"/>
  <c r="H36" i="25"/>
  <c r="G36" i="25"/>
  <c r="F36" i="25"/>
  <c r="E36" i="25"/>
  <c r="D36" i="25"/>
  <c r="C36" i="25"/>
  <c r="I35" i="25"/>
  <c r="H35" i="25"/>
  <c r="G35" i="25"/>
  <c r="F35" i="25"/>
  <c r="E35" i="25"/>
  <c r="D35" i="25"/>
  <c r="C35" i="25"/>
  <c r="I34" i="25"/>
  <c r="H34" i="25"/>
  <c r="G34" i="25"/>
  <c r="F34" i="25"/>
  <c r="E34" i="25"/>
  <c r="D34" i="25"/>
  <c r="C34" i="25"/>
  <c r="I33" i="25"/>
  <c r="H33" i="25"/>
  <c r="G33" i="25"/>
  <c r="F33" i="25"/>
  <c r="E33" i="25"/>
  <c r="D33" i="25"/>
  <c r="C33" i="25"/>
  <c r="I32" i="25"/>
  <c r="H32" i="25"/>
  <c r="G32" i="25"/>
  <c r="F32" i="25"/>
  <c r="E32" i="25"/>
  <c r="D32" i="25"/>
  <c r="C32" i="25"/>
  <c r="I31" i="25"/>
  <c r="H31" i="25"/>
  <c r="G31" i="25"/>
  <c r="F31" i="25"/>
  <c r="E31" i="25"/>
  <c r="D31" i="25"/>
  <c r="C31" i="25"/>
  <c r="I30" i="25"/>
  <c r="H30" i="25"/>
  <c r="G30" i="25"/>
  <c r="F30" i="25"/>
  <c r="E30" i="25"/>
  <c r="D30" i="25"/>
  <c r="C30" i="25"/>
  <c r="I29" i="25"/>
  <c r="H29" i="25"/>
  <c r="G29" i="25"/>
  <c r="F29" i="25"/>
  <c r="E29" i="25"/>
  <c r="D29" i="25"/>
  <c r="C29" i="25"/>
  <c r="I28" i="25"/>
  <c r="H28" i="25"/>
  <c r="G28" i="25"/>
  <c r="F28" i="25"/>
  <c r="E28" i="25"/>
  <c r="D28" i="25"/>
  <c r="C28" i="25"/>
  <c r="I27" i="25"/>
  <c r="H27" i="25"/>
  <c r="G27" i="25"/>
  <c r="F27" i="25"/>
  <c r="E27" i="25"/>
  <c r="D27" i="25"/>
  <c r="C27" i="25"/>
  <c r="I26" i="25"/>
  <c r="H26" i="25"/>
  <c r="G26" i="25"/>
  <c r="F26" i="25"/>
  <c r="E26" i="25"/>
  <c r="D26" i="25"/>
  <c r="C26" i="25"/>
  <c r="I25" i="25"/>
  <c r="H25" i="25"/>
  <c r="G25" i="25"/>
  <c r="F25" i="25"/>
  <c r="E25" i="25"/>
  <c r="D25" i="25"/>
  <c r="C25" i="25"/>
  <c r="I24" i="25"/>
  <c r="H24" i="25"/>
  <c r="G24" i="25"/>
  <c r="F24" i="25"/>
  <c r="E24" i="25"/>
  <c r="D24" i="25"/>
  <c r="C24" i="25"/>
  <c r="I23" i="25"/>
  <c r="H23" i="25"/>
  <c r="G23" i="25"/>
  <c r="F23" i="25"/>
  <c r="E23" i="25"/>
  <c r="D23" i="25"/>
  <c r="C23" i="25"/>
  <c r="I22" i="25"/>
  <c r="H22" i="25"/>
  <c r="G22" i="25"/>
  <c r="F22" i="25"/>
  <c r="E22" i="25"/>
  <c r="D22" i="25"/>
  <c r="C22" i="25"/>
  <c r="I21" i="25"/>
  <c r="H21" i="25"/>
  <c r="G21" i="25"/>
  <c r="F21" i="25"/>
  <c r="E21" i="25"/>
  <c r="D21" i="25"/>
  <c r="C21" i="25"/>
  <c r="I20" i="25"/>
  <c r="H20" i="25"/>
  <c r="G20" i="25"/>
  <c r="F20" i="25"/>
  <c r="E20" i="25"/>
  <c r="D20" i="25"/>
  <c r="C20" i="25"/>
  <c r="I19" i="25"/>
  <c r="H19" i="25"/>
  <c r="G19" i="25"/>
  <c r="F19" i="25"/>
  <c r="E19" i="25"/>
  <c r="D19" i="25"/>
  <c r="C19" i="25"/>
  <c r="I18" i="25"/>
  <c r="H18" i="25"/>
  <c r="G18" i="25"/>
  <c r="F18" i="25"/>
  <c r="E18" i="25"/>
  <c r="D18" i="25"/>
  <c r="C18" i="25"/>
  <c r="I17" i="25"/>
  <c r="H17" i="25"/>
  <c r="G17" i="25"/>
  <c r="F17" i="25"/>
  <c r="E17" i="25"/>
  <c r="D17" i="25"/>
  <c r="C17" i="25"/>
  <c r="I16" i="25"/>
  <c r="H16" i="25"/>
  <c r="G16" i="25"/>
  <c r="F16" i="25"/>
  <c r="E16" i="25"/>
  <c r="D16" i="25"/>
  <c r="C16" i="25"/>
  <c r="I15" i="25"/>
  <c r="H15" i="25"/>
  <c r="G15" i="25"/>
  <c r="F15" i="25"/>
  <c r="E15" i="25"/>
  <c r="D15" i="25"/>
  <c r="C15" i="25"/>
  <c r="I14" i="25"/>
  <c r="H14" i="25"/>
  <c r="G14" i="25"/>
  <c r="F14" i="25"/>
  <c r="E14" i="25"/>
  <c r="D14" i="25"/>
  <c r="C14" i="25"/>
  <c r="I13" i="25"/>
  <c r="H13" i="25"/>
  <c r="G13" i="25"/>
  <c r="F13" i="25"/>
  <c r="E13" i="25"/>
  <c r="D13" i="25"/>
  <c r="C13" i="25"/>
  <c r="I12" i="25"/>
  <c r="H12" i="25"/>
  <c r="G12" i="25"/>
  <c r="F12" i="25"/>
  <c r="E12" i="25"/>
  <c r="D12" i="25"/>
  <c r="C12" i="25"/>
  <c r="I11" i="25"/>
  <c r="H11" i="25"/>
  <c r="G11" i="25"/>
  <c r="F11" i="25"/>
  <c r="E11" i="25"/>
  <c r="D11" i="25"/>
  <c r="C11" i="25"/>
  <c r="I10" i="25"/>
  <c r="H10" i="25"/>
  <c r="G10" i="25"/>
  <c r="F10" i="25"/>
  <c r="E10" i="25"/>
  <c r="D10" i="25"/>
  <c r="C10" i="25"/>
  <c r="M17" i="24"/>
  <c r="L17" i="24"/>
  <c r="J17" i="24"/>
  <c r="H17" i="24"/>
  <c r="G17" i="24"/>
  <c r="F17" i="24"/>
  <c r="E17" i="24"/>
  <c r="D17" i="24"/>
  <c r="C17" i="24"/>
  <c r="B17" i="24"/>
  <c r="A17" i="24"/>
  <c r="M16" i="24"/>
  <c r="L16" i="24"/>
  <c r="K16" i="24"/>
  <c r="H16" i="24"/>
  <c r="G16" i="24"/>
  <c r="F16" i="24"/>
  <c r="E16" i="24"/>
  <c r="D16" i="24"/>
  <c r="C16" i="24"/>
  <c r="B16" i="24"/>
  <c r="A16" i="24"/>
  <c r="E17" i="22"/>
  <c r="D17" i="22"/>
  <c r="C17" i="22"/>
  <c r="B17" i="22"/>
  <c r="A17" i="22"/>
  <c r="E16" i="22"/>
  <c r="D16" i="22"/>
  <c r="C16" i="22"/>
  <c r="B16" i="22"/>
  <c r="A16" i="22"/>
  <c r="E15" i="22"/>
  <c r="D15" i="22"/>
  <c r="C15" i="22"/>
  <c r="B15" i="22"/>
  <c r="A15" i="22"/>
  <c r="E14" i="22"/>
  <c r="D14" i="22"/>
  <c r="C14" i="22"/>
  <c r="B14" i="22"/>
  <c r="A14" i="22"/>
  <c r="E13" i="22"/>
  <c r="D13" i="22"/>
  <c r="C13" i="22"/>
  <c r="B13" i="22"/>
  <c r="A13" i="22"/>
  <c r="E12" i="22"/>
  <c r="D12" i="22"/>
  <c r="C12" i="22"/>
  <c r="B12" i="22"/>
  <c r="A12" i="22"/>
  <c r="E11" i="22"/>
  <c r="D11" i="22"/>
  <c r="C11" i="22"/>
  <c r="B11" i="22"/>
  <c r="A11" i="22"/>
  <c r="E30" i="15" l="1"/>
  <c r="I44" i="7"/>
  <c r="J17" i="7"/>
  <c r="J69" i="7"/>
  <c r="J12" i="7"/>
  <c r="D42" i="19"/>
  <c r="D41" i="19"/>
  <c r="D43" i="19"/>
  <c r="D44" i="19"/>
  <c r="E25" i="15"/>
  <c r="E26" i="15"/>
  <c r="G39" i="2"/>
  <c r="E28" i="15"/>
  <c r="E29" i="15"/>
  <c r="H14" i="19"/>
  <c r="G41" i="2"/>
  <c r="E27" i="15"/>
  <c r="E39" i="15"/>
  <c r="E40" i="15" s="1"/>
  <c r="G37" i="2"/>
  <c r="G38" i="2"/>
  <c r="G43" i="2"/>
  <c r="G40" i="2"/>
  <c r="G52" i="2" s="1"/>
  <c r="G53" i="2" s="1"/>
  <c r="B52" i="2"/>
  <c r="B53" i="2" s="1"/>
  <c r="G42" i="2"/>
  <c r="H11" i="2"/>
  <c r="J11" i="2" s="1"/>
  <c r="H13" i="2"/>
  <c r="B25" i="2"/>
  <c r="B26" i="2" s="1"/>
  <c r="H15" i="2"/>
  <c r="J15" i="2" s="1"/>
  <c r="H10" i="2"/>
  <c r="J10" i="2" s="1"/>
  <c r="H12" i="2"/>
  <c r="J12" i="2" s="1"/>
  <c r="H14" i="2"/>
  <c r="J14" i="2" s="1"/>
  <c r="H16" i="2"/>
  <c r="J16" i="2" s="1"/>
  <c r="E18" i="19"/>
  <c r="G18" i="19"/>
  <c r="F17" i="19"/>
  <c r="E17" i="19"/>
  <c r="C17" i="19"/>
  <c r="F18" i="19"/>
  <c r="G17" i="19"/>
  <c r="B18" i="19"/>
  <c r="C18" i="19"/>
  <c r="I13" i="24"/>
  <c r="J44" i="7" l="1"/>
  <c r="J67" i="7"/>
  <c r="J70" i="7" s="1"/>
  <c r="D45" i="19"/>
  <c r="J13" i="2"/>
  <c r="J25" i="2" s="1"/>
  <c r="J26" i="2" s="1"/>
  <c r="H25" i="2"/>
  <c r="H26" i="2" s="1"/>
  <c r="K17" i="24"/>
  <c r="C52" i="89"/>
  <c r="D52" i="89"/>
  <c r="E52" i="89"/>
  <c r="F52" i="89"/>
  <c r="B28" i="113"/>
  <c r="E28" i="113"/>
  <c r="D28" i="113"/>
  <c r="C28" i="113"/>
  <c r="F26" i="113"/>
  <c r="K24" i="113"/>
  <c r="J24" i="113"/>
  <c r="I24" i="113"/>
  <c r="H24" i="113"/>
  <c r="G24" i="113"/>
  <c r="E24" i="113"/>
  <c r="D24" i="113"/>
  <c r="C24" i="113"/>
  <c r="B24" i="113"/>
  <c r="K23" i="113"/>
  <c r="J23" i="113"/>
  <c r="I23" i="113"/>
  <c r="H23" i="113"/>
  <c r="G23" i="113"/>
  <c r="E23" i="113"/>
  <c r="D23" i="113"/>
  <c r="C23" i="113"/>
  <c r="B23" i="113"/>
  <c r="K22" i="113"/>
  <c r="J22" i="113"/>
  <c r="I22" i="113"/>
  <c r="H22" i="113"/>
  <c r="G22" i="113"/>
  <c r="E22" i="113"/>
  <c r="D22" i="113"/>
  <c r="C22" i="113"/>
  <c r="B22" i="113"/>
  <c r="K21" i="113"/>
  <c r="J21" i="113"/>
  <c r="I21" i="113"/>
  <c r="H21" i="113"/>
  <c r="G21" i="113"/>
  <c r="E21" i="113"/>
  <c r="D21" i="113"/>
  <c r="C21" i="113"/>
  <c r="B21" i="113"/>
  <c r="K20" i="113"/>
  <c r="J20" i="113"/>
  <c r="I20" i="113"/>
  <c r="H20" i="113"/>
  <c r="G20" i="113"/>
  <c r="E20" i="113"/>
  <c r="D20" i="113"/>
  <c r="C20" i="113"/>
  <c r="B20" i="113"/>
  <c r="K19" i="113"/>
  <c r="J19" i="113"/>
  <c r="I19" i="113"/>
  <c r="H19" i="113"/>
  <c r="G19" i="113"/>
  <c r="E19" i="113"/>
  <c r="D19" i="113"/>
  <c r="C19" i="113"/>
  <c r="B19" i="113"/>
  <c r="K18" i="113"/>
  <c r="J18" i="113"/>
  <c r="I18" i="113"/>
  <c r="H18" i="113"/>
  <c r="G18" i="113"/>
  <c r="E18" i="113"/>
  <c r="D18" i="113"/>
  <c r="C18" i="113"/>
  <c r="B18" i="113"/>
  <c r="K17" i="113"/>
  <c r="J17" i="113"/>
  <c r="I17" i="113"/>
  <c r="H17" i="113"/>
  <c r="G17" i="113"/>
  <c r="E17" i="113"/>
  <c r="D17" i="113"/>
  <c r="C17" i="113"/>
  <c r="B17" i="113"/>
  <c r="K16" i="113"/>
  <c r="J16" i="113"/>
  <c r="I16" i="113"/>
  <c r="H16" i="113"/>
  <c r="G16" i="113"/>
  <c r="E16" i="113"/>
  <c r="D16" i="113"/>
  <c r="C16" i="113"/>
  <c r="B16" i="113"/>
  <c r="K15" i="113"/>
  <c r="J15" i="113"/>
  <c r="I15" i="113"/>
  <c r="H15" i="113"/>
  <c r="G15" i="113"/>
  <c r="E15" i="113"/>
  <c r="D15" i="113"/>
  <c r="C15" i="113"/>
  <c r="B15" i="113"/>
  <c r="K14" i="113"/>
  <c r="J14" i="113"/>
  <c r="I14" i="113"/>
  <c r="H14" i="113"/>
  <c r="G14" i="113"/>
  <c r="E14" i="113"/>
  <c r="D14" i="113"/>
  <c r="C14" i="113"/>
  <c r="B14" i="113"/>
  <c r="K13" i="113"/>
  <c r="J13" i="113"/>
  <c r="I13" i="113"/>
  <c r="H13" i="113"/>
  <c r="G13" i="113"/>
  <c r="E13" i="113"/>
  <c r="D13" i="113"/>
  <c r="C13" i="113"/>
  <c r="B13" i="113"/>
  <c r="K12" i="113"/>
  <c r="J12" i="113"/>
  <c r="I12" i="113"/>
  <c r="H12" i="113"/>
  <c r="G12" i="113"/>
  <c r="E12" i="113"/>
  <c r="D12" i="113"/>
  <c r="C12" i="113"/>
  <c r="B12" i="113"/>
  <c r="K11" i="113"/>
  <c r="J11" i="113"/>
  <c r="I11" i="113"/>
  <c r="H11" i="113"/>
  <c r="G11" i="113"/>
  <c r="E11" i="113"/>
  <c r="D11" i="113"/>
  <c r="C11" i="113"/>
  <c r="B11" i="113"/>
  <c r="K10" i="113"/>
  <c r="J10" i="113"/>
  <c r="I10" i="113"/>
  <c r="H10" i="113"/>
  <c r="G10" i="113"/>
  <c r="E10" i="113"/>
  <c r="D10" i="113"/>
  <c r="C10" i="113"/>
  <c r="B10" i="113"/>
  <c r="K9" i="113"/>
  <c r="J9" i="113"/>
  <c r="I9" i="113"/>
  <c r="H9" i="113"/>
  <c r="G9" i="113"/>
  <c r="E9" i="113"/>
  <c r="D9" i="113"/>
  <c r="C9" i="113"/>
  <c r="B9" i="113"/>
  <c r="F12" i="32"/>
  <c r="H33" i="107"/>
  <c r="G33" i="107"/>
  <c r="F33" i="107"/>
  <c r="E33" i="107"/>
  <c r="D33" i="107"/>
  <c r="C33" i="107"/>
  <c r="B33" i="107"/>
  <c r="A33" i="107"/>
  <c r="H32" i="107"/>
  <c r="G32" i="107"/>
  <c r="F32" i="107"/>
  <c r="E32" i="107"/>
  <c r="D32" i="107"/>
  <c r="C32" i="107"/>
  <c r="B32" i="107"/>
  <c r="A32" i="107"/>
  <c r="H31" i="107"/>
  <c r="G31" i="107"/>
  <c r="F31" i="107"/>
  <c r="E31" i="107"/>
  <c r="D31" i="107"/>
  <c r="C31" i="107"/>
  <c r="B31" i="107"/>
  <c r="A31" i="107"/>
  <c r="H30" i="107"/>
  <c r="G30" i="107"/>
  <c r="F30" i="107"/>
  <c r="E30" i="107"/>
  <c r="D30" i="107"/>
  <c r="C30" i="107"/>
  <c r="B30" i="107"/>
  <c r="A30" i="107"/>
  <c r="B31" i="82"/>
  <c r="C31" i="82"/>
  <c r="D31" i="82"/>
  <c r="E31" i="82"/>
  <c r="F31" i="82"/>
  <c r="G31" i="82"/>
  <c r="B32" i="82"/>
  <c r="C32" i="82"/>
  <c r="D32" i="82"/>
  <c r="E32" i="82"/>
  <c r="F32" i="82"/>
  <c r="G32" i="82"/>
  <c r="B33" i="82"/>
  <c r="C33" i="82"/>
  <c r="D33" i="82"/>
  <c r="E33" i="82"/>
  <c r="F33" i="82"/>
  <c r="G33" i="82"/>
  <c r="G30" i="82"/>
  <c r="F30" i="82"/>
  <c r="E30" i="82"/>
  <c r="D30" i="82"/>
  <c r="C30" i="82"/>
  <c r="B30" i="82"/>
  <c r="C31" i="81"/>
  <c r="H34" i="81"/>
  <c r="H33" i="81"/>
  <c r="H32" i="81"/>
  <c r="H31" i="81"/>
  <c r="H30" i="81"/>
  <c r="G34" i="81"/>
  <c r="G33" i="81"/>
  <c r="G32" i="81"/>
  <c r="G31" i="81"/>
  <c r="G30" i="81"/>
  <c r="F34" i="81"/>
  <c r="F33" i="81"/>
  <c r="F32" i="81"/>
  <c r="F31" i="81"/>
  <c r="F30" i="81"/>
  <c r="E34" i="81"/>
  <c r="E33" i="81"/>
  <c r="E32" i="81"/>
  <c r="E31" i="81"/>
  <c r="E30" i="81"/>
  <c r="D34" i="81"/>
  <c r="D33" i="81"/>
  <c r="D32" i="81"/>
  <c r="D31" i="81"/>
  <c r="D30" i="81"/>
  <c r="C34" i="81"/>
  <c r="C33" i="81"/>
  <c r="C32" i="81"/>
  <c r="C30" i="81"/>
  <c r="B34" i="81"/>
  <c r="B33" i="81"/>
  <c r="B32" i="81"/>
  <c r="B31" i="81"/>
  <c r="B30" i="81"/>
  <c r="G26" i="113" l="1"/>
  <c r="B26" i="113"/>
  <c r="G52" i="89"/>
  <c r="I28" i="113"/>
  <c r="K26" i="113"/>
  <c r="J28" i="113"/>
  <c r="J26" i="113"/>
  <c r="G28" i="113"/>
  <c r="K28" i="113"/>
  <c r="D26" i="113"/>
  <c r="I26" i="113"/>
  <c r="E26" i="113"/>
  <c r="H28" i="113"/>
  <c r="C26" i="113"/>
  <c r="H26" i="113"/>
  <c r="A15" i="106"/>
  <c r="A14" i="106"/>
  <c r="A13" i="106"/>
  <c r="A12" i="106"/>
  <c r="A11" i="106"/>
  <c r="D15" i="106"/>
  <c r="C15" i="106"/>
  <c r="C14" i="106"/>
  <c r="C13" i="106"/>
  <c r="B15" i="106"/>
  <c r="B14" i="106"/>
  <c r="B13" i="106"/>
  <c r="B11" i="106"/>
  <c r="B12" i="106"/>
  <c r="E15" i="105"/>
  <c r="F15" i="105" s="1"/>
  <c r="E14" i="105"/>
  <c r="F14" i="105" s="1"/>
  <c r="B11" i="105"/>
  <c r="A12" i="105"/>
  <c r="B12" i="105"/>
  <c r="A13" i="105"/>
  <c r="B13" i="105"/>
  <c r="C13" i="105"/>
  <c r="A14" i="105"/>
  <c r="B14" i="105"/>
  <c r="C14" i="105"/>
  <c r="A15" i="105"/>
  <c r="B15" i="105"/>
  <c r="C15" i="105"/>
  <c r="D15" i="105"/>
  <c r="A33" i="19" l="1"/>
  <c r="A44" i="19"/>
  <c r="A43" i="19"/>
  <c r="A42" i="19"/>
  <c r="A40" i="19"/>
  <c r="A39" i="19"/>
  <c r="A38" i="19"/>
  <c r="A37" i="19"/>
  <c r="A36" i="19"/>
  <c r="A35" i="19"/>
  <c r="A34" i="19"/>
  <c r="A41" i="19" l="1"/>
  <c r="H10" i="19"/>
  <c r="H12" i="19"/>
  <c r="H16" i="19"/>
  <c r="H19" i="19"/>
  <c r="I19" i="19" s="1"/>
  <c r="H9" i="19"/>
  <c r="H11" i="19"/>
  <c r="H13" i="19"/>
  <c r="H15" i="19"/>
  <c r="H20" i="19"/>
  <c r="I20" i="19" s="1"/>
  <c r="I15" i="19" l="1"/>
  <c r="I10" i="19"/>
  <c r="I16" i="19"/>
  <c r="I11" i="19"/>
  <c r="I14" i="19"/>
  <c r="I13" i="19"/>
  <c r="I9" i="19"/>
  <c r="I12" i="19"/>
  <c r="H17" i="19"/>
  <c r="H18" i="19"/>
  <c r="B15" i="18"/>
  <c r="C13" i="18"/>
  <c r="I36" i="12"/>
  <c r="D35" i="13"/>
  <c r="E55" i="8"/>
  <c r="C21" i="9"/>
  <c r="I32" i="8"/>
  <c r="G41" i="12"/>
  <c r="B22" i="18"/>
  <c r="I55" i="8"/>
  <c r="E14" i="13"/>
  <c r="E39" i="13"/>
  <c r="C31" i="101"/>
  <c r="C10" i="18"/>
  <c r="D67" i="8"/>
  <c r="D53" i="12"/>
  <c r="C10" i="16"/>
  <c r="D37" i="13"/>
  <c r="C40" i="13"/>
  <c r="D35" i="18"/>
  <c r="H32" i="8"/>
  <c r="I37" i="12"/>
  <c r="E40" i="12"/>
  <c r="C61" i="12"/>
  <c r="H60" i="8"/>
  <c r="B31" i="18"/>
  <c r="G43" i="12"/>
  <c r="D24" i="23"/>
  <c r="E35" i="9"/>
  <c r="E22" i="12"/>
  <c r="I43" i="8"/>
  <c r="H26" i="14"/>
  <c r="G26" i="14"/>
  <c r="C38" i="23"/>
  <c r="D35" i="23"/>
  <c r="B38" i="18"/>
  <c r="F47" i="12"/>
  <c r="E16" i="9"/>
  <c r="E21" i="8"/>
  <c r="F31" i="14"/>
  <c r="F12" i="8"/>
  <c r="D61" i="12"/>
  <c r="C41" i="23"/>
  <c r="H17" i="8"/>
  <c r="D12" i="101"/>
  <c r="B18" i="40"/>
  <c r="E19" i="8"/>
  <c r="D17" i="9"/>
  <c r="C12" i="40"/>
  <c r="E19" i="13"/>
  <c r="C12" i="9"/>
  <c r="I33" i="12"/>
  <c r="C26" i="11"/>
  <c r="F23" i="8"/>
  <c r="D26" i="18"/>
  <c r="E18" i="13"/>
  <c r="C38" i="8"/>
  <c r="I30" i="8"/>
  <c r="D40" i="8"/>
  <c r="F16" i="40"/>
  <c r="C62" i="12"/>
  <c r="D38" i="13"/>
  <c r="D37" i="18"/>
  <c r="I28" i="8"/>
  <c r="I28" i="12"/>
  <c r="D17" i="23"/>
  <c r="G56" i="12"/>
  <c r="C40" i="12"/>
  <c r="G28" i="14"/>
  <c r="C35" i="13"/>
  <c r="G43" i="8"/>
  <c r="H10" i="94"/>
  <c r="E58" i="12"/>
  <c r="E15" i="9"/>
  <c r="E20" i="101"/>
  <c r="D38" i="8"/>
  <c r="D36" i="101"/>
  <c r="C16" i="40"/>
  <c r="C72" i="8"/>
  <c r="G30" i="12"/>
  <c r="D38" i="101"/>
  <c r="E36" i="11"/>
  <c r="H21" i="12"/>
  <c r="C35" i="8"/>
  <c r="G67" i="12"/>
  <c r="C27" i="11"/>
  <c r="E23" i="12"/>
  <c r="C56" i="12"/>
  <c r="E28" i="23"/>
  <c r="C51" i="8"/>
  <c r="C24" i="13"/>
  <c r="C31" i="11"/>
  <c r="C28" i="14"/>
  <c r="C40" i="18"/>
  <c r="N16" i="24"/>
  <c r="B29" i="18"/>
  <c r="E36" i="13"/>
  <c r="C22" i="12"/>
  <c r="E24" i="13"/>
  <c r="C47" i="16"/>
  <c r="H37" i="12"/>
  <c r="D27" i="8"/>
  <c r="F29" i="23"/>
  <c r="F28" i="14"/>
  <c r="E13" i="9"/>
  <c r="I60" i="12"/>
  <c r="G42" i="23"/>
  <c r="E27" i="23"/>
  <c r="H30" i="8"/>
  <c r="F42" i="13"/>
  <c r="F26" i="14"/>
  <c r="I69" i="12"/>
  <c r="I18" i="12"/>
  <c r="I17" i="12"/>
  <c r="E68" i="12"/>
  <c r="B11" i="18"/>
  <c r="B11" i="40"/>
  <c r="F19" i="12"/>
  <c r="H68" i="12"/>
  <c r="C31" i="8"/>
  <c r="C17" i="12"/>
  <c r="D28" i="9"/>
  <c r="D24" i="12"/>
  <c r="I37" i="8"/>
  <c r="D26" i="14"/>
  <c r="E34" i="23"/>
  <c r="G38" i="8"/>
  <c r="E33" i="8"/>
  <c r="C30" i="9"/>
  <c r="C18" i="8"/>
  <c r="I26" i="12"/>
  <c r="G68" i="12"/>
  <c r="D19" i="9"/>
  <c r="C36" i="13"/>
  <c r="E12" i="23"/>
  <c r="E53" i="12"/>
  <c r="F37" i="8"/>
  <c r="C21" i="18"/>
  <c r="G12" i="8"/>
  <c r="I23" i="8"/>
  <c r="I48" i="12"/>
  <c r="C21" i="8"/>
  <c r="C28" i="12"/>
  <c r="C25" i="23"/>
  <c r="B11" i="17"/>
  <c r="D35" i="12"/>
  <c r="E31" i="101"/>
  <c r="C35" i="101"/>
  <c r="E32" i="101"/>
  <c r="D26" i="101"/>
  <c r="E43" i="11"/>
  <c r="F30" i="12"/>
  <c r="C40" i="101"/>
  <c r="E17" i="8"/>
  <c r="D44" i="18"/>
  <c r="C63" i="12"/>
  <c r="D48" i="12"/>
  <c r="C23" i="18"/>
  <c r="F29" i="12"/>
  <c r="H23" i="12"/>
  <c r="G12" i="12"/>
  <c r="C52" i="12"/>
  <c r="E22" i="11"/>
  <c r="G16" i="12"/>
  <c r="C17" i="23"/>
  <c r="C43" i="13"/>
  <c r="E21" i="9"/>
  <c r="D36" i="8"/>
  <c r="F22" i="8"/>
  <c r="C18" i="40"/>
  <c r="D32" i="8"/>
  <c r="C26" i="9"/>
  <c r="D30" i="8"/>
  <c r="C41" i="13"/>
  <c r="D52" i="8"/>
  <c r="I60" i="8"/>
  <c r="E31" i="8"/>
  <c r="E41" i="9"/>
  <c r="G27" i="14"/>
  <c r="C17" i="40"/>
  <c r="C12" i="94"/>
  <c r="C21" i="101"/>
  <c r="G72" i="8"/>
  <c r="D22" i="12"/>
  <c r="D29" i="18"/>
  <c r="C34" i="23"/>
  <c r="H35" i="12"/>
  <c r="D17" i="12"/>
  <c r="I16" i="94"/>
  <c r="I50" i="12"/>
  <c r="F31" i="8"/>
  <c r="F12" i="40"/>
  <c r="I19" i="8"/>
  <c r="E18" i="11"/>
  <c r="D49" i="12"/>
  <c r="H24" i="8"/>
  <c r="E20" i="8"/>
  <c r="C58" i="8"/>
  <c r="C31" i="23"/>
  <c r="G17" i="8"/>
  <c r="G14" i="94"/>
  <c r="H56" i="12"/>
  <c r="F61" i="12"/>
  <c r="G22" i="8"/>
  <c r="D12" i="13"/>
  <c r="C13" i="101"/>
  <c r="E42" i="8"/>
  <c r="E16" i="13"/>
  <c r="B15" i="40"/>
  <c r="D62" i="12"/>
  <c r="H42" i="12"/>
  <c r="C14" i="18"/>
  <c r="C36" i="9"/>
  <c r="G33" i="23"/>
  <c r="E42" i="12"/>
  <c r="C31" i="9"/>
  <c r="F41" i="23"/>
  <c r="I40" i="12"/>
  <c r="G12" i="94"/>
  <c r="D13" i="23"/>
  <c r="G67" i="8"/>
  <c r="D24" i="9"/>
  <c r="F25" i="12"/>
  <c r="C10" i="40"/>
  <c r="D39" i="11"/>
  <c r="H69" i="12"/>
  <c r="I29" i="12"/>
  <c r="I24" i="8"/>
  <c r="D26" i="8"/>
  <c r="D60" i="12"/>
  <c r="C30" i="11"/>
  <c r="D58" i="8"/>
  <c r="G31" i="23"/>
  <c r="D72" i="12"/>
  <c r="E37" i="23"/>
  <c r="B40" i="18"/>
  <c r="D40" i="101"/>
  <c r="G21" i="23"/>
  <c r="G63" i="8"/>
  <c r="C12" i="23"/>
  <c r="E38" i="23"/>
  <c r="E41" i="12"/>
  <c r="H18" i="12"/>
  <c r="C38" i="12"/>
  <c r="C36" i="101"/>
  <c r="H34" i="8"/>
  <c r="C16" i="9"/>
  <c r="I22" i="12"/>
  <c r="D42" i="23"/>
  <c r="E72" i="12"/>
  <c r="E54" i="12"/>
  <c r="F38" i="12"/>
  <c r="C36" i="18"/>
  <c r="H36" i="8"/>
  <c r="E13" i="11"/>
  <c r="D25" i="11"/>
  <c r="E14" i="101"/>
  <c r="I68" i="12"/>
  <c r="I12" i="12"/>
  <c r="D39" i="8"/>
  <c r="C26" i="14"/>
  <c r="H48" i="12"/>
  <c r="H59" i="8"/>
  <c r="F15" i="13"/>
  <c r="J31" i="14"/>
  <c r="G54" i="12"/>
  <c r="D14" i="12"/>
  <c r="J27" i="14"/>
  <c r="D25" i="23"/>
  <c r="E18" i="9"/>
  <c r="I17" i="8"/>
  <c r="C67" i="8"/>
  <c r="D33" i="13"/>
  <c r="D33" i="8"/>
  <c r="C25" i="14"/>
  <c r="F25" i="8"/>
  <c r="D52" i="12"/>
  <c r="C15" i="40"/>
  <c r="F36" i="23"/>
  <c r="I16" i="8"/>
  <c r="E14" i="12"/>
  <c r="E35" i="8"/>
  <c r="H49" i="12"/>
  <c r="D22" i="13"/>
  <c r="G29" i="23"/>
  <c r="C20" i="16"/>
  <c r="I54" i="12"/>
  <c r="E63" i="12"/>
  <c r="G40" i="23"/>
  <c r="D30" i="23"/>
  <c r="H41" i="8"/>
  <c r="I43" i="12"/>
  <c r="C28" i="23"/>
  <c r="F41" i="12"/>
  <c r="E56" i="8"/>
  <c r="C18" i="101"/>
  <c r="D48" i="8"/>
  <c r="I16" i="12"/>
  <c r="E40" i="9"/>
  <c r="B20" i="16"/>
  <c r="C30" i="101"/>
  <c r="C19" i="12"/>
  <c r="E31" i="9"/>
  <c r="E17" i="101"/>
  <c r="E21" i="11"/>
  <c r="C28" i="9"/>
  <c r="C11" i="18"/>
  <c r="G34" i="8"/>
  <c r="H9" i="14"/>
  <c r="I15" i="8"/>
  <c r="D16" i="11"/>
  <c r="D53" i="8"/>
  <c r="D41" i="18"/>
  <c r="D55" i="12"/>
  <c r="E18" i="40"/>
  <c r="B30" i="16"/>
  <c r="F17" i="13"/>
  <c r="G52" i="12"/>
  <c r="F30" i="23"/>
  <c r="D28" i="13"/>
  <c r="E35" i="13"/>
  <c r="C45" i="16"/>
  <c r="F40" i="8"/>
  <c r="D31" i="23"/>
  <c r="F60" i="8"/>
  <c r="F16" i="8"/>
  <c r="E40" i="11"/>
  <c r="G39" i="23"/>
  <c r="B15" i="16"/>
  <c r="I42" i="8"/>
  <c r="H53" i="8"/>
  <c r="F49" i="8"/>
  <c r="B11" i="16"/>
  <c r="C40" i="23"/>
  <c r="D16" i="12"/>
  <c r="G24" i="12"/>
  <c r="D25" i="9"/>
  <c r="C14" i="94"/>
  <c r="C40" i="11"/>
  <c r="H29" i="12"/>
  <c r="C37" i="18"/>
  <c r="E29" i="13"/>
  <c r="E33" i="101"/>
  <c r="G51" i="8"/>
  <c r="C41" i="18"/>
  <c r="D67" i="12"/>
  <c r="F41" i="8"/>
  <c r="E38" i="101"/>
  <c r="H33" i="12"/>
  <c r="E44" i="13"/>
  <c r="C27" i="16"/>
  <c r="E18" i="8"/>
  <c r="E37" i="11"/>
  <c r="F26" i="13"/>
  <c r="H48" i="8"/>
  <c r="C52" i="8"/>
  <c r="G23" i="12"/>
  <c r="B37" i="16"/>
  <c r="D12" i="18"/>
  <c r="C17" i="9"/>
  <c r="C22" i="11"/>
  <c r="H33" i="8"/>
  <c r="D13" i="18"/>
  <c r="H54" i="8"/>
  <c r="E27" i="13"/>
  <c r="D27" i="23"/>
  <c r="D36" i="23"/>
  <c r="E36" i="101"/>
  <c r="F43" i="13"/>
  <c r="C42" i="8"/>
  <c r="B31" i="16"/>
  <c r="F18" i="8"/>
  <c r="D47" i="8"/>
  <c r="D12" i="94"/>
  <c r="E29" i="101"/>
  <c r="F27" i="14"/>
  <c r="D18" i="13"/>
  <c r="D30" i="18"/>
  <c r="I26" i="8"/>
  <c r="D23" i="101"/>
  <c r="C39" i="9"/>
  <c r="F22" i="13"/>
  <c r="C28" i="16"/>
  <c r="J28" i="14"/>
  <c r="G13" i="8"/>
  <c r="F13" i="23"/>
  <c r="C13" i="40"/>
  <c r="E27" i="12"/>
  <c r="E49" i="8"/>
  <c r="F69" i="8"/>
  <c r="C43" i="101"/>
  <c r="H22" i="12"/>
  <c r="D61" i="8"/>
  <c r="E13" i="101"/>
  <c r="B12" i="16"/>
  <c r="E56" i="12"/>
  <c r="E39" i="11"/>
  <c r="C41" i="11"/>
  <c r="H53" i="12"/>
  <c r="I35" i="8"/>
  <c r="C18" i="9"/>
  <c r="D27" i="9"/>
  <c r="I53" i="8"/>
  <c r="D35" i="11"/>
  <c r="D38" i="18"/>
  <c r="F37" i="23"/>
  <c r="E22" i="101"/>
  <c r="B12" i="40"/>
  <c r="C27" i="13"/>
  <c r="D36" i="11"/>
  <c r="H16" i="94"/>
  <c r="F21" i="8"/>
  <c r="F33" i="8"/>
  <c r="C26" i="13"/>
  <c r="E20" i="9"/>
  <c r="E24" i="8"/>
  <c r="C15" i="12"/>
  <c r="C12" i="16"/>
  <c r="B41" i="16"/>
  <c r="G29" i="8"/>
  <c r="F32" i="23"/>
  <c r="D30" i="9"/>
  <c r="D37" i="11"/>
  <c r="F14" i="40"/>
  <c r="D68" i="12"/>
  <c r="E38" i="11"/>
  <c r="F36" i="12"/>
  <c r="D19" i="101"/>
  <c r="C34" i="11"/>
  <c r="F32" i="13"/>
  <c r="G72" i="12"/>
  <c r="I31" i="12"/>
  <c r="C29" i="9"/>
  <c r="D28" i="12"/>
  <c r="C15" i="9"/>
  <c r="D42" i="101"/>
  <c r="D16" i="23"/>
  <c r="C27" i="23"/>
  <c r="C14" i="101"/>
  <c r="D32" i="11"/>
  <c r="F13" i="8"/>
  <c r="E24" i="23"/>
  <c r="F67" i="8"/>
  <c r="E36" i="9"/>
  <c r="C68" i="12"/>
  <c r="G18" i="23"/>
  <c r="H56" i="8"/>
  <c r="F32" i="12"/>
  <c r="F36" i="13"/>
  <c r="E23" i="9"/>
  <c r="I41" i="12"/>
  <c r="G60" i="12"/>
  <c r="D16" i="13"/>
  <c r="G68" i="8"/>
  <c r="D32" i="18"/>
  <c r="F15" i="12"/>
  <c r="C68" i="8"/>
  <c r="E28" i="9"/>
  <c r="E35" i="12"/>
  <c r="E26" i="8"/>
  <c r="D19" i="12"/>
  <c r="B36" i="18"/>
  <c r="H27" i="8"/>
  <c r="E39" i="101"/>
  <c r="I53" i="12"/>
  <c r="D25" i="14"/>
  <c r="I30" i="12"/>
  <c r="C18" i="23"/>
  <c r="H40" i="12"/>
  <c r="G59" i="12"/>
  <c r="C37" i="9"/>
  <c r="I14" i="12"/>
  <c r="C19" i="13"/>
  <c r="B21" i="16"/>
  <c r="D11" i="18"/>
  <c r="E22" i="9"/>
  <c r="D20" i="11"/>
  <c r="F39" i="12"/>
  <c r="B26" i="18"/>
  <c r="F53" i="12"/>
  <c r="D29" i="101"/>
  <c r="C13" i="13"/>
  <c r="D33" i="12"/>
  <c r="F27" i="23"/>
  <c r="G51" i="12"/>
  <c r="D39" i="12"/>
  <c r="E28" i="13"/>
  <c r="D43" i="13"/>
  <c r="D13" i="9"/>
  <c r="E40" i="13"/>
  <c r="I72" i="8"/>
  <c r="E41" i="11"/>
  <c r="G31" i="14"/>
  <c r="E40" i="8"/>
  <c r="C25" i="101"/>
  <c r="C13" i="16"/>
  <c r="D18" i="12"/>
  <c r="E18" i="101"/>
  <c r="I27" i="8"/>
  <c r="D20" i="18"/>
  <c r="D21" i="23"/>
  <c r="D38" i="23"/>
  <c r="D15" i="23"/>
  <c r="E28" i="11"/>
  <c r="B37" i="18"/>
  <c r="C10" i="94"/>
  <c r="D20" i="101"/>
  <c r="D31" i="11"/>
  <c r="D41" i="8"/>
  <c r="H58" i="12"/>
  <c r="H25" i="12"/>
  <c r="D21" i="12"/>
  <c r="D14" i="11"/>
  <c r="C42" i="23"/>
  <c r="E19" i="11"/>
  <c r="D19" i="11"/>
  <c r="H12" i="12"/>
  <c r="D14" i="9"/>
  <c r="C12" i="12"/>
  <c r="C53" i="12"/>
  <c r="H47" i="12"/>
  <c r="H63" i="12"/>
  <c r="E72" i="8"/>
  <c r="D24" i="8"/>
  <c r="H54" i="12"/>
  <c r="I63" i="8"/>
  <c r="H19" i="12"/>
  <c r="C22" i="101"/>
  <c r="E26" i="14"/>
  <c r="C12" i="13"/>
  <c r="F12" i="12"/>
  <c r="C15" i="101"/>
  <c r="D22" i="23"/>
  <c r="D21" i="11"/>
  <c r="H12" i="94"/>
  <c r="E32" i="12"/>
  <c r="E13" i="40"/>
  <c r="D50" i="12"/>
  <c r="C29" i="101"/>
  <c r="J25" i="14"/>
  <c r="E35" i="101"/>
  <c r="E25" i="11"/>
  <c r="E28" i="101"/>
  <c r="E29" i="12"/>
  <c r="I18" i="8"/>
  <c r="E38" i="9"/>
  <c r="N17" i="24"/>
  <c r="D27" i="13"/>
  <c r="E57" i="12"/>
  <c r="C41" i="16"/>
  <c r="D58" i="12"/>
  <c r="H41" i="12"/>
  <c r="D68" i="8"/>
  <c r="G33" i="8"/>
  <c r="I55" i="12"/>
  <c r="I14" i="8"/>
  <c r="F67" i="12"/>
  <c r="E27" i="9"/>
  <c r="B40" i="16"/>
  <c r="C33" i="101"/>
  <c r="E53" i="8"/>
  <c r="B47" i="16"/>
  <c r="H38" i="12"/>
  <c r="E34" i="9"/>
  <c r="G17" i="12"/>
  <c r="C30" i="8"/>
  <c r="C23" i="11"/>
  <c r="C28" i="101"/>
  <c r="C38" i="13"/>
  <c r="E48" i="12"/>
  <c r="D36" i="13"/>
  <c r="E38" i="12"/>
  <c r="C53" i="8"/>
  <c r="B39" i="18"/>
  <c r="D21" i="8"/>
  <c r="C19" i="9"/>
  <c r="F33" i="13"/>
  <c r="C15" i="16"/>
  <c r="E37" i="101"/>
  <c r="D56" i="8"/>
  <c r="C35" i="23"/>
  <c r="B27" i="16"/>
  <c r="I56" i="8"/>
  <c r="I62" i="12"/>
  <c r="C42" i="12"/>
  <c r="I54" i="8"/>
  <c r="D31" i="18"/>
  <c r="D24" i="13"/>
  <c r="D54" i="12"/>
  <c r="C23" i="9"/>
  <c r="E21" i="12"/>
  <c r="C32" i="12"/>
  <c r="D16" i="94"/>
  <c r="D32" i="13"/>
  <c r="E22" i="23"/>
  <c r="E43" i="101"/>
  <c r="C27" i="18"/>
  <c r="E32" i="11"/>
  <c r="I51" i="12"/>
  <c r="H52" i="8"/>
  <c r="I27" i="12"/>
  <c r="C37" i="23"/>
  <c r="E60" i="8"/>
  <c r="G19" i="8"/>
  <c r="B38" i="16"/>
  <c r="I52" i="12"/>
  <c r="G41" i="8"/>
  <c r="G25" i="8"/>
  <c r="F35" i="13"/>
  <c r="F34" i="13"/>
  <c r="D55" i="8"/>
  <c r="E11" i="40"/>
  <c r="C26" i="18"/>
  <c r="D19" i="8"/>
  <c r="E22" i="14"/>
  <c r="C27" i="14"/>
  <c r="I32" i="12"/>
  <c r="E33" i="12"/>
  <c r="C19" i="8"/>
  <c r="D23" i="9"/>
  <c r="F40" i="23"/>
  <c r="D34" i="9"/>
  <c r="D13" i="13"/>
  <c r="C15" i="8"/>
  <c r="E39" i="23"/>
  <c r="E12" i="13"/>
  <c r="C56" i="8"/>
  <c r="H13" i="93"/>
  <c r="E26" i="11"/>
  <c r="D38" i="11"/>
  <c r="D12" i="8"/>
  <c r="D40" i="13"/>
  <c r="E29" i="9"/>
  <c r="G27" i="12"/>
  <c r="D43" i="11"/>
  <c r="D15" i="9"/>
  <c r="E68" i="8"/>
  <c r="G21" i="8"/>
  <c r="H18" i="8"/>
  <c r="G25" i="12"/>
  <c r="C32" i="8"/>
  <c r="C43" i="8"/>
  <c r="I47" i="8"/>
  <c r="E43" i="12"/>
  <c r="G47" i="8"/>
  <c r="D21" i="13"/>
  <c r="F43" i="8"/>
  <c r="F25" i="13"/>
  <c r="C12" i="8"/>
  <c r="E14" i="9"/>
  <c r="C12" i="101"/>
  <c r="B39" i="16"/>
  <c r="E37" i="12"/>
  <c r="G60" i="8"/>
  <c r="G26" i="12"/>
  <c r="D32" i="9"/>
  <c r="D35" i="101"/>
  <c r="F36" i="8"/>
  <c r="D40" i="9"/>
  <c r="F29" i="13"/>
  <c r="E23" i="11"/>
  <c r="D23" i="23"/>
  <c r="F38" i="8"/>
  <c r="F16" i="13"/>
  <c r="D19" i="23"/>
  <c r="G50" i="12"/>
  <c r="F12" i="94"/>
  <c r="F39" i="23"/>
  <c r="D39" i="9"/>
  <c r="E39" i="9"/>
  <c r="C41" i="12"/>
  <c r="C15" i="23"/>
  <c r="B45" i="16"/>
  <c r="G31" i="12"/>
  <c r="E67" i="8"/>
  <c r="E14" i="40"/>
  <c r="G20" i="23"/>
  <c r="C26" i="23"/>
  <c r="H36" i="12"/>
  <c r="F26" i="12"/>
  <c r="H23" i="8"/>
  <c r="F59" i="12"/>
  <c r="C33" i="13"/>
  <c r="D54" i="8"/>
  <c r="C28" i="11"/>
  <c r="E25" i="13"/>
  <c r="D12" i="23"/>
  <c r="E40" i="101"/>
  <c r="C18" i="13"/>
  <c r="H30" i="12"/>
  <c r="C26" i="16"/>
  <c r="D59" i="12"/>
  <c r="F20" i="8"/>
  <c r="D32" i="23"/>
  <c r="F54" i="12"/>
  <c r="I63" i="12"/>
  <c r="I13" i="12"/>
  <c r="D20" i="8"/>
  <c r="D22" i="18"/>
  <c r="E33" i="23"/>
  <c r="D41" i="11"/>
  <c r="H67" i="8"/>
  <c r="H22" i="8"/>
  <c r="C29" i="16"/>
  <c r="C14" i="13"/>
  <c r="C14" i="23"/>
  <c r="D34" i="101"/>
  <c r="I47" i="12"/>
  <c r="C20" i="11"/>
  <c r="C15" i="13"/>
  <c r="G32" i="12"/>
  <c r="C18" i="11"/>
  <c r="H39" i="12"/>
  <c r="D27" i="18"/>
  <c r="C32" i="11"/>
  <c r="H27" i="12"/>
  <c r="H25" i="14"/>
  <c r="D40" i="18"/>
  <c r="G43" i="23"/>
  <c r="B16" i="94"/>
  <c r="I20" i="12"/>
  <c r="I10" i="94"/>
  <c r="F72" i="8"/>
  <c r="E16" i="11"/>
  <c r="D34" i="8"/>
  <c r="E25" i="9"/>
  <c r="E17" i="23"/>
  <c r="D40" i="23"/>
  <c r="E33" i="13"/>
  <c r="D14" i="18"/>
  <c r="E12" i="11"/>
  <c r="H55" i="8"/>
  <c r="H39" i="8"/>
  <c r="H59" i="12"/>
  <c r="D37" i="23"/>
  <c r="F27" i="8"/>
  <c r="G57" i="12"/>
  <c r="D30" i="13"/>
  <c r="H29" i="8"/>
  <c r="E21" i="13"/>
  <c r="D36" i="9"/>
  <c r="C43" i="12"/>
  <c r="D13" i="12"/>
  <c r="H69" i="8"/>
  <c r="C38" i="18"/>
  <c r="E15" i="13"/>
  <c r="H47" i="8"/>
  <c r="G22" i="14"/>
  <c r="C19" i="23"/>
  <c r="E31" i="13"/>
  <c r="C36" i="23"/>
  <c r="E52" i="8"/>
  <c r="E15" i="11"/>
  <c r="E38" i="13"/>
  <c r="F19" i="23"/>
  <c r="D37" i="101"/>
  <c r="G15" i="8"/>
  <c r="F63" i="8"/>
  <c r="C41" i="9"/>
  <c r="E34" i="12"/>
  <c r="H37" i="8"/>
  <c r="I39" i="12"/>
  <c r="C11" i="17"/>
  <c r="F30" i="13"/>
  <c r="D30" i="101"/>
  <c r="G54" i="8"/>
  <c r="I29" i="8"/>
  <c r="D40" i="12"/>
  <c r="C61" i="8"/>
  <c r="G20" i="12"/>
  <c r="E42" i="101"/>
  <c r="F13" i="13"/>
  <c r="C28" i="8"/>
  <c r="F42" i="23"/>
  <c r="C38" i="9"/>
  <c r="D25" i="8"/>
  <c r="D63" i="12"/>
  <c r="D15" i="11"/>
  <c r="D56" i="12"/>
  <c r="E15" i="12"/>
  <c r="D41" i="23"/>
  <c r="D26" i="12"/>
  <c r="E20" i="12"/>
  <c r="D29" i="12"/>
  <c r="F30" i="8"/>
  <c r="E10" i="94"/>
  <c r="I38" i="8"/>
  <c r="D17" i="8"/>
  <c r="H51" i="8"/>
  <c r="E30" i="23"/>
  <c r="D22" i="11"/>
  <c r="E61" i="12"/>
  <c r="D10" i="18"/>
  <c r="G22" i="23"/>
  <c r="G58" i="12"/>
  <c r="F12" i="23"/>
  <c r="D51" i="8"/>
  <c r="F31" i="12"/>
  <c r="C13" i="9"/>
  <c r="I21" i="12"/>
  <c r="C23" i="8"/>
  <c r="H31" i="12"/>
  <c r="B44" i="18"/>
  <c r="C33" i="9"/>
  <c r="C36" i="11"/>
  <c r="I56" i="12"/>
  <c r="D41" i="12"/>
  <c r="D20" i="23"/>
  <c r="E30" i="8"/>
  <c r="F55" i="12"/>
  <c r="B12" i="94"/>
  <c r="D37" i="9"/>
  <c r="D31" i="9"/>
  <c r="B28" i="18"/>
  <c r="C59" i="8"/>
  <c r="F14" i="8"/>
  <c r="E26" i="13"/>
  <c r="C48" i="8"/>
  <c r="D28" i="14"/>
  <c r="E59" i="8"/>
  <c r="E23" i="13"/>
  <c r="E28" i="12"/>
  <c r="G35" i="23"/>
  <c r="B27" i="18"/>
  <c r="F41" i="13"/>
  <c r="E43" i="8"/>
  <c r="C23" i="12"/>
  <c r="F52" i="12"/>
  <c r="B26" i="16"/>
  <c r="H51" i="12"/>
  <c r="E34" i="11"/>
  <c r="E28" i="8"/>
  <c r="E27" i="8"/>
  <c r="C35" i="9"/>
  <c r="F48" i="12"/>
  <c r="C17" i="101"/>
  <c r="E34" i="101"/>
  <c r="C27" i="8"/>
  <c r="I49" i="8"/>
  <c r="E31" i="12"/>
  <c r="E14" i="94"/>
  <c r="E31" i="11"/>
  <c r="D18" i="9"/>
  <c r="E16" i="8"/>
  <c r="I25" i="12"/>
  <c r="C25" i="8"/>
  <c r="E27" i="14"/>
  <c r="F49" i="12"/>
  <c r="G48" i="8"/>
  <c r="G16" i="23"/>
  <c r="D26" i="23"/>
  <c r="C30" i="12"/>
  <c r="E30" i="13"/>
  <c r="I22" i="14"/>
  <c r="G55" i="12"/>
  <c r="F56" i="8"/>
  <c r="F37" i="13"/>
  <c r="G22" i="12"/>
  <c r="C29" i="11"/>
  <c r="F33" i="12"/>
  <c r="F27" i="12"/>
  <c r="C60" i="12"/>
  <c r="G17" i="23"/>
  <c r="E33" i="9"/>
  <c r="C39" i="16"/>
  <c r="E23" i="8"/>
  <c r="C24" i="8"/>
  <c r="B17" i="40"/>
  <c r="H28" i="12"/>
  <c r="C42" i="13"/>
  <c r="G21" i="12"/>
  <c r="H63" i="8"/>
  <c r="D29" i="23"/>
  <c r="E27" i="11"/>
  <c r="C16" i="8"/>
  <c r="H72" i="12"/>
  <c r="G63" i="12"/>
  <c r="D42" i="8"/>
  <c r="D39" i="18"/>
  <c r="C42" i="9"/>
  <c r="F14" i="94"/>
  <c r="E26" i="9"/>
  <c r="F14" i="23"/>
  <c r="I59" i="8"/>
  <c r="E55" i="12"/>
  <c r="D19" i="13"/>
  <c r="D12" i="11"/>
  <c r="F57" i="12"/>
  <c r="F17" i="40"/>
  <c r="E15" i="40"/>
  <c r="F43" i="23"/>
  <c r="C43" i="23"/>
  <c r="E50" i="12"/>
  <c r="B14" i="94"/>
  <c r="B13" i="17"/>
  <c r="E43" i="23"/>
  <c r="C40" i="16"/>
  <c r="D18" i="8"/>
  <c r="G13" i="23"/>
  <c r="E26" i="12"/>
  <c r="E40" i="23"/>
  <c r="E41" i="8"/>
  <c r="F40" i="13"/>
  <c r="F10" i="40"/>
  <c r="D26" i="11"/>
  <c r="D14" i="94"/>
  <c r="I34" i="12"/>
  <c r="D20" i="12"/>
  <c r="E15" i="8"/>
  <c r="B10" i="16"/>
  <c r="D16" i="101"/>
  <c r="F68" i="8"/>
  <c r="C31" i="16"/>
  <c r="I41" i="8"/>
  <c r="D10" i="94"/>
  <c r="C13" i="17"/>
  <c r="G24" i="23"/>
  <c r="C13" i="11"/>
  <c r="F13" i="93"/>
  <c r="C26" i="8"/>
  <c r="C30" i="13"/>
  <c r="B20" i="18"/>
  <c r="E17" i="40"/>
  <c r="D31" i="13"/>
  <c r="E21" i="23"/>
  <c r="C18" i="12"/>
  <c r="I67" i="8"/>
  <c r="F28" i="8"/>
  <c r="D36" i="12"/>
  <c r="D29" i="8"/>
  <c r="B46" i="16"/>
  <c r="C32" i="23"/>
  <c r="D57" i="12"/>
  <c r="C69" i="12"/>
  <c r="E19" i="23"/>
  <c r="F47" i="8"/>
  <c r="C37" i="13"/>
  <c r="I69" i="8"/>
  <c r="G27" i="8"/>
  <c r="E16" i="101"/>
  <c r="E30" i="9"/>
  <c r="F35" i="12"/>
  <c r="G16" i="8"/>
  <c r="B13" i="16"/>
  <c r="C16" i="12"/>
  <c r="C27" i="101"/>
  <c r="D15" i="18"/>
  <c r="F59" i="8"/>
  <c r="H62" i="12"/>
  <c r="F23" i="12"/>
  <c r="I58" i="12"/>
  <c r="D23" i="12"/>
  <c r="D14" i="101"/>
  <c r="D30" i="11"/>
  <c r="G35" i="12"/>
  <c r="C20" i="12"/>
  <c r="D27" i="101"/>
  <c r="C42" i="18"/>
  <c r="D43" i="23"/>
  <c r="G69" i="12"/>
  <c r="F35" i="23"/>
  <c r="C26" i="12"/>
  <c r="I27" i="14"/>
  <c r="B15" i="17"/>
  <c r="D25" i="101"/>
  <c r="F25" i="23"/>
  <c r="D72" i="8"/>
  <c r="D16" i="18"/>
  <c r="E61" i="8"/>
  <c r="E29" i="11"/>
  <c r="E43" i="13"/>
  <c r="D27" i="11"/>
  <c r="C69" i="8"/>
  <c r="G18" i="12"/>
  <c r="F48" i="8"/>
  <c r="G19" i="23"/>
  <c r="F39" i="8"/>
  <c r="G41" i="23"/>
  <c r="E17" i="9"/>
  <c r="F28" i="23"/>
  <c r="C67" i="12"/>
  <c r="G35" i="8"/>
  <c r="E26" i="23"/>
  <c r="E41" i="23"/>
  <c r="D28" i="18"/>
  <c r="F17" i="12"/>
  <c r="I36" i="8"/>
  <c r="E59" i="12"/>
  <c r="C32" i="101"/>
  <c r="E30" i="11"/>
  <c r="B13" i="40"/>
  <c r="C26" i="101"/>
  <c r="F21" i="13"/>
  <c r="E25" i="14"/>
  <c r="D39" i="23"/>
  <c r="G30" i="23"/>
  <c r="D17" i="13"/>
  <c r="C14" i="16"/>
  <c r="C22" i="14"/>
  <c r="C54" i="12"/>
  <c r="H52" i="12"/>
  <c r="F20" i="23"/>
  <c r="C36" i="12"/>
  <c r="H13" i="12"/>
  <c r="D9" i="14"/>
  <c r="I26" i="14"/>
  <c r="E39" i="8"/>
  <c r="G40" i="8"/>
  <c r="D41" i="13"/>
  <c r="F61" i="8"/>
  <c r="E41" i="13"/>
  <c r="H25" i="8"/>
  <c r="C16" i="23"/>
  <c r="E37" i="13"/>
  <c r="C24" i="23"/>
  <c r="C16" i="11"/>
  <c r="C14" i="9"/>
  <c r="E42" i="13"/>
  <c r="F33" i="23"/>
  <c r="E26" i="101"/>
  <c r="D38" i="12"/>
  <c r="B14" i="40"/>
  <c r="H35" i="8"/>
  <c r="G42" i="12"/>
  <c r="G23" i="23"/>
  <c r="I38" i="12"/>
  <c r="H49" i="8"/>
  <c r="C47" i="12"/>
  <c r="J26" i="14"/>
  <c r="C21" i="13"/>
  <c r="F42" i="8"/>
  <c r="D15" i="12"/>
  <c r="G42" i="8"/>
  <c r="C33" i="12"/>
  <c r="B30" i="18"/>
  <c r="E19" i="9"/>
  <c r="D44" i="13"/>
  <c r="C20" i="18"/>
  <c r="B29" i="16"/>
  <c r="C30" i="16"/>
  <c r="G33" i="12"/>
  <c r="E30" i="12"/>
  <c r="D21" i="18"/>
  <c r="D29" i="9"/>
  <c r="C20" i="9"/>
  <c r="G20" i="8"/>
  <c r="F23" i="13"/>
  <c r="H14" i="12"/>
  <c r="D59" i="8"/>
  <c r="C16" i="16"/>
  <c r="D42" i="9"/>
  <c r="D23" i="13"/>
  <c r="E12" i="8"/>
  <c r="I68" i="8"/>
  <c r="C25" i="13"/>
  <c r="F9" i="14"/>
  <c r="E37" i="9"/>
  <c r="G37" i="23"/>
  <c r="C34" i="101"/>
  <c r="G58" i="8"/>
  <c r="E19" i="12"/>
  <c r="F27" i="13"/>
  <c r="F54" i="8"/>
  <c r="H12" i="8"/>
  <c r="I58" i="8"/>
  <c r="F16" i="94"/>
  <c r="H22" i="14"/>
  <c r="C42" i="101"/>
  <c r="D14" i="8"/>
  <c r="E36" i="12"/>
  <c r="H14" i="8"/>
  <c r="F18" i="40"/>
  <c r="B13" i="93"/>
  <c r="E33" i="11"/>
  <c r="G52" i="8"/>
  <c r="C34" i="8"/>
  <c r="G61" i="12"/>
  <c r="G59" i="8"/>
  <c r="D31" i="101"/>
  <c r="D16" i="9"/>
  <c r="F44" i="13"/>
  <c r="D22" i="8"/>
  <c r="B35" i="16"/>
  <c r="F18" i="23"/>
  <c r="E10" i="40"/>
  <c r="I31" i="8"/>
  <c r="E25" i="12"/>
  <c r="F18" i="13"/>
  <c r="C16" i="18"/>
  <c r="D42" i="18"/>
  <c r="G36" i="23"/>
  <c r="H38" i="8"/>
  <c r="E27" i="101"/>
  <c r="D22" i="9"/>
  <c r="H50" i="12"/>
  <c r="G12" i="23"/>
  <c r="I19" i="12"/>
  <c r="C22" i="18"/>
  <c r="E18" i="23"/>
  <c r="F15" i="40"/>
  <c r="I48" i="8"/>
  <c r="F34" i="12"/>
  <c r="D36" i="18"/>
  <c r="G36" i="8"/>
  <c r="G49" i="8"/>
  <c r="F53" i="8"/>
  <c r="C29" i="18"/>
  <c r="C28" i="13"/>
  <c r="G38" i="23"/>
  <c r="C17" i="18"/>
  <c r="B36" i="16"/>
  <c r="D13" i="101"/>
  <c r="J22" i="14"/>
  <c r="F23" i="23"/>
  <c r="C37" i="16"/>
  <c r="C49" i="8"/>
  <c r="D35" i="9"/>
  <c r="I14" i="94"/>
  <c r="H34" i="12"/>
  <c r="C43" i="11"/>
  <c r="F52" i="8"/>
  <c r="E22" i="13"/>
  <c r="D33" i="9"/>
  <c r="F56" i="12"/>
  <c r="G16" i="94"/>
  <c r="C24" i="9"/>
  <c r="I24" i="12"/>
  <c r="C20" i="101"/>
  <c r="G24" i="8"/>
  <c r="C17" i="8"/>
  <c r="G48" i="12"/>
  <c r="F15" i="8"/>
  <c r="D39" i="13"/>
  <c r="H26" i="8"/>
  <c r="E24" i="101"/>
  <c r="G25" i="23"/>
  <c r="B32" i="18"/>
  <c r="E67" i="12"/>
  <c r="B10" i="18"/>
  <c r="C9" i="14"/>
  <c r="G34" i="23"/>
  <c r="C22" i="16"/>
  <c r="D26" i="9"/>
  <c r="D13" i="93"/>
  <c r="C32" i="13"/>
  <c r="D26" i="13"/>
  <c r="G40" i="12"/>
  <c r="F55" i="8"/>
  <c r="G53" i="8"/>
  <c r="I59" i="12"/>
  <c r="E17" i="12"/>
  <c r="B10" i="17"/>
  <c r="D41" i="9"/>
  <c r="C30" i="23"/>
  <c r="F15" i="23"/>
  <c r="C22" i="23"/>
  <c r="D20" i="9"/>
  <c r="D15" i="101"/>
  <c r="C14" i="40"/>
  <c r="D39" i="101"/>
  <c r="G28" i="23"/>
  <c r="E19" i="101"/>
  <c r="E9" i="14"/>
  <c r="E13" i="13"/>
  <c r="C33" i="11"/>
  <c r="C30" i="18"/>
  <c r="I9" i="14"/>
  <c r="D31" i="14"/>
  <c r="C17" i="13"/>
  <c r="H42" i="8"/>
  <c r="D60" i="8"/>
  <c r="H57" i="12"/>
  <c r="D24" i="11"/>
  <c r="C41" i="101"/>
  <c r="C13" i="93"/>
  <c r="D69" i="8"/>
  <c r="C29" i="13"/>
  <c r="F34" i="8"/>
  <c r="D18" i="23"/>
  <c r="E69" i="8"/>
  <c r="F68" i="12"/>
  <c r="I57" i="12"/>
  <c r="E14" i="23"/>
  <c r="F31" i="13"/>
  <c r="F58" i="12"/>
  <c r="G29" i="12"/>
  <c r="D32" i="101"/>
  <c r="F16" i="12"/>
  <c r="D23" i="8"/>
  <c r="D43" i="9"/>
  <c r="I20" i="8"/>
  <c r="G32" i="23"/>
  <c r="G13" i="12"/>
  <c r="C37" i="8"/>
  <c r="F62" i="12"/>
  <c r="I21" i="8"/>
  <c r="C20" i="23"/>
  <c r="F63" i="12"/>
  <c r="F13" i="40"/>
  <c r="F24" i="23"/>
  <c r="D33" i="23"/>
  <c r="C25" i="12"/>
  <c r="D28" i="101"/>
  <c r="F43" i="12"/>
  <c r="G10" i="94"/>
  <c r="I12" i="94"/>
  <c r="D28" i="8"/>
  <c r="E14" i="11"/>
  <c r="C34" i="13"/>
  <c r="D69" i="12"/>
  <c r="D22" i="101"/>
  <c r="H40" i="8"/>
  <c r="E69" i="12"/>
  <c r="E12" i="101"/>
  <c r="I49" i="12"/>
  <c r="D27" i="12"/>
  <c r="F42" i="12"/>
  <c r="H24" i="12"/>
  <c r="I25" i="8"/>
  <c r="H16" i="8"/>
  <c r="C63" i="8"/>
  <c r="F39" i="13"/>
  <c r="C55" i="12"/>
  <c r="E30" i="101"/>
  <c r="I33" i="8"/>
  <c r="C37" i="101"/>
  <c r="D27" i="14"/>
  <c r="I34" i="8"/>
  <c r="I72" i="12"/>
  <c r="D43" i="101"/>
  <c r="C44" i="13"/>
  <c r="D22" i="14"/>
  <c r="G56" i="8"/>
  <c r="C20" i="8"/>
  <c r="F24" i="8"/>
  <c r="E12" i="40"/>
  <c r="B22" i="16"/>
  <c r="C21" i="16"/>
  <c r="C12" i="18"/>
  <c r="G61" i="8"/>
  <c r="H60" i="12"/>
  <c r="F12" i="13"/>
  <c r="H61" i="12"/>
  <c r="E16" i="12"/>
  <c r="F51" i="8"/>
  <c r="D35" i="8"/>
  <c r="I67" i="12"/>
  <c r="F51" i="12"/>
  <c r="C21" i="12"/>
  <c r="C14" i="17"/>
  <c r="I22" i="8"/>
  <c r="D14" i="23"/>
  <c r="C31" i="18"/>
  <c r="G38" i="12"/>
  <c r="G32" i="8"/>
  <c r="G28" i="8"/>
  <c r="C58" i="12"/>
  <c r="I13" i="8"/>
  <c r="E38" i="8"/>
  <c r="F28" i="12"/>
  <c r="D12" i="9"/>
  <c r="D47" i="12"/>
  <c r="E14" i="8"/>
  <c r="C32" i="18"/>
  <c r="C39" i="12"/>
  <c r="E21" i="101"/>
  <c r="H61" i="8"/>
  <c r="C17" i="11"/>
  <c r="F50" i="12"/>
  <c r="E34" i="8"/>
  <c r="D51" i="12"/>
  <c r="F25" i="14"/>
  <c r="D18" i="11"/>
  <c r="F17" i="23"/>
  <c r="E32" i="13"/>
  <c r="H43" i="8"/>
  <c r="H21" i="8"/>
  <c r="G34" i="12"/>
  <c r="D25" i="12"/>
  <c r="E20" i="23"/>
  <c r="D31" i="8"/>
  <c r="E23" i="23"/>
  <c r="B23" i="18"/>
  <c r="D20" i="13"/>
  <c r="C16" i="101"/>
  <c r="G13" i="93"/>
  <c r="E62" i="12"/>
  <c r="B21" i="18"/>
  <c r="D28" i="23"/>
  <c r="C72" i="12"/>
  <c r="C59" i="12"/>
  <c r="C11" i="40"/>
  <c r="I31" i="14"/>
  <c r="D21" i="9"/>
  <c r="F38" i="23"/>
  <c r="G37" i="12"/>
  <c r="G23" i="8"/>
  <c r="E32" i="23"/>
  <c r="F26" i="23"/>
  <c r="D33" i="101"/>
  <c r="C38" i="101"/>
  <c r="E18" i="12"/>
  <c r="E13" i="93"/>
  <c r="E34" i="13"/>
  <c r="C15" i="17"/>
  <c r="C15" i="11"/>
  <c r="G39" i="12"/>
  <c r="C40" i="9"/>
  <c r="F50" i="8"/>
  <c r="B14" i="18"/>
  <c r="E25" i="23"/>
  <c r="E12" i="12"/>
  <c r="C12" i="11"/>
  <c r="E49" i="12"/>
  <c r="E25" i="8"/>
  <c r="G55" i="8"/>
  <c r="H26" i="12"/>
  <c r="H27" i="14"/>
  <c r="H19" i="8"/>
  <c r="G47" i="12"/>
  <c r="D33" i="11"/>
  <c r="D37" i="12"/>
  <c r="B16" i="16"/>
  <c r="E16" i="23"/>
  <c r="E24" i="11"/>
  <c r="F60" i="12"/>
  <c r="G25" i="14"/>
  <c r="C57" i="12"/>
  <c r="F21" i="23"/>
  <c r="E31" i="23"/>
  <c r="C11" i="16"/>
  <c r="C54" i="8"/>
  <c r="D42" i="11"/>
  <c r="F22" i="12"/>
  <c r="E28" i="14"/>
  <c r="C10" i="17"/>
  <c r="H31" i="8"/>
  <c r="D30" i="12"/>
  <c r="B42" i="18"/>
  <c r="H16" i="12"/>
  <c r="B12" i="18"/>
  <c r="G30" i="8"/>
  <c r="C31" i="13"/>
  <c r="F21" i="12"/>
  <c r="F26" i="8"/>
  <c r="G18" i="8"/>
  <c r="E32" i="9"/>
  <c r="E42" i="9"/>
  <c r="D18" i="101"/>
  <c r="E51" i="12"/>
  <c r="C19" i="101"/>
  <c r="F38" i="13"/>
  <c r="C39" i="11"/>
  <c r="C60" i="8"/>
  <c r="C15" i="18"/>
  <c r="D37" i="8"/>
  <c r="D41" i="101"/>
  <c r="F31" i="23"/>
  <c r="H17" i="12"/>
  <c r="H14" i="94"/>
  <c r="E63" i="8"/>
  <c r="D23" i="11"/>
  <c r="I12" i="8"/>
  <c r="H67" i="12"/>
  <c r="E20" i="13"/>
  <c r="D21" i="101"/>
  <c r="E58" i="8"/>
  <c r="D34" i="12"/>
  <c r="C40" i="8"/>
  <c r="E47" i="8"/>
  <c r="E12" i="94"/>
  <c r="B13" i="18"/>
  <c r="C44" i="18"/>
  <c r="D16" i="8"/>
  <c r="C42" i="11"/>
  <c r="D34" i="23"/>
  <c r="B41" i="18"/>
  <c r="C37" i="12"/>
  <c r="G37" i="8"/>
  <c r="F10" i="94"/>
  <c r="H50" i="8"/>
  <c r="C39" i="13"/>
  <c r="C39" i="101"/>
  <c r="B14" i="16"/>
  <c r="I50" i="8"/>
  <c r="E24" i="9"/>
  <c r="C33" i="23"/>
  <c r="E15" i="101"/>
  <c r="E17" i="13"/>
  <c r="G14" i="23"/>
  <c r="D63" i="8"/>
  <c r="H32" i="12"/>
  <c r="E36" i="23"/>
  <c r="E60" i="12"/>
  <c r="F35" i="8"/>
  <c r="D32" i="12"/>
  <c r="E31" i="14"/>
  <c r="G39" i="8"/>
  <c r="C22" i="9"/>
  <c r="D34" i="11"/>
  <c r="G69" i="8"/>
  <c r="G50" i="8"/>
  <c r="G15" i="12"/>
  <c r="G36" i="12"/>
  <c r="H20" i="12"/>
  <c r="F34" i="23"/>
  <c r="F32" i="8"/>
  <c r="H43" i="12"/>
  <c r="B16" i="18"/>
  <c r="E23" i="101"/>
  <c r="B16" i="40"/>
  <c r="C25" i="9"/>
  <c r="E29" i="8"/>
  <c r="I61" i="12"/>
  <c r="F13" i="12"/>
  <c r="E13" i="12"/>
  <c r="C14" i="12"/>
  <c r="C29" i="12"/>
  <c r="C24" i="12"/>
  <c r="C41" i="8"/>
  <c r="G9" i="14"/>
  <c r="C27" i="9"/>
  <c r="F29" i="8"/>
  <c r="C13" i="23"/>
  <c r="D34" i="13"/>
  <c r="G19" i="12"/>
  <c r="F14" i="13"/>
  <c r="G53" i="12"/>
  <c r="F24" i="13"/>
  <c r="C31" i="14"/>
  <c r="H31" i="14"/>
  <c r="D49" i="8"/>
  <c r="H20" i="8"/>
  <c r="F40" i="12"/>
  <c r="G26" i="8"/>
  <c r="F18" i="12"/>
  <c r="C21" i="23"/>
  <c r="I25" i="14"/>
  <c r="F28" i="13"/>
  <c r="I23" i="12"/>
  <c r="C16" i="94"/>
  <c r="F69" i="12"/>
  <c r="E35" i="11"/>
  <c r="E20" i="11"/>
  <c r="C32" i="9"/>
  <c r="I51" i="8"/>
  <c r="I61" i="8"/>
  <c r="D42" i="12"/>
  <c r="C37" i="11"/>
  <c r="C36" i="16"/>
  <c r="B28" i="16"/>
  <c r="E15" i="23"/>
  <c r="E29" i="23"/>
  <c r="E50" i="8"/>
  <c r="C46" i="16"/>
  <c r="E16" i="94"/>
  <c r="C19" i="11"/>
  <c r="E36" i="8"/>
  <c r="D29" i="11"/>
  <c r="F24" i="12"/>
  <c r="D43" i="12"/>
  <c r="H28" i="8"/>
  <c r="F22" i="14"/>
  <c r="C21" i="11"/>
  <c r="B10" i="40"/>
  <c r="G26" i="23"/>
  <c r="E32" i="8"/>
  <c r="C35" i="16"/>
  <c r="D13" i="11"/>
  <c r="I15" i="12"/>
  <c r="C29" i="23"/>
  <c r="G28" i="12"/>
  <c r="E41" i="101"/>
  <c r="E54" i="8"/>
  <c r="C23" i="13"/>
  <c r="E42" i="23"/>
  <c r="G27" i="23"/>
  <c r="G62" i="12"/>
  <c r="E24" i="12"/>
  <c r="D23" i="18"/>
  <c r="C39" i="8"/>
  <c r="C35" i="12"/>
  <c r="D40" i="11"/>
  <c r="C23" i="23"/>
  <c r="H13" i="8"/>
  <c r="F20" i="12"/>
  <c r="C31" i="12"/>
  <c r="C49" i="12"/>
  <c r="C13" i="12"/>
  <c r="E52" i="12"/>
  <c r="C39" i="18"/>
  <c r="E35" i="23"/>
  <c r="H28" i="14"/>
  <c r="H15" i="8"/>
  <c r="D31" i="12"/>
  <c r="D43" i="8"/>
  <c r="H68" i="8"/>
  <c r="G49" i="12"/>
  <c r="C22" i="13"/>
  <c r="G14" i="8"/>
  <c r="F22" i="23"/>
  <c r="F17" i="8"/>
  <c r="C50" i="8"/>
  <c r="D28" i="11"/>
  <c r="D14" i="13"/>
  <c r="F20" i="13"/>
  <c r="C38" i="11"/>
  <c r="E13" i="23"/>
  <c r="H58" i="8"/>
  <c r="I35" i="12"/>
  <c r="C48" i="12"/>
  <c r="C36" i="8"/>
  <c r="C22" i="8"/>
  <c r="F19" i="8"/>
  <c r="D50" i="8"/>
  <c r="D17" i="11"/>
  <c r="D42" i="13"/>
  <c r="C14" i="11"/>
  <c r="F19" i="13"/>
  <c r="E39" i="12"/>
  <c r="F37" i="12"/>
  <c r="C51" i="12"/>
  <c r="E25" i="101"/>
  <c r="D38" i="9"/>
  <c r="E47" i="12"/>
  <c r="E22" i="8"/>
  <c r="C55" i="8"/>
  <c r="D24" i="101"/>
  <c r="I52" i="8"/>
  <c r="C34" i="12"/>
  <c r="C38" i="16"/>
  <c r="I28" i="14"/>
  <c r="C20" i="13"/>
  <c r="C28" i="18"/>
  <c r="B17" i="18"/>
  <c r="H15" i="12"/>
  <c r="E48" i="8"/>
  <c r="I40" i="8"/>
  <c r="E13" i="8"/>
  <c r="B10" i="94"/>
  <c r="C34" i="9"/>
  <c r="G15" i="23"/>
  <c r="C33" i="8"/>
  <c r="B35" i="18"/>
  <c r="C35" i="18"/>
  <c r="F16" i="23"/>
  <c r="D15" i="13"/>
  <c r="C35" i="11"/>
  <c r="F14" i="12"/>
  <c r="D17" i="101"/>
  <c r="D12" i="12"/>
  <c r="F11" i="40"/>
  <c r="C29" i="8"/>
  <c r="E42" i="11"/>
  <c r="B14" i="17"/>
  <c r="G14" i="12"/>
  <c r="C23" i="101"/>
  <c r="C14" i="8"/>
  <c r="G31" i="8"/>
  <c r="C16" i="13"/>
  <c r="F58" i="8"/>
  <c r="I42" i="12"/>
  <c r="H55" i="12"/>
  <c r="H72" i="8"/>
  <c r="C50" i="12"/>
  <c r="F72" i="12"/>
  <c r="C24" i="11"/>
  <c r="D13" i="8"/>
  <c r="E16" i="40"/>
  <c r="C27" i="12"/>
  <c r="I39" i="8"/>
  <c r="C25" i="11"/>
  <c r="E43" i="9"/>
  <c r="C39" i="23"/>
  <c r="D25" i="13"/>
  <c r="E17" i="11"/>
  <c r="E37" i="8"/>
  <c r="E51" i="8"/>
  <c r="C24" i="101"/>
  <c r="F41" i="101" l="1"/>
  <c r="H41" i="101" s="1"/>
  <c r="F36" i="101"/>
  <c r="H36" i="101" s="1"/>
  <c r="C16" i="17"/>
  <c r="D16" i="17" s="1"/>
  <c r="G12" i="17" s="1"/>
  <c r="I15" i="94"/>
  <c r="B16" i="17"/>
  <c r="F20" i="101"/>
  <c r="G20" i="101" s="1"/>
  <c r="F25" i="101"/>
  <c r="G25" i="101" s="1"/>
  <c r="F37" i="101"/>
  <c r="H37" i="101" s="1"/>
  <c r="F16" i="101"/>
  <c r="I16" i="101" s="1"/>
  <c r="F34" i="101"/>
  <c r="G34" i="101" s="1"/>
  <c r="F26" i="101"/>
  <c r="G26" i="101" s="1"/>
  <c r="F29" i="101"/>
  <c r="G29" i="101" s="1"/>
  <c r="F30" i="101"/>
  <c r="H30" i="101" s="1"/>
  <c r="F17" i="101"/>
  <c r="G17" i="101" s="1"/>
  <c r="F23" i="101"/>
  <c r="G23" i="101" s="1"/>
  <c r="F27" i="101"/>
  <c r="G27" i="101" s="1"/>
  <c r="F42" i="101"/>
  <c r="H42" i="101" s="1"/>
  <c r="D44" i="101"/>
  <c r="F28" i="101"/>
  <c r="G28" i="101" s="1"/>
  <c r="F31" i="101"/>
  <c r="I31" i="101" s="1"/>
  <c r="F40" i="101"/>
  <c r="H40" i="101" s="1"/>
  <c r="F38" i="101"/>
  <c r="H38" i="101" s="1"/>
  <c r="F14" i="101"/>
  <c r="H14" i="101" s="1"/>
  <c r="F18" i="101"/>
  <c r="G18" i="101" s="1"/>
  <c r="F19" i="101"/>
  <c r="G19" i="101" s="1"/>
  <c r="F43" i="101"/>
  <c r="H43" i="101" s="1"/>
  <c r="F39" i="101"/>
  <c r="H39" i="101" s="1"/>
  <c r="F15" i="101"/>
  <c r="I15" i="101" s="1"/>
  <c r="F21" i="101"/>
  <c r="G21" i="101" s="1"/>
  <c r="F35" i="101"/>
  <c r="H35" i="101" s="1"/>
  <c r="F32" i="101"/>
  <c r="G32" i="101" s="1"/>
  <c r="G10" i="40"/>
  <c r="F33" i="101"/>
  <c r="G33" i="101" s="1"/>
  <c r="F22" i="101"/>
  <c r="G22" i="101" s="1"/>
  <c r="E44" i="101"/>
  <c r="F24" i="101"/>
  <c r="G24" i="101" s="1"/>
  <c r="F13" i="101"/>
  <c r="I13" i="101" s="1"/>
  <c r="F12" i="101"/>
  <c r="I12" i="101" s="1"/>
  <c r="C44" i="101"/>
  <c r="J72" i="12"/>
  <c r="I18" i="19"/>
  <c r="I17" i="19"/>
  <c r="G24" i="96"/>
  <c r="D24" i="96"/>
  <c r="F24" i="96"/>
  <c r="B24" i="96"/>
  <c r="E24" i="96"/>
  <c r="C24" i="96"/>
  <c r="I13" i="93"/>
  <c r="F12" i="93"/>
  <c r="H12" i="93"/>
  <c r="C12" i="93"/>
  <c r="B12" i="93"/>
  <c r="E12" i="93"/>
  <c r="G12" i="93"/>
  <c r="D12" i="93"/>
  <c r="I34" i="101" l="1"/>
  <c r="H22" i="101"/>
  <c r="I23" i="101"/>
  <c r="I35" i="101"/>
  <c r="H12" i="101"/>
  <c r="I27" i="101"/>
  <c r="H27" i="101"/>
  <c r="I36" i="101"/>
  <c r="H26" i="101"/>
  <c r="H21" i="101"/>
  <c r="I43" i="101"/>
  <c r="I33" i="101"/>
  <c r="H29" i="101"/>
  <c r="G35" i="101"/>
  <c r="H31" i="101"/>
  <c r="H20" i="101"/>
  <c r="I29" i="101"/>
  <c r="G42" i="101"/>
  <c r="H25" i="101"/>
  <c r="I42" i="101"/>
  <c r="H16" i="101"/>
  <c r="I41" i="101"/>
  <c r="I21" i="101"/>
  <c r="G39" i="101"/>
  <c r="G38" i="101"/>
  <c r="G30" i="101"/>
  <c r="I17" i="101"/>
  <c r="I38" i="101"/>
  <c r="G43" i="101"/>
  <c r="G36" i="101"/>
  <c r="I28" i="101"/>
  <c r="G41" i="101"/>
  <c r="I22" i="101"/>
  <c r="I24" i="101"/>
  <c r="H17" i="101"/>
  <c r="I39" i="101"/>
  <c r="G12" i="101"/>
  <c r="G31" i="101"/>
  <c r="G16" i="101"/>
  <c r="I18" i="101"/>
  <c r="H28" i="101"/>
  <c r="F44" i="101"/>
  <c r="G44" i="101" s="1"/>
  <c r="I25" i="101"/>
  <c r="H24" i="101"/>
  <c r="I14" i="101"/>
  <c r="G15" i="101"/>
  <c r="H19" i="101"/>
  <c r="I19" i="101"/>
  <c r="G40" i="101"/>
  <c r="I30" i="101"/>
  <c r="H23" i="101"/>
  <c r="H33" i="101"/>
  <c r="I37" i="101"/>
  <c r="G14" i="101"/>
  <c r="I26" i="101"/>
  <c r="H18" i="101"/>
  <c r="H13" i="101"/>
  <c r="I40" i="101"/>
  <c r="H32" i="101"/>
  <c r="H34" i="101"/>
  <c r="G13" i="101"/>
  <c r="I32" i="101"/>
  <c r="I20" i="101"/>
  <c r="G37" i="101"/>
  <c r="H15" i="101"/>
  <c r="I21" i="19"/>
  <c r="I12" i="93"/>
  <c r="D11" i="93"/>
  <c r="B11" i="93"/>
  <c r="F11" i="93"/>
  <c r="G11" i="93"/>
  <c r="H11" i="93"/>
  <c r="C11" i="93"/>
  <c r="E11" i="93"/>
  <c r="I44" i="101" l="1"/>
  <c r="H44" i="101"/>
  <c r="I11" i="93"/>
  <c r="G10" i="93"/>
  <c r="B10" i="93"/>
  <c r="H10" i="93"/>
  <c r="D10" i="93"/>
  <c r="F10" i="93"/>
  <c r="E10" i="93"/>
  <c r="C10" i="93"/>
  <c r="B17" i="94" l="1"/>
  <c r="H17" i="94"/>
  <c r="B14" i="93"/>
  <c r="I10" i="93"/>
  <c r="C14" i="93"/>
  <c r="D14" i="93"/>
  <c r="E14" i="93"/>
  <c r="F14" i="93"/>
  <c r="G14" i="93"/>
  <c r="H14" i="93"/>
  <c r="I17" i="94"/>
  <c r="C17" i="94"/>
  <c r="D17" i="94"/>
  <c r="E17" i="94"/>
  <c r="F17" i="94"/>
  <c r="G17" i="94"/>
  <c r="G15" i="94" l="1"/>
  <c r="D15" i="94"/>
  <c r="H15" i="94"/>
  <c r="E15" i="94"/>
  <c r="B15" i="94"/>
  <c r="F15" i="94"/>
  <c r="C15" i="94"/>
  <c r="I14" i="93"/>
  <c r="J10" i="93" s="1"/>
  <c r="H13" i="94" l="1"/>
  <c r="B13" i="94"/>
  <c r="J14" i="93"/>
  <c r="J13" i="93"/>
  <c r="J12" i="93"/>
  <c r="J11" i="93"/>
  <c r="I13" i="94"/>
  <c r="C13" i="94"/>
  <c r="D13" i="94"/>
  <c r="E13" i="94"/>
  <c r="F13" i="94"/>
  <c r="G13" i="94"/>
  <c r="H11" i="94" l="1"/>
  <c r="B11" i="94"/>
  <c r="C11" i="94"/>
  <c r="D11" i="94"/>
  <c r="E11" i="94"/>
  <c r="F11" i="94"/>
  <c r="G11" i="94"/>
  <c r="I11" i="94" l="1"/>
  <c r="K17" i="35" l="1"/>
  <c r="K18" i="35"/>
  <c r="K19" i="35"/>
  <c r="H17" i="35"/>
  <c r="H18" i="35"/>
  <c r="H19" i="35"/>
  <c r="F13" i="28"/>
  <c r="G13" i="28"/>
  <c r="E11" i="28"/>
  <c r="E12" i="28"/>
  <c r="E13" i="28"/>
  <c r="E22" i="28" l="1"/>
  <c r="E23" i="28" s="1"/>
  <c r="F22" i="28"/>
  <c r="F23" i="28" s="1"/>
  <c r="G22" i="28"/>
  <c r="G23" i="28" s="1"/>
  <c r="C28" i="26" l="1"/>
  <c r="C29" i="26"/>
  <c r="C30" i="26"/>
  <c r="E28" i="26"/>
  <c r="E29" i="26"/>
  <c r="E30" i="26"/>
  <c r="G28" i="26"/>
  <c r="G29" i="26"/>
  <c r="G30" i="26"/>
  <c r="I28" i="26"/>
  <c r="I29" i="26"/>
  <c r="I30" i="26"/>
  <c r="I11" i="26"/>
  <c r="I12" i="26"/>
  <c r="I13" i="26"/>
  <c r="G11" i="26"/>
  <c r="G12" i="26"/>
  <c r="G13" i="26"/>
  <c r="E11" i="26"/>
  <c r="E12" i="26"/>
  <c r="E13" i="26"/>
  <c r="C11" i="26"/>
  <c r="C12" i="26"/>
  <c r="C13" i="26"/>
  <c r="F24" i="89" l="1"/>
  <c r="E24" i="89"/>
  <c r="D24" i="89"/>
  <c r="C24" i="89"/>
  <c r="B24" i="89"/>
  <c r="F23" i="89"/>
  <c r="E23" i="89"/>
  <c r="D23" i="89"/>
  <c r="C23" i="89"/>
  <c r="B23" i="89"/>
  <c r="F22" i="89"/>
  <c r="E22" i="89"/>
  <c r="D22" i="89"/>
  <c r="C22" i="89"/>
  <c r="B22" i="89"/>
  <c r="F21" i="89"/>
  <c r="E21" i="89"/>
  <c r="D21" i="89"/>
  <c r="C21" i="89"/>
  <c r="B21" i="89"/>
  <c r="F20" i="89"/>
  <c r="E20" i="89"/>
  <c r="D20" i="89"/>
  <c r="C20" i="89"/>
  <c r="B20" i="89"/>
  <c r="F19" i="89"/>
  <c r="E19" i="89"/>
  <c r="D19" i="89"/>
  <c r="C19" i="89"/>
  <c r="B19" i="89"/>
  <c r="F18" i="89"/>
  <c r="E18" i="89"/>
  <c r="D18" i="89"/>
  <c r="C18" i="89"/>
  <c r="B18" i="89"/>
  <c r="F17" i="89"/>
  <c r="E17" i="89"/>
  <c r="D17" i="89"/>
  <c r="C17" i="89"/>
  <c r="B17" i="89"/>
  <c r="F16" i="89"/>
  <c r="E16" i="89"/>
  <c r="D16" i="89"/>
  <c r="C16" i="89"/>
  <c r="B16" i="89"/>
  <c r="F15" i="89"/>
  <c r="E15" i="89"/>
  <c r="D15" i="89"/>
  <c r="C15" i="89"/>
  <c r="B15" i="89"/>
  <c r="F14" i="89"/>
  <c r="E14" i="89"/>
  <c r="D14" i="89"/>
  <c r="C14" i="89"/>
  <c r="B14" i="89"/>
  <c r="F13" i="89"/>
  <c r="E13" i="89"/>
  <c r="D13" i="89"/>
  <c r="C13" i="89"/>
  <c r="B13" i="89"/>
  <c r="F12" i="89"/>
  <c r="E12" i="89"/>
  <c r="D12" i="89"/>
  <c r="C12" i="89"/>
  <c r="B12" i="89"/>
  <c r="F11" i="89"/>
  <c r="E11" i="89"/>
  <c r="D11" i="89"/>
  <c r="C11" i="89"/>
  <c r="B11" i="89"/>
  <c r="F10" i="89"/>
  <c r="E10" i="89"/>
  <c r="D10" i="89"/>
  <c r="C10" i="89"/>
  <c r="L43" i="36"/>
  <c r="K43" i="36"/>
  <c r="J43" i="36"/>
  <c r="I43" i="36"/>
  <c r="F43" i="36"/>
  <c r="E43" i="36"/>
  <c r="D43" i="36"/>
  <c r="C43" i="36"/>
  <c r="L42" i="36"/>
  <c r="K42" i="36"/>
  <c r="J42" i="36"/>
  <c r="F42" i="36"/>
  <c r="E42" i="36"/>
  <c r="D42" i="36"/>
  <c r="C42" i="36"/>
  <c r="L41" i="36"/>
  <c r="K41" i="36"/>
  <c r="J41" i="36"/>
  <c r="I41" i="36"/>
  <c r="F41" i="36"/>
  <c r="E41" i="36"/>
  <c r="D41" i="36"/>
  <c r="C41" i="36"/>
  <c r="L40" i="36"/>
  <c r="K40" i="36"/>
  <c r="J40" i="36"/>
  <c r="I40" i="36"/>
  <c r="F40" i="36"/>
  <c r="E40" i="36"/>
  <c r="D40" i="36"/>
  <c r="C40" i="36"/>
  <c r="L39" i="36"/>
  <c r="K39" i="36"/>
  <c r="J39" i="36"/>
  <c r="I39" i="36"/>
  <c r="F39" i="36"/>
  <c r="E39" i="36"/>
  <c r="D39" i="36"/>
  <c r="C39" i="36"/>
  <c r="L38" i="36"/>
  <c r="K38" i="36"/>
  <c r="J38" i="36"/>
  <c r="I38" i="36"/>
  <c r="F38" i="36"/>
  <c r="E38" i="36"/>
  <c r="D38" i="36"/>
  <c r="C38" i="36"/>
  <c r="L37" i="36"/>
  <c r="K37" i="36"/>
  <c r="J37" i="36"/>
  <c r="I37" i="36"/>
  <c r="F37" i="36"/>
  <c r="E37" i="36"/>
  <c r="D37" i="36"/>
  <c r="C37" i="36"/>
  <c r="L36" i="36"/>
  <c r="K36" i="36"/>
  <c r="J36" i="36"/>
  <c r="I36" i="36"/>
  <c r="F36" i="36"/>
  <c r="E36" i="36"/>
  <c r="D36" i="36"/>
  <c r="C36" i="36"/>
  <c r="L35" i="36"/>
  <c r="K35" i="36"/>
  <c r="J35" i="36"/>
  <c r="I35" i="36"/>
  <c r="F35" i="36"/>
  <c r="E35" i="36"/>
  <c r="D35" i="36"/>
  <c r="C35" i="36"/>
  <c r="L34" i="36"/>
  <c r="K34" i="36"/>
  <c r="J34" i="36"/>
  <c r="I34" i="36"/>
  <c r="F34" i="36"/>
  <c r="E34" i="36"/>
  <c r="D34" i="36"/>
  <c r="C34" i="36"/>
  <c r="L33" i="36"/>
  <c r="K33" i="36"/>
  <c r="J33" i="36"/>
  <c r="I33" i="36"/>
  <c r="F33" i="36"/>
  <c r="E33" i="36"/>
  <c r="D33" i="36"/>
  <c r="C33" i="36"/>
  <c r="L32" i="36"/>
  <c r="K32" i="36"/>
  <c r="J32" i="36"/>
  <c r="I32" i="36"/>
  <c r="F32" i="36"/>
  <c r="E32" i="36"/>
  <c r="D32" i="36"/>
  <c r="C32" i="36"/>
  <c r="L31" i="36"/>
  <c r="K31" i="36"/>
  <c r="J31" i="36"/>
  <c r="I31" i="36"/>
  <c r="F31" i="36"/>
  <c r="E31" i="36"/>
  <c r="D31" i="36"/>
  <c r="C31" i="36"/>
  <c r="L30" i="36"/>
  <c r="K30" i="36"/>
  <c r="J30" i="36"/>
  <c r="I30" i="36"/>
  <c r="F30" i="36"/>
  <c r="E30" i="36"/>
  <c r="D30" i="36"/>
  <c r="C30" i="36"/>
  <c r="L29" i="36"/>
  <c r="K29" i="36"/>
  <c r="J29" i="36"/>
  <c r="I29" i="36"/>
  <c r="F29" i="36"/>
  <c r="E29" i="36"/>
  <c r="D29" i="36"/>
  <c r="C29" i="36"/>
  <c r="L28" i="36"/>
  <c r="K28" i="36"/>
  <c r="J28" i="36"/>
  <c r="I28" i="36"/>
  <c r="F28" i="36"/>
  <c r="E28" i="36"/>
  <c r="D28" i="36"/>
  <c r="C28" i="36"/>
  <c r="L27" i="36"/>
  <c r="K27" i="36"/>
  <c r="J27" i="36"/>
  <c r="I27" i="36"/>
  <c r="F27" i="36"/>
  <c r="E27" i="36"/>
  <c r="D27" i="36"/>
  <c r="C27" i="36"/>
  <c r="L26" i="36"/>
  <c r="K26" i="36"/>
  <c r="J26" i="36"/>
  <c r="I26" i="36"/>
  <c r="F26" i="36"/>
  <c r="E26" i="36"/>
  <c r="D26" i="36"/>
  <c r="C26" i="36"/>
  <c r="L25" i="36"/>
  <c r="K25" i="36"/>
  <c r="J25" i="36"/>
  <c r="I25" i="36"/>
  <c r="F25" i="36"/>
  <c r="E25" i="36"/>
  <c r="D25" i="36"/>
  <c r="C25" i="36"/>
  <c r="L24" i="36"/>
  <c r="K24" i="36"/>
  <c r="J24" i="36"/>
  <c r="I24" i="36"/>
  <c r="F24" i="36"/>
  <c r="E24" i="36"/>
  <c r="D24" i="36"/>
  <c r="C24" i="36"/>
  <c r="L23" i="36"/>
  <c r="K23" i="36"/>
  <c r="J23" i="36"/>
  <c r="I23" i="36"/>
  <c r="F23" i="36"/>
  <c r="E23" i="36"/>
  <c r="D23" i="36"/>
  <c r="C23" i="36"/>
  <c r="L22" i="36"/>
  <c r="K22" i="36"/>
  <c r="J22" i="36"/>
  <c r="I22" i="36"/>
  <c r="F22" i="36"/>
  <c r="E22" i="36"/>
  <c r="D22" i="36"/>
  <c r="C22" i="36"/>
  <c r="L21" i="36"/>
  <c r="K21" i="36"/>
  <c r="J21" i="36"/>
  <c r="I21" i="36"/>
  <c r="F21" i="36"/>
  <c r="E21" i="36"/>
  <c r="D21" i="36"/>
  <c r="C21" i="36"/>
  <c r="L20" i="36"/>
  <c r="K20" i="36"/>
  <c r="J20" i="36"/>
  <c r="I20" i="36"/>
  <c r="F20" i="36"/>
  <c r="E20" i="36"/>
  <c r="D20" i="36"/>
  <c r="C20" i="36"/>
  <c r="L19" i="36"/>
  <c r="K19" i="36"/>
  <c r="J19" i="36"/>
  <c r="I19" i="36"/>
  <c r="F19" i="36"/>
  <c r="E19" i="36"/>
  <c r="D19" i="36"/>
  <c r="C19" i="36"/>
  <c r="L18" i="36"/>
  <c r="K18" i="36"/>
  <c r="J18" i="36"/>
  <c r="I18" i="36"/>
  <c r="F18" i="36"/>
  <c r="E18" i="36"/>
  <c r="D18" i="36"/>
  <c r="C18" i="36"/>
  <c r="L17" i="36"/>
  <c r="K17" i="36"/>
  <c r="J17" i="36"/>
  <c r="I17" i="36"/>
  <c r="F17" i="36"/>
  <c r="E17" i="36"/>
  <c r="D17" i="36"/>
  <c r="C17" i="36"/>
  <c r="L16" i="36"/>
  <c r="K16" i="36"/>
  <c r="J16" i="36"/>
  <c r="I16" i="36"/>
  <c r="F16" i="36"/>
  <c r="E16" i="36"/>
  <c r="D16" i="36"/>
  <c r="C16" i="36"/>
  <c r="L15" i="36"/>
  <c r="K15" i="36"/>
  <c r="J15" i="36"/>
  <c r="I15" i="36"/>
  <c r="F15" i="36"/>
  <c r="E15" i="36"/>
  <c r="D15" i="36"/>
  <c r="C15" i="36"/>
  <c r="L14" i="36"/>
  <c r="K14" i="36"/>
  <c r="J14" i="36"/>
  <c r="I14" i="36"/>
  <c r="F14" i="36"/>
  <c r="E14" i="36"/>
  <c r="D14" i="36"/>
  <c r="C14" i="36"/>
  <c r="L13" i="36"/>
  <c r="K13" i="36"/>
  <c r="J13" i="36"/>
  <c r="I13" i="36"/>
  <c r="F13" i="36"/>
  <c r="E13" i="36"/>
  <c r="D13" i="36"/>
  <c r="C13" i="36"/>
  <c r="L12" i="36"/>
  <c r="K12" i="36"/>
  <c r="J12" i="36"/>
  <c r="I12" i="36"/>
  <c r="F12" i="36"/>
  <c r="E12" i="36"/>
  <c r="D12" i="36"/>
  <c r="K51" i="35"/>
  <c r="J51" i="35"/>
  <c r="I51" i="35"/>
  <c r="H51" i="35"/>
  <c r="E51" i="35"/>
  <c r="D51" i="35"/>
  <c r="C51" i="35"/>
  <c r="B51" i="35"/>
  <c r="K50" i="35"/>
  <c r="J50" i="35"/>
  <c r="I50" i="35"/>
  <c r="H50" i="35"/>
  <c r="E50" i="35"/>
  <c r="D50" i="35"/>
  <c r="C50" i="35"/>
  <c r="B50" i="35"/>
  <c r="K49" i="35"/>
  <c r="J49" i="35"/>
  <c r="I49" i="35"/>
  <c r="H49" i="35"/>
  <c r="E49" i="35"/>
  <c r="D49" i="35"/>
  <c r="C49" i="35"/>
  <c r="B49" i="35"/>
  <c r="K48" i="35"/>
  <c r="J48" i="35"/>
  <c r="I48" i="35"/>
  <c r="H48" i="35"/>
  <c r="E48" i="35"/>
  <c r="D48" i="35"/>
  <c r="C48" i="35"/>
  <c r="B48" i="35"/>
  <c r="K47" i="35"/>
  <c r="J47" i="35"/>
  <c r="I47" i="35"/>
  <c r="H47" i="35"/>
  <c r="E47" i="35"/>
  <c r="D47" i="35"/>
  <c r="C47" i="35"/>
  <c r="B47" i="35"/>
  <c r="K46" i="35"/>
  <c r="J46" i="35"/>
  <c r="I46" i="35"/>
  <c r="H46" i="35"/>
  <c r="E46" i="35"/>
  <c r="D46" i="35"/>
  <c r="C46" i="35"/>
  <c r="B46" i="35"/>
  <c r="K45" i="35"/>
  <c r="J45" i="35"/>
  <c r="I45" i="35"/>
  <c r="H45" i="35"/>
  <c r="E45" i="35"/>
  <c r="D45" i="35"/>
  <c r="C45" i="35"/>
  <c r="B45" i="35"/>
  <c r="K44" i="35"/>
  <c r="J44" i="35"/>
  <c r="I44" i="35"/>
  <c r="H44" i="35"/>
  <c r="E44" i="35"/>
  <c r="D44" i="35"/>
  <c r="C44" i="35"/>
  <c r="B44" i="35"/>
  <c r="K43" i="35"/>
  <c r="J43" i="35"/>
  <c r="I43" i="35"/>
  <c r="H43" i="35"/>
  <c r="E43" i="35"/>
  <c r="D43" i="35"/>
  <c r="C43" i="35"/>
  <c r="B43" i="35"/>
  <c r="K42" i="35"/>
  <c r="J42" i="35"/>
  <c r="I42" i="35"/>
  <c r="H42" i="35"/>
  <c r="E42" i="35"/>
  <c r="D42" i="35"/>
  <c r="C42" i="35"/>
  <c r="B42" i="35"/>
  <c r="K41" i="35"/>
  <c r="J41" i="35"/>
  <c r="I41" i="35"/>
  <c r="H41" i="35"/>
  <c r="E41" i="35"/>
  <c r="D41" i="35"/>
  <c r="C41" i="35"/>
  <c r="B41" i="35"/>
  <c r="K40" i="35"/>
  <c r="J40" i="35"/>
  <c r="I40" i="35"/>
  <c r="H40" i="35"/>
  <c r="E40" i="35"/>
  <c r="D40" i="35"/>
  <c r="C40" i="35"/>
  <c r="B40" i="35"/>
  <c r="K39" i="35"/>
  <c r="J39" i="35"/>
  <c r="I39" i="35"/>
  <c r="H39" i="35"/>
  <c r="E39" i="35"/>
  <c r="D39" i="35"/>
  <c r="C39" i="35"/>
  <c r="B39" i="35"/>
  <c r="K38" i="35"/>
  <c r="J38" i="35"/>
  <c r="I38" i="35"/>
  <c r="H38" i="35"/>
  <c r="E38" i="35"/>
  <c r="D38" i="35"/>
  <c r="C38" i="35"/>
  <c r="B38" i="35"/>
  <c r="K37" i="35"/>
  <c r="J37" i="35"/>
  <c r="I37" i="35"/>
  <c r="H37" i="35"/>
  <c r="E37" i="35"/>
  <c r="D37" i="35"/>
  <c r="C37" i="35"/>
  <c r="D13" i="42"/>
  <c r="C13" i="42"/>
  <c r="B13" i="42"/>
  <c r="A13" i="42"/>
  <c r="D12" i="42"/>
  <c r="C12" i="42"/>
  <c r="B12" i="42"/>
  <c r="A12" i="42"/>
  <c r="D11" i="42"/>
  <c r="C11" i="42"/>
  <c r="B11" i="42"/>
  <c r="A11" i="42"/>
  <c r="D10" i="42"/>
  <c r="C10" i="42"/>
  <c r="B10" i="42"/>
  <c r="A10" i="42"/>
  <c r="J19" i="35"/>
  <c r="I19" i="35"/>
  <c r="E19" i="35"/>
  <c r="D19" i="35"/>
  <c r="C19" i="35"/>
  <c r="B19" i="35"/>
  <c r="A19" i="35"/>
  <c r="J18" i="35"/>
  <c r="I18" i="35"/>
  <c r="E18" i="35"/>
  <c r="D18" i="35"/>
  <c r="C18" i="35"/>
  <c r="B18" i="35"/>
  <c r="A18" i="35"/>
  <c r="J17" i="35"/>
  <c r="I17" i="35"/>
  <c r="E17" i="35"/>
  <c r="D17" i="35"/>
  <c r="C17" i="35"/>
  <c r="B17" i="35"/>
  <c r="A17" i="35"/>
  <c r="K16" i="35"/>
  <c r="J16" i="35"/>
  <c r="I16" i="35"/>
  <c r="H16" i="35"/>
  <c r="E16" i="35"/>
  <c r="D16" i="35"/>
  <c r="C16" i="35"/>
  <c r="B16" i="35"/>
  <c r="A16" i="35"/>
  <c r="K15" i="35"/>
  <c r="J15" i="35"/>
  <c r="I15" i="35"/>
  <c r="H15" i="35"/>
  <c r="E15" i="35"/>
  <c r="D15" i="35"/>
  <c r="C15" i="35"/>
  <c r="B15" i="35"/>
  <c r="A15" i="35"/>
  <c r="K14" i="35"/>
  <c r="J14" i="35"/>
  <c r="I14" i="35"/>
  <c r="H14" i="35"/>
  <c r="E14" i="35"/>
  <c r="D14" i="35"/>
  <c r="C14" i="35"/>
  <c r="B14" i="35"/>
  <c r="A14" i="35"/>
  <c r="K13" i="35"/>
  <c r="J13" i="35"/>
  <c r="I13" i="35"/>
  <c r="H13" i="35"/>
  <c r="E13" i="35"/>
  <c r="D13" i="35"/>
  <c r="C13" i="35"/>
  <c r="B13" i="35"/>
  <c r="A13" i="35"/>
  <c r="K12" i="35"/>
  <c r="J12" i="35"/>
  <c r="I12" i="35"/>
  <c r="H12" i="35"/>
  <c r="E12" i="35"/>
  <c r="D12" i="35"/>
  <c r="C12" i="35"/>
  <c r="B12" i="35"/>
  <c r="A12" i="35"/>
  <c r="K11" i="35"/>
  <c r="J11" i="35"/>
  <c r="I11" i="35"/>
  <c r="H11" i="35"/>
  <c r="E11" i="35"/>
  <c r="D11" i="35"/>
  <c r="C11" i="35"/>
  <c r="B11" i="35"/>
  <c r="B12" i="33"/>
  <c r="A12" i="33"/>
  <c r="B11" i="33"/>
  <c r="A11" i="33"/>
  <c r="B10" i="33"/>
  <c r="F42" i="32"/>
  <c r="G42" i="32"/>
  <c r="E42" i="32"/>
  <c r="D42" i="32"/>
  <c r="C42" i="32"/>
  <c r="F41" i="32"/>
  <c r="G41" i="32"/>
  <c r="E41" i="32"/>
  <c r="D41" i="32"/>
  <c r="C41" i="32"/>
  <c r="F40" i="32"/>
  <c r="G40" i="32"/>
  <c r="E40" i="32"/>
  <c r="D40" i="32"/>
  <c r="C40" i="32"/>
  <c r="F39" i="32"/>
  <c r="G39" i="32"/>
  <c r="E39" i="32"/>
  <c r="D39" i="32"/>
  <c r="C39" i="32"/>
  <c r="F38" i="32"/>
  <c r="G38" i="32"/>
  <c r="E38" i="32"/>
  <c r="D38" i="32"/>
  <c r="C38" i="32"/>
  <c r="F37" i="32"/>
  <c r="G37" i="32"/>
  <c r="E37" i="32"/>
  <c r="D37" i="32"/>
  <c r="C37" i="32"/>
  <c r="F36" i="32"/>
  <c r="G36" i="32"/>
  <c r="E36" i="32"/>
  <c r="D36" i="32"/>
  <c r="C36" i="32"/>
  <c r="F35" i="32"/>
  <c r="G35" i="32"/>
  <c r="E35" i="32"/>
  <c r="D35" i="32"/>
  <c r="C35" i="32"/>
  <c r="F34" i="32"/>
  <c r="G34" i="32"/>
  <c r="E34" i="32"/>
  <c r="D34" i="32"/>
  <c r="C34" i="32"/>
  <c r="F33" i="32"/>
  <c r="G33" i="32"/>
  <c r="E33" i="32"/>
  <c r="D33" i="32"/>
  <c r="C33" i="32"/>
  <c r="F32" i="32"/>
  <c r="G32" i="32"/>
  <c r="E32" i="32"/>
  <c r="D32" i="32"/>
  <c r="C32" i="32"/>
  <c r="F31" i="32"/>
  <c r="G31" i="32"/>
  <c r="E31" i="32"/>
  <c r="D31" i="32"/>
  <c r="C31" i="32"/>
  <c r="F30" i="32"/>
  <c r="G30" i="32"/>
  <c r="E30" i="32"/>
  <c r="D30" i="32"/>
  <c r="C30" i="32"/>
  <c r="F29" i="32"/>
  <c r="G29" i="32"/>
  <c r="E29" i="32"/>
  <c r="D29" i="32"/>
  <c r="C29" i="32"/>
  <c r="F28" i="32"/>
  <c r="G28" i="32"/>
  <c r="E28" i="32"/>
  <c r="D28" i="32"/>
  <c r="C28" i="32"/>
  <c r="F27" i="32"/>
  <c r="G27" i="32"/>
  <c r="E27" i="32"/>
  <c r="D27" i="32"/>
  <c r="C27" i="32"/>
  <c r="F26" i="32"/>
  <c r="G26" i="32"/>
  <c r="E26" i="32"/>
  <c r="D26" i="32"/>
  <c r="C26" i="32"/>
  <c r="F25" i="32"/>
  <c r="G25" i="32"/>
  <c r="E25" i="32"/>
  <c r="D25" i="32"/>
  <c r="C25" i="32"/>
  <c r="F24" i="32"/>
  <c r="G24" i="32"/>
  <c r="E24" i="32"/>
  <c r="D24" i="32"/>
  <c r="C24" i="32"/>
  <c r="F23" i="32"/>
  <c r="G23" i="32"/>
  <c r="E23" i="32"/>
  <c r="D23" i="32"/>
  <c r="C23" i="32"/>
  <c r="F22" i="32"/>
  <c r="G22" i="32"/>
  <c r="E22" i="32"/>
  <c r="D22" i="32"/>
  <c r="C22" i="32"/>
  <c r="F21" i="32"/>
  <c r="G21" i="32"/>
  <c r="E21" i="32"/>
  <c r="D21" i="32"/>
  <c r="C21" i="32"/>
  <c r="F20" i="32"/>
  <c r="G20" i="32"/>
  <c r="E20" i="32"/>
  <c r="D20" i="32"/>
  <c r="C20" i="32"/>
  <c r="F19" i="32"/>
  <c r="G19" i="32"/>
  <c r="E19" i="32"/>
  <c r="D19" i="32"/>
  <c r="C19" i="32"/>
  <c r="F18" i="32"/>
  <c r="G18" i="32"/>
  <c r="E18" i="32"/>
  <c r="D18" i="32"/>
  <c r="C18" i="32"/>
  <c r="F17" i="32"/>
  <c r="G17" i="32"/>
  <c r="E17" i="32"/>
  <c r="D17" i="32"/>
  <c r="C17" i="32"/>
  <c r="F16" i="32"/>
  <c r="G16" i="32"/>
  <c r="E16" i="32"/>
  <c r="D16" i="32"/>
  <c r="C16" i="32"/>
  <c r="F15" i="32"/>
  <c r="G15" i="32"/>
  <c r="E15" i="32"/>
  <c r="D15" i="32"/>
  <c r="C15" i="32"/>
  <c r="F14" i="32"/>
  <c r="G14" i="32"/>
  <c r="E14" i="32"/>
  <c r="D14" i="32"/>
  <c r="C14" i="32"/>
  <c r="F13" i="32"/>
  <c r="G13" i="32"/>
  <c r="E13" i="32"/>
  <c r="D13" i="32"/>
  <c r="C13" i="32"/>
  <c r="G12" i="32"/>
  <c r="E12" i="32"/>
  <c r="D12" i="32"/>
  <c r="C12" i="32"/>
  <c r="F11" i="32"/>
  <c r="G11" i="32"/>
  <c r="E11" i="32"/>
  <c r="D11" i="32"/>
  <c r="C11" i="32"/>
  <c r="H41" i="30"/>
  <c r="G41" i="30"/>
  <c r="F41" i="30"/>
  <c r="E41" i="30"/>
  <c r="D41" i="30"/>
  <c r="C41" i="30"/>
  <c r="H40" i="30"/>
  <c r="G40" i="30"/>
  <c r="F40" i="30"/>
  <c r="E40" i="30"/>
  <c r="D40" i="30"/>
  <c r="C40" i="30"/>
  <c r="H39" i="30"/>
  <c r="G39" i="30"/>
  <c r="F39" i="30"/>
  <c r="E39" i="30"/>
  <c r="D39" i="30"/>
  <c r="C39" i="30"/>
  <c r="H38" i="30"/>
  <c r="G38" i="30"/>
  <c r="F38" i="30"/>
  <c r="E38" i="30"/>
  <c r="D38" i="30"/>
  <c r="C38" i="30"/>
  <c r="H37" i="30"/>
  <c r="G37" i="30"/>
  <c r="F37" i="30"/>
  <c r="E37" i="30"/>
  <c r="D37" i="30"/>
  <c r="C37" i="30"/>
  <c r="H36" i="30"/>
  <c r="G36" i="30"/>
  <c r="F36" i="30"/>
  <c r="E36" i="30"/>
  <c r="D36" i="30"/>
  <c r="C36" i="30"/>
  <c r="H35" i="30"/>
  <c r="G35" i="30"/>
  <c r="F35" i="30"/>
  <c r="E35" i="30"/>
  <c r="D35" i="30"/>
  <c r="C35" i="30"/>
  <c r="H34" i="30"/>
  <c r="G34" i="30"/>
  <c r="F34" i="30"/>
  <c r="E34" i="30"/>
  <c r="D34" i="30"/>
  <c r="C34" i="30"/>
  <c r="H33" i="30"/>
  <c r="G33" i="30"/>
  <c r="F33" i="30"/>
  <c r="E33" i="30"/>
  <c r="D33" i="30"/>
  <c r="C33" i="30"/>
  <c r="H32" i="30"/>
  <c r="G32" i="30"/>
  <c r="F32" i="30"/>
  <c r="E32" i="30"/>
  <c r="D32" i="30"/>
  <c r="C32" i="30"/>
  <c r="H31" i="30"/>
  <c r="G31" i="30"/>
  <c r="F31" i="30"/>
  <c r="E31" i="30"/>
  <c r="D31" i="30"/>
  <c r="C31" i="30"/>
  <c r="H30" i="30"/>
  <c r="G30" i="30"/>
  <c r="F30" i="30"/>
  <c r="E30" i="30"/>
  <c r="D30" i="30"/>
  <c r="C30" i="30"/>
  <c r="H29" i="30"/>
  <c r="G29" i="30"/>
  <c r="F29" i="30"/>
  <c r="E29" i="30"/>
  <c r="D29" i="30"/>
  <c r="C29" i="30"/>
  <c r="H28" i="30"/>
  <c r="G28" i="30"/>
  <c r="F28" i="30"/>
  <c r="E28" i="30"/>
  <c r="D28" i="30"/>
  <c r="C28" i="30"/>
  <c r="H27" i="30"/>
  <c r="G27" i="30"/>
  <c r="F27" i="30"/>
  <c r="E27" i="30"/>
  <c r="D27" i="30"/>
  <c r="C27" i="30"/>
  <c r="H26" i="30"/>
  <c r="G26" i="30"/>
  <c r="F26" i="30"/>
  <c r="E26" i="30"/>
  <c r="D26" i="30"/>
  <c r="C26" i="30"/>
  <c r="H25" i="30"/>
  <c r="G25" i="30"/>
  <c r="F25" i="30"/>
  <c r="E25" i="30"/>
  <c r="D25" i="30"/>
  <c r="C25" i="30"/>
  <c r="H24" i="30"/>
  <c r="G24" i="30"/>
  <c r="F24" i="30"/>
  <c r="E24" i="30"/>
  <c r="D24" i="30"/>
  <c r="C24" i="30"/>
  <c r="H23" i="30"/>
  <c r="G23" i="30"/>
  <c r="F23" i="30"/>
  <c r="E23" i="30"/>
  <c r="D23" i="30"/>
  <c r="C23" i="30"/>
  <c r="H22" i="30"/>
  <c r="G22" i="30"/>
  <c r="F22" i="30"/>
  <c r="E22" i="30"/>
  <c r="D22" i="30"/>
  <c r="C22" i="30"/>
  <c r="H21" i="30"/>
  <c r="G21" i="30"/>
  <c r="F21" i="30"/>
  <c r="E21" i="30"/>
  <c r="D21" i="30"/>
  <c r="C21" i="30"/>
  <c r="H20" i="30"/>
  <c r="G20" i="30"/>
  <c r="F20" i="30"/>
  <c r="E20" i="30"/>
  <c r="D20" i="30"/>
  <c r="C20" i="30"/>
  <c r="H19" i="30"/>
  <c r="G19" i="30"/>
  <c r="F19" i="30"/>
  <c r="E19" i="30"/>
  <c r="D19" i="30"/>
  <c r="C19" i="30"/>
  <c r="H18" i="30"/>
  <c r="G18" i="30"/>
  <c r="F18" i="30"/>
  <c r="E18" i="30"/>
  <c r="D18" i="30"/>
  <c r="C18" i="30"/>
  <c r="H17" i="30"/>
  <c r="G17" i="30"/>
  <c r="F17" i="30"/>
  <c r="E17" i="30"/>
  <c r="D17" i="30"/>
  <c r="C17" i="30"/>
  <c r="H16" i="30"/>
  <c r="G16" i="30"/>
  <c r="F16" i="30"/>
  <c r="E16" i="30"/>
  <c r="D16" i="30"/>
  <c r="C16" i="30"/>
  <c r="H15" i="30"/>
  <c r="G15" i="30"/>
  <c r="F15" i="30"/>
  <c r="E15" i="30"/>
  <c r="D15" i="30"/>
  <c r="C15" i="30"/>
  <c r="H14" i="30"/>
  <c r="G14" i="30"/>
  <c r="F14" i="30"/>
  <c r="E14" i="30"/>
  <c r="D14" i="30"/>
  <c r="C14" i="30"/>
  <c r="H13" i="30"/>
  <c r="G13" i="30"/>
  <c r="F13" i="30"/>
  <c r="E13" i="30"/>
  <c r="D13" i="30"/>
  <c r="C13" i="30"/>
  <c r="H12" i="30"/>
  <c r="G12" i="30"/>
  <c r="F12" i="30"/>
  <c r="E12" i="30"/>
  <c r="D12" i="30"/>
  <c r="C12" i="30"/>
  <c r="H11" i="30"/>
  <c r="G11" i="30"/>
  <c r="F11" i="30"/>
  <c r="E11" i="30"/>
  <c r="D11" i="30"/>
  <c r="C11" i="30"/>
  <c r="H10" i="30"/>
  <c r="G10" i="30"/>
  <c r="F10" i="30"/>
  <c r="E10" i="30"/>
  <c r="D10" i="30"/>
  <c r="A33" i="82"/>
  <c r="A32" i="82"/>
  <c r="A31" i="82"/>
  <c r="A34" i="81"/>
  <c r="A33" i="81"/>
  <c r="A32" i="81"/>
  <c r="A31" i="81"/>
  <c r="A30" i="81"/>
  <c r="H15" i="81"/>
  <c r="G15" i="81"/>
  <c r="F15" i="81"/>
  <c r="E15" i="81"/>
  <c r="D15" i="81"/>
  <c r="C15" i="81"/>
  <c r="B15" i="81"/>
  <c r="A15" i="81"/>
  <c r="H14" i="81"/>
  <c r="G14" i="81"/>
  <c r="F14" i="81"/>
  <c r="E14" i="81"/>
  <c r="D14" i="81"/>
  <c r="C14" i="81"/>
  <c r="B14" i="81"/>
  <c r="A14" i="81"/>
  <c r="H13" i="81"/>
  <c r="G13" i="81"/>
  <c r="F13" i="81"/>
  <c r="E13" i="81"/>
  <c r="D13" i="81"/>
  <c r="C13" i="81"/>
  <c r="B13" i="81"/>
  <c r="A13" i="81"/>
  <c r="H12" i="81"/>
  <c r="G12" i="81"/>
  <c r="F12" i="81"/>
  <c r="E12" i="81"/>
  <c r="D12" i="81"/>
  <c r="C12" i="81"/>
  <c r="B12" i="81"/>
  <c r="A12" i="81"/>
  <c r="H11" i="81"/>
  <c r="G11" i="81"/>
  <c r="F11" i="81"/>
  <c r="E11" i="81"/>
  <c r="D11" i="81"/>
  <c r="C11" i="81"/>
  <c r="B11" i="81"/>
  <c r="F66" i="28"/>
  <c r="F65" i="28"/>
  <c r="F64" i="28"/>
  <c r="F63" i="28"/>
  <c r="F62" i="28"/>
  <c r="E62" i="28" s="1"/>
  <c r="F61" i="28"/>
  <c r="E61" i="28" s="1"/>
  <c r="F60" i="28"/>
  <c r="E60" i="28" s="1"/>
  <c r="A66" i="28"/>
  <c r="A65" i="28"/>
  <c r="A64" i="28"/>
  <c r="A63" i="28"/>
  <c r="A62" i="28"/>
  <c r="A61" i="28"/>
  <c r="A60" i="28"/>
  <c r="A49" i="28"/>
  <c r="A48" i="28"/>
  <c r="A47" i="28"/>
  <c r="A46" i="28"/>
  <c r="A45" i="28"/>
  <c r="A44" i="28"/>
  <c r="A43" i="28"/>
  <c r="A42" i="28"/>
  <c r="C13" i="28"/>
  <c r="B13" i="28"/>
  <c r="A13" i="28"/>
  <c r="C12" i="28"/>
  <c r="B12" i="28"/>
  <c r="A12" i="28"/>
  <c r="C11" i="28"/>
  <c r="B11" i="28"/>
  <c r="A11" i="28"/>
  <c r="C10" i="28"/>
  <c r="B10" i="28"/>
  <c r="F41" i="27"/>
  <c r="E41" i="27"/>
  <c r="D41" i="27"/>
  <c r="C41" i="27"/>
  <c r="F40" i="27"/>
  <c r="E40" i="27"/>
  <c r="D40" i="27"/>
  <c r="C40" i="27"/>
  <c r="F39" i="27"/>
  <c r="E39" i="27"/>
  <c r="D39" i="27"/>
  <c r="C39" i="27"/>
  <c r="F38" i="27"/>
  <c r="E38" i="27"/>
  <c r="D38" i="27"/>
  <c r="C38" i="27"/>
  <c r="F37" i="27"/>
  <c r="E37" i="27"/>
  <c r="D37" i="27"/>
  <c r="C37" i="27"/>
  <c r="F36" i="27"/>
  <c r="E36" i="27"/>
  <c r="D36" i="27"/>
  <c r="C36" i="27"/>
  <c r="F35" i="27"/>
  <c r="E35" i="27"/>
  <c r="D35" i="27"/>
  <c r="C35" i="27"/>
  <c r="F34" i="27"/>
  <c r="E34" i="27"/>
  <c r="D34" i="27"/>
  <c r="C34" i="27"/>
  <c r="F33" i="27"/>
  <c r="E33" i="27"/>
  <c r="D33" i="27"/>
  <c r="C33" i="27"/>
  <c r="F32" i="27"/>
  <c r="E32" i="27"/>
  <c r="D32" i="27"/>
  <c r="C32" i="27"/>
  <c r="F31" i="27"/>
  <c r="E31" i="27"/>
  <c r="D31" i="27"/>
  <c r="C31" i="27"/>
  <c r="F30" i="27"/>
  <c r="E30" i="27"/>
  <c r="D30" i="27"/>
  <c r="C30" i="27"/>
  <c r="F29" i="27"/>
  <c r="E29" i="27"/>
  <c r="D29" i="27"/>
  <c r="C29" i="27"/>
  <c r="F28" i="27"/>
  <c r="E28" i="27"/>
  <c r="D28" i="27"/>
  <c r="C28" i="27"/>
  <c r="F27" i="27"/>
  <c r="E27" i="27"/>
  <c r="D27" i="27"/>
  <c r="C27" i="27"/>
  <c r="F26" i="27"/>
  <c r="E26" i="27"/>
  <c r="D26" i="27"/>
  <c r="C26" i="27"/>
  <c r="F25" i="27"/>
  <c r="E25" i="27"/>
  <c r="D25" i="27"/>
  <c r="C25" i="27"/>
  <c r="F24" i="27"/>
  <c r="E24" i="27"/>
  <c r="D24" i="27"/>
  <c r="C24" i="27"/>
  <c r="F23" i="27"/>
  <c r="E23" i="27"/>
  <c r="D23" i="27"/>
  <c r="C23" i="27"/>
  <c r="F22" i="27"/>
  <c r="E22" i="27"/>
  <c r="D22" i="27"/>
  <c r="C22" i="27"/>
  <c r="F21" i="27"/>
  <c r="E21" i="27"/>
  <c r="D21" i="27"/>
  <c r="C21" i="27"/>
  <c r="F20" i="27"/>
  <c r="E20" i="27"/>
  <c r="D20" i="27"/>
  <c r="C20" i="27"/>
  <c r="F19" i="27"/>
  <c r="E19" i="27"/>
  <c r="D19" i="27"/>
  <c r="C19" i="27"/>
  <c r="F18" i="27"/>
  <c r="E18" i="27"/>
  <c r="D18" i="27"/>
  <c r="C18" i="27"/>
  <c r="F17" i="27"/>
  <c r="E17" i="27"/>
  <c r="D17" i="27"/>
  <c r="C17" i="27"/>
  <c r="F16" i="27"/>
  <c r="E16" i="27"/>
  <c r="D16" i="27"/>
  <c r="C16" i="27"/>
  <c r="F15" i="27"/>
  <c r="E15" i="27"/>
  <c r="D15" i="27"/>
  <c r="C15" i="27"/>
  <c r="F14" i="27"/>
  <c r="E14" i="27"/>
  <c r="D14" i="27"/>
  <c r="C14" i="27"/>
  <c r="F13" i="27"/>
  <c r="E13" i="27"/>
  <c r="D13" i="27"/>
  <c r="C13" i="27"/>
  <c r="F12" i="27"/>
  <c r="E12" i="27"/>
  <c r="D12" i="27"/>
  <c r="C12" i="27"/>
  <c r="F11" i="27"/>
  <c r="E11" i="27"/>
  <c r="D11" i="27"/>
  <c r="C11" i="27"/>
  <c r="F10" i="27"/>
  <c r="E10" i="27"/>
  <c r="D10" i="27"/>
  <c r="H30" i="26"/>
  <c r="F30" i="26"/>
  <c r="D30" i="26"/>
  <c r="B30" i="26"/>
  <c r="A30" i="26"/>
  <c r="H29" i="26"/>
  <c r="F29" i="26"/>
  <c r="D29" i="26"/>
  <c r="B29" i="26"/>
  <c r="A29" i="26"/>
  <c r="H28" i="26"/>
  <c r="F28" i="26"/>
  <c r="D28" i="26"/>
  <c r="B28" i="26"/>
  <c r="A28" i="26"/>
  <c r="H13" i="26"/>
  <c r="F13" i="26"/>
  <c r="D13" i="26"/>
  <c r="B13" i="26"/>
  <c r="A13" i="26"/>
  <c r="H12" i="26"/>
  <c r="F12" i="26"/>
  <c r="D12" i="26"/>
  <c r="B12" i="26"/>
  <c r="A12" i="26"/>
  <c r="H11" i="26"/>
  <c r="F11" i="26"/>
  <c r="D11" i="26"/>
  <c r="B11" i="26"/>
  <c r="E10" i="42" l="1"/>
  <c r="E12" i="42"/>
  <c r="E11" i="42"/>
  <c r="E13" i="42"/>
  <c r="N43" i="35"/>
  <c r="F41" i="35"/>
  <c r="R33" i="34"/>
  <c r="S33" i="34" s="1"/>
  <c r="R41" i="34"/>
  <c r="S41" i="34" s="1"/>
  <c r="R14" i="34"/>
  <c r="S14" i="34" s="1"/>
  <c r="R27" i="34"/>
  <c r="S27" i="34" s="1"/>
  <c r="R18" i="34"/>
  <c r="S18" i="34" s="1"/>
  <c r="R10" i="34"/>
  <c r="S10" i="34" s="1"/>
  <c r="R22" i="34"/>
  <c r="S22" i="34" s="1"/>
  <c r="R13" i="34"/>
  <c r="S13" i="34" s="1"/>
  <c r="R12" i="34"/>
  <c r="S12" i="34" s="1"/>
  <c r="R20" i="34"/>
  <c r="S20" i="34" s="1"/>
  <c r="R28" i="34"/>
  <c r="S28" i="34" s="1"/>
  <c r="R36" i="34"/>
  <c r="S36" i="34" s="1"/>
  <c r="R11" i="34"/>
  <c r="S11" i="34" s="1"/>
  <c r="R19" i="34"/>
  <c r="S19" i="34" s="1"/>
  <c r="R35" i="34"/>
  <c r="S35" i="34" s="1"/>
  <c r="R26" i="34"/>
  <c r="S26" i="34" s="1"/>
  <c r="R34" i="34"/>
  <c r="S34" i="34" s="1"/>
  <c r="R17" i="34"/>
  <c r="S17" i="34" s="1"/>
  <c r="R25" i="34"/>
  <c r="S25" i="34" s="1"/>
  <c r="R16" i="34"/>
  <c r="S16" i="34" s="1"/>
  <c r="R24" i="34"/>
  <c r="S24" i="34" s="1"/>
  <c r="R32" i="34"/>
  <c r="S32" i="34" s="1"/>
  <c r="R40" i="34"/>
  <c r="S40" i="34" s="1"/>
  <c r="R15" i="34"/>
  <c r="S15" i="34" s="1"/>
  <c r="R23" i="34"/>
  <c r="S23" i="34" s="1"/>
  <c r="R31" i="34"/>
  <c r="S31" i="34" s="1"/>
  <c r="R39" i="34"/>
  <c r="S39" i="34" s="1"/>
  <c r="R30" i="34"/>
  <c r="S30" i="34" s="1"/>
  <c r="R38" i="34"/>
  <c r="S38" i="34" s="1"/>
  <c r="R21" i="34"/>
  <c r="S21" i="34" s="1"/>
  <c r="R29" i="34"/>
  <c r="S29" i="34" s="1"/>
  <c r="R37" i="34"/>
  <c r="S37" i="34" s="1"/>
  <c r="E66" i="28"/>
  <c r="C66" i="28"/>
  <c r="B66" i="28"/>
  <c r="D66" i="28"/>
  <c r="D13" i="28"/>
  <c r="C45" i="28" s="1"/>
  <c r="B62" i="28"/>
  <c r="E45" i="28"/>
  <c r="C62" i="28"/>
  <c r="B60" i="28"/>
  <c r="E12" i="31"/>
  <c r="C63" i="28"/>
  <c r="E63" i="28"/>
  <c r="B63" i="28"/>
  <c r="D63" i="28"/>
  <c r="B61" i="28"/>
  <c r="E44" i="28"/>
  <c r="B64" i="28"/>
  <c r="C64" i="28"/>
  <c r="E64" i="28"/>
  <c r="D64" i="28"/>
  <c r="C61" i="28"/>
  <c r="E65" i="28"/>
  <c r="D65" i="28"/>
  <c r="B65" i="28"/>
  <c r="C65" i="28"/>
  <c r="A21" i="28"/>
  <c r="C11" i="31"/>
  <c r="C17" i="31"/>
  <c r="G43" i="32"/>
  <c r="C22" i="28"/>
  <c r="C23" i="28" s="1"/>
  <c r="I16" i="24"/>
  <c r="I17" i="24"/>
  <c r="E42" i="27"/>
  <c r="C42" i="27"/>
  <c r="E43" i="32"/>
  <c r="B45" i="28" l="1"/>
  <c r="D62" i="28"/>
  <c r="D45" i="28"/>
  <c r="D42" i="27"/>
  <c r="F42" i="27"/>
  <c r="G11" i="89"/>
  <c r="E33" i="31"/>
  <c r="E31" i="31"/>
  <c r="E29" i="31"/>
  <c r="E27" i="31"/>
  <c r="E25" i="31"/>
  <c r="E23" i="31"/>
  <c r="E21" i="31"/>
  <c r="E19" i="31"/>
  <c r="E17" i="31"/>
  <c r="E15" i="31"/>
  <c r="E13" i="31"/>
  <c r="C42" i="31"/>
  <c r="D42" i="31" s="1"/>
  <c r="C41" i="31"/>
  <c r="D41" i="31" s="1"/>
  <c r="C40" i="31"/>
  <c r="D40" i="31" s="1"/>
  <c r="C39" i="31"/>
  <c r="D39" i="31" s="1"/>
  <c r="C38" i="31"/>
  <c r="D38" i="31" s="1"/>
  <c r="C37" i="31"/>
  <c r="D37" i="31" s="1"/>
  <c r="C36" i="31"/>
  <c r="D36" i="31" s="1"/>
  <c r="C35" i="31"/>
  <c r="D35" i="31" s="1"/>
  <c r="C34" i="31"/>
  <c r="D34" i="31" s="1"/>
  <c r="C33" i="31"/>
  <c r="D33" i="31" s="1"/>
  <c r="C32" i="31"/>
  <c r="D32" i="31" s="1"/>
  <c r="C31" i="31"/>
  <c r="D31" i="31" s="1"/>
  <c r="C30" i="31"/>
  <c r="D30" i="31" s="1"/>
  <c r="C29" i="31"/>
  <c r="D29" i="31" s="1"/>
  <c r="C28" i="31"/>
  <c r="D28" i="31" s="1"/>
  <c r="C27" i="31"/>
  <c r="D27" i="31" s="1"/>
  <c r="C26" i="31"/>
  <c r="D26" i="31" s="1"/>
  <c r="C25" i="31"/>
  <c r="D25" i="31" s="1"/>
  <c r="C24" i="31"/>
  <c r="D24" i="31" s="1"/>
  <c r="C23" i="31"/>
  <c r="D23" i="31" s="1"/>
  <c r="C22" i="31"/>
  <c r="D22" i="31" s="1"/>
  <c r="C21" i="31"/>
  <c r="D21" i="31" s="1"/>
  <c r="C20" i="31"/>
  <c r="D20" i="31" s="1"/>
  <c r="C19" i="31"/>
  <c r="D19" i="31" s="1"/>
  <c r="C18" i="31"/>
  <c r="D18" i="31" s="1"/>
  <c r="D17" i="31"/>
  <c r="C16" i="31"/>
  <c r="D16" i="31" s="1"/>
  <c r="C15" i="31"/>
  <c r="D15" i="31" s="1"/>
  <c r="C14" i="31"/>
  <c r="D14" i="31" s="1"/>
  <c r="C13" i="31"/>
  <c r="D13" i="31" s="1"/>
  <c r="C12" i="31"/>
  <c r="D12" i="31" s="1"/>
  <c r="G42" i="30"/>
  <c r="D42" i="30"/>
  <c r="F42" i="30"/>
  <c r="H42" i="30"/>
  <c r="E11" i="31"/>
  <c r="F11" i="31"/>
  <c r="C42" i="30"/>
  <c r="E40" i="31"/>
  <c r="E34" i="31"/>
  <c r="E42" i="31"/>
  <c r="E38" i="31"/>
  <c r="E36" i="31"/>
  <c r="E32" i="31"/>
  <c r="E30" i="31"/>
  <c r="E28" i="31"/>
  <c r="E26" i="31"/>
  <c r="E24" i="31"/>
  <c r="E22" i="31"/>
  <c r="E20" i="31"/>
  <c r="E18" i="31"/>
  <c r="E16" i="31"/>
  <c r="E14" i="31"/>
  <c r="E42" i="30"/>
  <c r="E41" i="31"/>
  <c r="F41" i="31"/>
  <c r="E39" i="31"/>
  <c r="F39" i="31"/>
  <c r="E37" i="31"/>
  <c r="F37" i="31"/>
  <c r="E35" i="31"/>
  <c r="F35" i="31"/>
  <c r="F33" i="31"/>
  <c r="F31" i="31"/>
  <c r="F29" i="31"/>
  <c r="F27" i="31"/>
  <c r="F25" i="31"/>
  <c r="F23" i="31"/>
  <c r="F21" i="31"/>
  <c r="F19" i="31"/>
  <c r="F17" i="31"/>
  <c r="F15" i="31"/>
  <c r="F13" i="31"/>
  <c r="D11" i="31"/>
  <c r="F42" i="31"/>
  <c r="F40" i="31"/>
  <c r="F38" i="31"/>
  <c r="F36" i="31"/>
  <c r="F34" i="31"/>
  <c r="F32" i="31"/>
  <c r="F30" i="31"/>
  <c r="F28" i="31"/>
  <c r="F26" i="31"/>
  <c r="F24" i="31"/>
  <c r="F22" i="31"/>
  <c r="F20" i="31"/>
  <c r="F18" i="31"/>
  <c r="F16" i="31"/>
  <c r="F14" i="31"/>
  <c r="F12" i="31"/>
  <c r="F43" i="32"/>
  <c r="E43" i="31" l="1"/>
  <c r="F43" i="31"/>
  <c r="C43" i="31"/>
  <c r="D43" i="31" s="1"/>
  <c r="D38" i="89"/>
  <c r="C38" i="89"/>
  <c r="B38" i="89"/>
  <c r="E38" i="89"/>
  <c r="F38" i="89"/>
  <c r="D25" i="89"/>
  <c r="G19" i="89"/>
  <c r="G23" i="89"/>
  <c r="G24" i="89"/>
  <c r="G12" i="89"/>
  <c r="G16" i="89"/>
  <c r="G20" i="89"/>
  <c r="B25" i="89"/>
  <c r="F25" i="89"/>
  <c r="E25" i="89"/>
  <c r="G13" i="89"/>
  <c r="G17" i="89"/>
  <c r="G21" i="89"/>
  <c r="C25" i="89"/>
  <c r="G14" i="89"/>
  <c r="G15" i="89"/>
  <c r="G18" i="89"/>
  <c r="G22" i="89"/>
  <c r="G10" i="89"/>
  <c r="D43" i="32"/>
  <c r="C43" i="32"/>
  <c r="E35" i="18" l="1"/>
  <c r="F26" i="18"/>
  <c r="F35" i="18"/>
  <c r="E41" i="89"/>
  <c r="D41" i="89"/>
  <c r="C41" i="89"/>
  <c r="B41" i="89"/>
  <c r="F41" i="89"/>
  <c r="F44" i="89"/>
  <c r="E44" i="89"/>
  <c r="D44" i="89"/>
  <c r="C44" i="89"/>
  <c r="B44" i="89"/>
  <c r="C51" i="89"/>
  <c r="B51" i="89"/>
  <c r="E51" i="89"/>
  <c r="F51" i="89"/>
  <c r="D51" i="89"/>
  <c r="F45" i="89"/>
  <c r="E45" i="89"/>
  <c r="C45" i="89"/>
  <c r="B45" i="89"/>
  <c r="D45" i="89"/>
  <c r="E40" i="89"/>
  <c r="D40" i="89"/>
  <c r="C40" i="89"/>
  <c r="F40" i="89"/>
  <c r="B40" i="89"/>
  <c r="B47" i="89"/>
  <c r="F47" i="89"/>
  <c r="E47" i="89"/>
  <c r="C47" i="89"/>
  <c r="D47" i="89"/>
  <c r="C50" i="89"/>
  <c r="B50" i="89"/>
  <c r="F50" i="89"/>
  <c r="E50" i="89"/>
  <c r="D50" i="89"/>
  <c r="D37" i="89"/>
  <c r="C37" i="89"/>
  <c r="B37" i="89"/>
  <c r="E37" i="89"/>
  <c r="F37" i="89"/>
  <c r="B48" i="89"/>
  <c r="F48" i="89"/>
  <c r="C48" i="89"/>
  <c r="E48" i="89"/>
  <c r="D48" i="89"/>
  <c r="D39" i="89"/>
  <c r="C39" i="89"/>
  <c r="F39" i="89"/>
  <c r="E39" i="89"/>
  <c r="B39" i="89"/>
  <c r="B49" i="89"/>
  <c r="F49" i="89"/>
  <c r="D49" i="89"/>
  <c r="E49" i="89"/>
  <c r="C49" i="89"/>
  <c r="E42" i="89"/>
  <c r="D42" i="89"/>
  <c r="C42" i="89"/>
  <c r="B42" i="89"/>
  <c r="F42" i="89"/>
  <c r="F43" i="89"/>
  <c r="E43" i="89"/>
  <c r="D43" i="89"/>
  <c r="B43" i="89"/>
  <c r="C43" i="89"/>
  <c r="F46" i="89"/>
  <c r="E46" i="89"/>
  <c r="B46" i="89"/>
  <c r="D46" i="89"/>
  <c r="C46" i="89"/>
  <c r="G38" i="89"/>
  <c r="H25" i="23"/>
  <c r="H19" i="23"/>
  <c r="H24" i="23"/>
  <c r="H14" i="23"/>
  <c r="H38" i="23"/>
  <c r="H37" i="23"/>
  <c r="H29" i="23"/>
  <c r="H32" i="23"/>
  <c r="H35" i="23"/>
  <c r="H41" i="23"/>
  <c r="H42" i="23"/>
  <c r="H12" i="23"/>
  <c r="H18" i="23"/>
  <c r="H17" i="23"/>
  <c r="H31" i="23"/>
  <c r="H34" i="23"/>
  <c r="H28" i="23"/>
  <c r="H39" i="23"/>
  <c r="H30" i="23"/>
  <c r="H33" i="23"/>
  <c r="H26" i="23"/>
  <c r="H40" i="23"/>
  <c r="H21" i="23"/>
  <c r="H20" i="23"/>
  <c r="H16" i="23"/>
  <c r="H43" i="23"/>
  <c r="H22" i="23"/>
  <c r="H13" i="23"/>
  <c r="H15" i="23"/>
  <c r="H36" i="23"/>
  <c r="H27" i="23"/>
  <c r="H23" i="23"/>
  <c r="D26" i="16"/>
  <c r="F43" i="9"/>
  <c r="F42" i="9"/>
  <c r="F42" i="11"/>
  <c r="G25" i="89"/>
  <c r="J12" i="26"/>
  <c r="K29" i="26"/>
  <c r="J30" i="26"/>
  <c r="G46" i="89" l="1"/>
  <c r="G42" i="89"/>
  <c r="G39" i="89"/>
  <c r="G47" i="89"/>
  <c r="G44" i="89"/>
  <c r="G43" i="89"/>
  <c r="G37" i="89"/>
  <c r="G51" i="89"/>
  <c r="G41" i="89"/>
  <c r="G49" i="89"/>
  <c r="G50" i="89"/>
  <c r="G45" i="89"/>
  <c r="G48" i="89"/>
  <c r="G40" i="89"/>
  <c r="K12" i="26"/>
  <c r="K11" i="26"/>
  <c r="J28" i="26"/>
  <c r="J11" i="26"/>
  <c r="K30" i="26"/>
  <c r="K28" i="26"/>
  <c r="K13" i="26"/>
  <c r="J13" i="26"/>
  <c r="J29" i="26"/>
  <c r="C52" i="35" l="1"/>
  <c r="P49" i="35" l="1"/>
  <c r="F42" i="35"/>
  <c r="G42" i="35"/>
  <c r="F44" i="35"/>
  <c r="G44" i="35"/>
  <c r="G46" i="35"/>
  <c r="F48" i="35"/>
  <c r="G48" i="35"/>
  <c r="G50" i="35"/>
  <c r="G38" i="35"/>
  <c r="F38" i="35"/>
  <c r="G40" i="35"/>
  <c r="F46" i="35"/>
  <c r="F37" i="35"/>
  <c r="M18" i="35"/>
  <c r="F18" i="35"/>
  <c r="N18" i="35"/>
  <c r="O18" i="35"/>
  <c r="P18" i="35"/>
  <c r="G19" i="35"/>
  <c r="O12" i="35"/>
  <c r="P12" i="35"/>
  <c r="O13" i="35"/>
  <c r="P13" i="35"/>
  <c r="O14" i="35"/>
  <c r="P14" i="35"/>
  <c r="O16" i="35"/>
  <c r="P16" i="35"/>
  <c r="O17" i="35"/>
  <c r="P17" i="35"/>
  <c r="N12" i="35"/>
  <c r="F13" i="35"/>
  <c r="G13" i="35"/>
  <c r="M14" i="35"/>
  <c r="N16" i="35"/>
  <c r="N17" i="35"/>
  <c r="F11" i="35"/>
  <c r="G11" i="35"/>
  <c r="P11" i="35"/>
  <c r="O11" i="35" l="1"/>
  <c r="G18" i="35"/>
  <c r="G37" i="35"/>
  <c r="F51" i="35"/>
  <c r="F50" i="35"/>
  <c r="F49" i="35"/>
  <c r="F47" i="35"/>
  <c r="F45" i="35"/>
  <c r="F43" i="35"/>
  <c r="F40" i="35"/>
  <c r="F39" i="35"/>
  <c r="M16" i="35"/>
  <c r="N14" i="35"/>
  <c r="M12" i="35"/>
  <c r="P19" i="35"/>
  <c r="O19" i="35"/>
  <c r="G12" i="36"/>
  <c r="M12" i="36" s="1"/>
  <c r="H37" i="36"/>
  <c r="H33" i="36"/>
  <c r="H29" i="36"/>
  <c r="H17" i="36"/>
  <c r="G43" i="36"/>
  <c r="M43" i="36" s="1"/>
  <c r="G39" i="36"/>
  <c r="M39" i="36" s="1"/>
  <c r="G33" i="36"/>
  <c r="M33" i="36" s="1"/>
  <c r="G27" i="36"/>
  <c r="M27" i="36" s="1"/>
  <c r="G42" i="36"/>
  <c r="M42" i="36" s="1"/>
  <c r="G40" i="36"/>
  <c r="M40" i="36" s="1"/>
  <c r="G38" i="36"/>
  <c r="M38" i="36" s="1"/>
  <c r="G36" i="36"/>
  <c r="M36" i="36" s="1"/>
  <c r="G34" i="36"/>
  <c r="M34" i="36" s="1"/>
  <c r="G32" i="36"/>
  <c r="M32" i="36" s="1"/>
  <c r="G30" i="36"/>
  <c r="M30" i="36" s="1"/>
  <c r="G28" i="36"/>
  <c r="M28" i="36" s="1"/>
  <c r="G26" i="36"/>
  <c r="M26" i="36" s="1"/>
  <c r="G24" i="36"/>
  <c r="M24" i="36" s="1"/>
  <c r="G22" i="36"/>
  <c r="M22" i="36" s="1"/>
  <c r="G20" i="36"/>
  <c r="M20" i="36" s="1"/>
  <c r="G18" i="36"/>
  <c r="M18" i="36" s="1"/>
  <c r="G16" i="36"/>
  <c r="M16" i="36" s="1"/>
  <c r="G14" i="36"/>
  <c r="M14" i="36" s="1"/>
  <c r="H41" i="36"/>
  <c r="H39" i="36"/>
  <c r="H35" i="36"/>
  <c r="H31" i="36"/>
  <c r="H27" i="36"/>
  <c r="H23" i="36"/>
  <c r="H19" i="36"/>
  <c r="H15" i="36"/>
  <c r="G41" i="36"/>
  <c r="M41" i="36" s="1"/>
  <c r="G37" i="36"/>
  <c r="M37" i="36" s="1"/>
  <c r="G35" i="36"/>
  <c r="M35" i="36" s="1"/>
  <c r="G31" i="36"/>
  <c r="M31" i="36" s="1"/>
  <c r="G29" i="36"/>
  <c r="M29" i="36" s="1"/>
  <c r="G25" i="36"/>
  <c r="M25" i="36" s="1"/>
  <c r="G23" i="36"/>
  <c r="M23" i="36" s="1"/>
  <c r="G21" i="36"/>
  <c r="M21" i="36" s="1"/>
  <c r="G19" i="36"/>
  <c r="M19" i="36" s="1"/>
  <c r="G15" i="36"/>
  <c r="M15" i="36" s="1"/>
  <c r="G13" i="36"/>
  <c r="M13" i="36" s="1"/>
  <c r="H12" i="36"/>
  <c r="H43" i="36"/>
  <c r="H25" i="36"/>
  <c r="H21" i="36"/>
  <c r="H13" i="36"/>
  <c r="G17" i="36"/>
  <c r="M17" i="36" s="1"/>
  <c r="H42" i="36"/>
  <c r="H40" i="36"/>
  <c r="H38" i="36"/>
  <c r="H36" i="36"/>
  <c r="H34" i="36"/>
  <c r="H32" i="36"/>
  <c r="H30" i="36"/>
  <c r="H28" i="36"/>
  <c r="H26" i="36"/>
  <c r="H24" i="36"/>
  <c r="H22" i="36"/>
  <c r="H20" i="36"/>
  <c r="H18" i="36"/>
  <c r="H16" i="36"/>
  <c r="H14" i="36"/>
  <c r="G51" i="35"/>
  <c r="G49" i="35"/>
  <c r="G47" i="35"/>
  <c r="G45" i="35"/>
  <c r="G43" i="35"/>
  <c r="G41" i="35"/>
  <c r="G39" i="35"/>
  <c r="L18" i="35"/>
  <c r="L11" i="35"/>
  <c r="M17" i="35"/>
  <c r="M13" i="35"/>
  <c r="L13" i="35"/>
  <c r="N19" i="35"/>
  <c r="N13" i="35"/>
  <c r="M19" i="35"/>
  <c r="M11" i="35"/>
  <c r="F19" i="35"/>
  <c r="L19" i="35" s="1"/>
  <c r="N11" i="35"/>
  <c r="F52" i="35" l="1"/>
  <c r="G52" i="35"/>
  <c r="R42" i="34"/>
  <c r="S42" i="34" l="1"/>
  <c r="G11" i="40" l="1"/>
  <c r="E9" i="13"/>
  <c r="E21" i="16"/>
  <c r="F26" i="16"/>
  <c r="C32" i="16"/>
  <c r="E31" i="16"/>
  <c r="E27" i="18"/>
  <c r="E26" i="16"/>
  <c r="B32" i="16"/>
  <c r="F27" i="18"/>
  <c r="F31" i="18"/>
  <c r="E26" i="18"/>
  <c r="C9" i="13"/>
  <c r="D9" i="13"/>
  <c r="F9" i="13"/>
  <c r="D11" i="28" l="1"/>
  <c r="B43" i="28" s="1"/>
  <c r="C60" i="28"/>
  <c r="E43" i="28"/>
  <c r="D12" i="28"/>
  <c r="D61" i="28" l="1"/>
  <c r="D44" i="28"/>
  <c r="C44" i="28"/>
  <c r="B44" i="28"/>
  <c r="D22" i="28"/>
  <c r="D23" i="28" s="1"/>
  <c r="D43" i="28"/>
  <c r="D60" i="28"/>
  <c r="C44" i="23"/>
  <c r="J48" i="8"/>
  <c r="I44" i="8"/>
  <c r="J72" i="8"/>
  <c r="C43" i="28"/>
  <c r="G44" i="23"/>
  <c r="F44" i="23"/>
  <c r="D44" i="23"/>
  <c r="E44" i="23"/>
  <c r="H44" i="23" l="1"/>
  <c r="D40" i="76" l="1"/>
  <c r="B40" i="76"/>
  <c r="C24" i="76"/>
  <c r="D24" i="76" l="1"/>
  <c r="F40" i="76"/>
  <c r="G40" i="76"/>
  <c r="F24" i="76"/>
  <c r="G24" i="76"/>
  <c r="E40" i="76"/>
  <c r="E24" i="76"/>
  <c r="C40" i="76"/>
  <c r="F23" i="9"/>
  <c r="F21" i="9"/>
  <c r="D10" i="3"/>
  <c r="B12" i="3"/>
  <c r="D13" i="3"/>
  <c r="E10" i="3"/>
  <c r="F10" i="3"/>
  <c r="B13" i="3"/>
  <c r="E13" i="3"/>
  <c r="F13" i="3"/>
  <c r="D12" i="3"/>
  <c r="E12" i="3"/>
  <c r="D11" i="3"/>
  <c r="C12" i="3"/>
  <c r="C10" i="3"/>
  <c r="B11" i="3"/>
  <c r="C13" i="3"/>
  <c r="F12" i="3"/>
  <c r="C11" i="3"/>
  <c r="B10" i="3"/>
  <c r="C29" i="10" l="1"/>
  <c r="H29" i="10"/>
  <c r="D29" i="10"/>
  <c r="G29" i="10"/>
  <c r="I29" i="10"/>
  <c r="E29" i="10"/>
  <c r="I12" i="10"/>
  <c r="F29" i="10"/>
  <c r="G10" i="3"/>
  <c r="G11" i="3"/>
  <c r="G12" i="3"/>
  <c r="G13" i="3"/>
  <c r="A29" i="22"/>
  <c r="A24" i="15"/>
  <c r="J49" i="12" l="1"/>
  <c r="J35" i="12"/>
  <c r="J36" i="12"/>
  <c r="J33" i="12"/>
  <c r="J48" i="12"/>
  <c r="J51" i="12"/>
  <c r="J69" i="12"/>
  <c r="J16" i="12"/>
  <c r="J41" i="12"/>
  <c r="J23" i="12"/>
  <c r="J29" i="12"/>
  <c r="J60" i="12"/>
  <c r="J56" i="12"/>
  <c r="J24" i="12"/>
  <c r="J57" i="12"/>
  <c r="J63" i="12"/>
  <c r="J40" i="12"/>
  <c r="J14" i="12"/>
  <c r="J68" i="12"/>
  <c r="J43" i="12"/>
  <c r="J50" i="12"/>
  <c r="J37" i="12"/>
  <c r="J61" i="12"/>
  <c r="J32" i="12"/>
  <c r="I70" i="12"/>
  <c r="J18" i="12"/>
  <c r="J31" i="12"/>
  <c r="J55" i="12"/>
  <c r="J27" i="12"/>
  <c r="J26" i="12"/>
  <c r="J67" i="12"/>
  <c r="J58" i="12"/>
  <c r="J22" i="12"/>
  <c r="J15" i="12"/>
  <c r="J19" i="12"/>
  <c r="J25" i="12"/>
  <c r="J62" i="12"/>
  <c r="J21" i="12"/>
  <c r="J20" i="12"/>
  <c r="J30" i="12"/>
  <c r="J13" i="12"/>
  <c r="J34" i="12"/>
  <c r="J42" i="12"/>
  <c r="J59" i="12"/>
  <c r="J39" i="12"/>
  <c r="J54" i="12"/>
  <c r="J12" i="12"/>
  <c r="J38" i="12"/>
  <c r="J47" i="12"/>
  <c r="J28" i="12"/>
  <c r="J17" i="12"/>
  <c r="J53" i="12"/>
  <c r="J52" i="12"/>
  <c r="J24" i="15"/>
  <c r="B24" i="15"/>
  <c r="H24" i="15"/>
  <c r="L24" i="15"/>
  <c r="N17" i="15"/>
  <c r="O15" i="15"/>
  <c r="Q15" i="15" s="1"/>
  <c r="N14" i="15"/>
  <c r="N39" i="15" s="1"/>
  <c r="N40" i="15" s="1"/>
  <c r="O13" i="15"/>
  <c r="Q13" i="15" s="1"/>
  <c r="M24" i="15"/>
  <c r="I24" i="15"/>
  <c r="C24" i="15"/>
  <c r="F17" i="22"/>
  <c r="C29" i="22" s="1"/>
  <c r="N11" i="15"/>
  <c r="N12" i="15"/>
  <c r="P12" i="15" s="1"/>
  <c r="K24" i="15"/>
  <c r="E24" i="15"/>
  <c r="D24" i="15"/>
  <c r="N13" i="15"/>
  <c r="P13" i="15" s="1"/>
  <c r="O12" i="15"/>
  <c r="Q12" i="15" s="1"/>
  <c r="O16" i="15"/>
  <c r="Q16" i="15" s="1"/>
  <c r="O17" i="15"/>
  <c r="N16" i="15"/>
  <c r="P16" i="15" s="1"/>
  <c r="N15" i="15"/>
  <c r="P15" i="15" s="1"/>
  <c r="O14" i="15"/>
  <c r="O39" i="15" s="1"/>
  <c r="O40" i="15" s="1"/>
  <c r="O11" i="15"/>
  <c r="Q14" i="15" l="1"/>
  <c r="Q39" i="15" s="1"/>
  <c r="Q40" i="15" s="1"/>
  <c r="P14" i="15"/>
  <c r="P39" i="15" s="1"/>
  <c r="P40" i="15" s="1"/>
  <c r="P17" i="15"/>
  <c r="Q17" i="15"/>
  <c r="J44" i="12"/>
  <c r="J64" i="12"/>
  <c r="J70" i="12"/>
  <c r="Q11" i="15"/>
  <c r="O24" i="15"/>
  <c r="P11" i="15"/>
  <c r="N24" i="15"/>
  <c r="E29" i="22"/>
  <c r="B29" i="22"/>
  <c r="D29" i="22"/>
  <c r="J9" i="12" l="1"/>
  <c r="P24" i="15"/>
  <c r="F29" i="22"/>
  <c r="Q24" i="15"/>
  <c r="H42" i="25" l="1"/>
  <c r="G42" i="25"/>
  <c r="F42" i="25"/>
  <c r="E42" i="25"/>
  <c r="D42" i="25"/>
  <c r="C42" i="25"/>
  <c r="I42" i="25" l="1"/>
  <c r="I15" i="24"/>
  <c r="N15" i="24" s="1"/>
  <c r="I14" i="24"/>
  <c r="N14" i="24" s="1"/>
  <c r="N13" i="24"/>
  <c r="I12" i="24"/>
  <c r="N12" i="24" s="1"/>
  <c r="A28" i="22" l="1"/>
  <c r="A27" i="22"/>
  <c r="J37" i="8"/>
  <c r="E10" i="16" l="1"/>
  <c r="D14" i="3"/>
  <c r="C44" i="36"/>
  <c r="P37" i="35" l="1"/>
  <c r="P38" i="35"/>
  <c r="P44" i="35"/>
  <c r="P50" i="35"/>
  <c r="P51" i="35"/>
  <c r="O38" i="35"/>
  <c r="O39" i="35"/>
  <c r="O41" i="35"/>
  <c r="O43" i="35"/>
  <c r="O44" i="35"/>
  <c r="O45" i="35"/>
  <c r="O47" i="35"/>
  <c r="O48" i="35"/>
  <c r="O49" i="35"/>
  <c r="O50" i="35"/>
  <c r="O51" i="35"/>
  <c r="O37" i="35"/>
  <c r="P45" i="35" l="1"/>
  <c r="P47" i="35"/>
  <c r="P40" i="35"/>
  <c r="N51" i="35"/>
  <c r="N49" i="35"/>
  <c r="N47" i="35"/>
  <c r="N45" i="35"/>
  <c r="N41" i="35"/>
  <c r="N39" i="35"/>
  <c r="P48" i="35"/>
  <c r="P41" i="35"/>
  <c r="O46" i="35"/>
  <c r="O42" i="35"/>
  <c r="M37" i="35"/>
  <c r="M51" i="35"/>
  <c r="M50" i="35"/>
  <c r="M49" i="35"/>
  <c r="M48" i="35"/>
  <c r="M47" i="35"/>
  <c r="M46" i="35"/>
  <c r="M45" i="35"/>
  <c r="M44" i="35"/>
  <c r="M43" i="35"/>
  <c r="M42" i="35"/>
  <c r="M41" i="35"/>
  <c r="M40" i="35"/>
  <c r="M39" i="35"/>
  <c r="M38" i="35"/>
  <c r="J44" i="36"/>
  <c r="P46" i="35"/>
  <c r="P42" i="35"/>
  <c r="P42" i="34"/>
  <c r="N48" i="35"/>
  <c r="N44" i="35"/>
  <c r="N40" i="35"/>
  <c r="O40" i="35"/>
  <c r="P43" i="35"/>
  <c r="P39" i="35"/>
  <c r="I44" i="36"/>
  <c r="N50" i="35"/>
  <c r="N46" i="35"/>
  <c r="N42" i="35"/>
  <c r="N38" i="35"/>
  <c r="Q42" i="34"/>
  <c r="N37" i="35"/>
  <c r="D44" i="36"/>
  <c r="K44" i="36"/>
  <c r="L44" i="36"/>
  <c r="G17" i="35"/>
  <c r="G14" i="35"/>
  <c r="G16" i="35"/>
  <c r="F16" i="35"/>
  <c r="L16" i="35" s="1"/>
  <c r="F14" i="35"/>
  <c r="L14" i="35" s="1"/>
  <c r="F12" i="35"/>
  <c r="L12" i="35" s="1"/>
  <c r="G12" i="35"/>
  <c r="G15" i="35"/>
  <c r="F17" i="35"/>
  <c r="L17" i="35" s="1"/>
  <c r="F15" i="35"/>
  <c r="L37" i="35" l="1"/>
  <c r="L41" i="35"/>
  <c r="L49" i="35"/>
  <c r="L50" i="35"/>
  <c r="L40" i="35"/>
  <c r="L42" i="35"/>
  <c r="L43" i="35"/>
  <c r="L47" i="35"/>
  <c r="L51" i="35"/>
  <c r="L48" i="35"/>
  <c r="L44" i="35"/>
  <c r="L46" i="35"/>
  <c r="L39" i="35"/>
  <c r="L45" i="35"/>
  <c r="G44" i="36"/>
  <c r="H44" i="36"/>
  <c r="L38" i="35"/>
  <c r="D10" i="28" l="1"/>
  <c r="C42" i="28" l="1"/>
  <c r="B42" i="28"/>
  <c r="G14" i="40" l="1"/>
  <c r="G18" i="40"/>
  <c r="C19" i="40"/>
  <c r="C33" i="40" s="1"/>
  <c r="F19" i="40"/>
  <c r="F40" i="40" s="1"/>
  <c r="B19" i="40"/>
  <c r="B36" i="40" s="1"/>
  <c r="G15" i="40"/>
  <c r="G13" i="40"/>
  <c r="E19" i="40"/>
  <c r="G12" i="40"/>
  <c r="G16" i="40"/>
  <c r="G17" i="40"/>
  <c r="F39" i="40" l="1"/>
  <c r="C37" i="40"/>
  <c r="C36" i="40"/>
  <c r="C41" i="40"/>
  <c r="B39" i="40"/>
  <c r="B34" i="40"/>
  <c r="B40" i="40"/>
  <c r="B35" i="40"/>
  <c r="B37" i="40"/>
  <c r="C35" i="40"/>
  <c r="B33" i="40"/>
  <c r="F33" i="40"/>
  <c r="C40" i="40"/>
  <c r="C38" i="40"/>
  <c r="C34" i="40"/>
  <c r="B41" i="40"/>
  <c r="C39" i="40"/>
  <c r="B38" i="40"/>
  <c r="F37" i="40"/>
  <c r="F34" i="40"/>
  <c r="F41" i="40"/>
  <c r="F38" i="40"/>
  <c r="F35" i="40"/>
  <c r="F36" i="40"/>
  <c r="E35" i="40"/>
  <c r="E40" i="40"/>
  <c r="E36" i="40"/>
  <c r="E41" i="40"/>
  <c r="E38" i="40"/>
  <c r="E33" i="40"/>
  <c r="E37" i="40"/>
  <c r="E39" i="40"/>
  <c r="G19" i="40"/>
  <c r="E34" i="40"/>
  <c r="A24" i="22"/>
  <c r="A25" i="22"/>
  <c r="A26" i="22"/>
  <c r="A23" i="22"/>
  <c r="G36" i="40" l="1"/>
  <c r="G34" i="40"/>
  <c r="C42" i="40"/>
  <c r="G38" i="40"/>
  <c r="B42" i="40"/>
  <c r="F42" i="40"/>
  <c r="G35" i="40"/>
  <c r="G40" i="40"/>
  <c r="E42" i="40"/>
  <c r="G37" i="40"/>
  <c r="G33" i="40"/>
  <c r="G41" i="40"/>
  <c r="G39" i="40"/>
  <c r="F11" i="22"/>
  <c r="B23" i="22" s="1"/>
  <c r="F16" i="22"/>
  <c r="F12" i="22"/>
  <c r="C24" i="22" s="1"/>
  <c r="F15" i="22"/>
  <c r="F14" i="22"/>
  <c r="F13" i="22"/>
  <c r="D25" i="22" s="1"/>
  <c r="D28" i="22" l="1"/>
  <c r="C28" i="22"/>
  <c r="E28" i="22"/>
  <c r="B28" i="22"/>
  <c r="D27" i="22"/>
  <c r="C27" i="22"/>
  <c r="E27" i="22"/>
  <c r="B27" i="22"/>
  <c r="E26" i="22"/>
  <c r="C26" i="22"/>
  <c r="B26" i="22"/>
  <c r="G42" i="40"/>
  <c r="E25" i="22"/>
  <c r="B25" i="22"/>
  <c r="C23" i="22"/>
  <c r="D24" i="22"/>
  <c r="E23" i="22"/>
  <c r="C25" i="22"/>
  <c r="D23" i="22"/>
  <c r="D26" i="22"/>
  <c r="E24" i="22"/>
  <c r="B24" i="22"/>
  <c r="F27" i="22" l="1"/>
  <c r="F28" i="22"/>
  <c r="F26" i="22"/>
  <c r="F25" i="22"/>
  <c r="F23" i="22"/>
  <c r="G21" i="19" l="1"/>
  <c r="J31" i="8"/>
  <c r="J34" i="8"/>
  <c r="G44" i="19" l="1"/>
  <c r="G41" i="19"/>
  <c r="G43" i="19"/>
  <c r="G42" i="19"/>
  <c r="G40" i="19"/>
  <c r="G33" i="19"/>
  <c r="G39" i="19"/>
  <c r="G38" i="19"/>
  <c r="G37" i="19"/>
  <c r="G36" i="19"/>
  <c r="G35" i="19"/>
  <c r="G34" i="19"/>
  <c r="M30" i="15"/>
  <c r="I30" i="15"/>
  <c r="M29" i="15"/>
  <c r="I29" i="15"/>
  <c r="M28" i="15"/>
  <c r="M27" i="15"/>
  <c r="I27" i="15"/>
  <c r="M26" i="15"/>
  <c r="I26" i="15"/>
  <c r="M25" i="15"/>
  <c r="I25" i="15"/>
  <c r="D10" i="16"/>
  <c r="D47" i="16"/>
  <c r="F41" i="9"/>
  <c r="F37" i="9"/>
  <c r="F33" i="9"/>
  <c r="F29" i="9"/>
  <c r="F25" i="9"/>
  <c r="F19" i="9"/>
  <c r="F15" i="9"/>
  <c r="F10" i="18"/>
  <c r="E39" i="18"/>
  <c r="C27" i="15"/>
  <c r="K30" i="15"/>
  <c r="K29" i="15"/>
  <c r="K28" i="15"/>
  <c r="K26" i="15"/>
  <c r="F38" i="9"/>
  <c r="F34" i="9"/>
  <c r="F31" i="9"/>
  <c r="F30" i="9"/>
  <c r="F27" i="9"/>
  <c r="F26" i="9"/>
  <c r="F22" i="9"/>
  <c r="F20" i="9"/>
  <c r="F17" i="9"/>
  <c r="F16" i="9"/>
  <c r="F13" i="9"/>
  <c r="D44" i="7"/>
  <c r="J36" i="8"/>
  <c r="J28" i="8"/>
  <c r="J51" i="8"/>
  <c r="J27" i="8"/>
  <c r="J19" i="8"/>
  <c r="J58" i="8"/>
  <c r="J50" i="8"/>
  <c r="J67" i="8"/>
  <c r="B28" i="15"/>
  <c r="J20" i="8"/>
  <c r="L25" i="15"/>
  <c r="D20" i="16"/>
  <c r="J39" i="8"/>
  <c r="J59" i="8"/>
  <c r="J40" i="8"/>
  <c r="J35" i="8"/>
  <c r="H29" i="15"/>
  <c r="L27" i="15"/>
  <c r="F12" i="9"/>
  <c r="B25" i="15"/>
  <c r="B27" i="15"/>
  <c r="J32" i="8"/>
  <c r="J23" i="8"/>
  <c r="J15" i="8"/>
  <c r="J54" i="8"/>
  <c r="J43" i="8"/>
  <c r="J24" i="8"/>
  <c r="J16" i="8"/>
  <c r="J63" i="8"/>
  <c r="J55" i="8"/>
  <c r="B42" i="16"/>
  <c r="D46" i="16"/>
  <c r="C48" i="16"/>
  <c r="J42" i="8"/>
  <c r="J41" i="8"/>
  <c r="J30" i="8"/>
  <c r="J26" i="8"/>
  <c r="J22" i="8"/>
  <c r="J18" i="8"/>
  <c r="J14" i="8"/>
  <c r="J61" i="8"/>
  <c r="J53" i="8"/>
  <c r="J49" i="8"/>
  <c r="C25" i="15"/>
  <c r="J30" i="15"/>
  <c r="D30" i="15"/>
  <c r="J29" i="15"/>
  <c r="D29" i="15"/>
  <c r="J28" i="15"/>
  <c r="D28" i="15"/>
  <c r="J27" i="15"/>
  <c r="D27" i="15"/>
  <c r="J26" i="15"/>
  <c r="D26" i="15"/>
  <c r="J25" i="15"/>
  <c r="D25" i="15"/>
  <c r="C28" i="15"/>
  <c r="G44" i="8"/>
  <c r="J47" i="8"/>
  <c r="J29" i="8"/>
  <c r="J25" i="8"/>
  <c r="J21" i="8"/>
  <c r="J17" i="8"/>
  <c r="J13" i="8"/>
  <c r="J60" i="8"/>
  <c r="J56" i="8"/>
  <c r="J52" i="8"/>
  <c r="C29" i="15"/>
  <c r="H25" i="15"/>
  <c r="C30" i="15"/>
  <c r="I28" i="15"/>
  <c r="K27" i="15"/>
  <c r="C26" i="15"/>
  <c r="D15" i="17"/>
  <c r="E15" i="17" s="1"/>
  <c r="E36" i="18"/>
  <c r="J68" i="8"/>
  <c r="J33" i="8"/>
  <c r="B30" i="15"/>
  <c r="B26" i="15"/>
  <c r="L30" i="15"/>
  <c r="H30" i="15"/>
  <c r="L28" i="15"/>
  <c r="H28" i="15"/>
  <c r="L26" i="15"/>
  <c r="H26" i="15"/>
  <c r="K25" i="15"/>
  <c r="L29" i="15"/>
  <c r="B29" i="15"/>
  <c r="H27" i="15"/>
  <c r="J12" i="8"/>
  <c r="F39" i="9"/>
  <c r="F35" i="9"/>
  <c r="F40" i="9"/>
  <c r="F36" i="9"/>
  <c r="F32" i="9"/>
  <c r="F28" i="9"/>
  <c r="F24" i="9"/>
  <c r="F18" i="9"/>
  <c r="F14" i="9"/>
  <c r="B23" i="16"/>
  <c r="F14" i="18"/>
  <c r="F39" i="18"/>
  <c r="F37" i="18"/>
  <c r="F12" i="18"/>
  <c r="E16" i="18"/>
  <c r="E13" i="18"/>
  <c r="E29" i="18"/>
  <c r="E30" i="18"/>
  <c r="F20" i="18"/>
  <c r="F16" i="18"/>
  <c r="F15" i="18"/>
  <c r="E38" i="18"/>
  <c r="F41" i="18"/>
  <c r="E40" i="18"/>
  <c r="F40" i="18"/>
  <c r="F38" i="18"/>
  <c r="E31" i="18"/>
  <c r="F30" i="18"/>
  <c r="F29" i="18"/>
  <c r="F22" i="18"/>
  <c r="D30" i="16"/>
  <c r="F10" i="16"/>
  <c r="B17" i="16"/>
  <c r="B48" i="16"/>
  <c r="C23" i="16"/>
  <c r="C17" i="16"/>
  <c r="D12" i="16"/>
  <c r="D45" i="16"/>
  <c r="C42" i="16"/>
  <c r="E14" i="18"/>
  <c r="E10" i="18"/>
  <c r="F13" i="18"/>
  <c r="E12" i="18"/>
  <c r="E20" i="18"/>
  <c r="E22" i="18"/>
  <c r="E37" i="18"/>
  <c r="E41" i="18"/>
  <c r="E11" i="18"/>
  <c r="E15" i="18"/>
  <c r="E21" i="18"/>
  <c r="E28" i="18"/>
  <c r="F11" i="18"/>
  <c r="F21" i="18"/>
  <c r="F28" i="18"/>
  <c r="F36" i="18"/>
  <c r="C64" i="12"/>
  <c r="F12" i="11"/>
  <c r="J44" i="8" l="1"/>
  <c r="D17" i="16"/>
  <c r="D48" i="16"/>
  <c r="D23" i="16"/>
  <c r="D32" i="16"/>
  <c r="D42" i="16"/>
  <c r="B50" i="16"/>
  <c r="B52" i="16" s="1"/>
  <c r="D17" i="18"/>
  <c r="O25" i="15"/>
  <c r="Q25" i="15"/>
  <c r="C50" i="16"/>
  <c r="C52" i="16" s="1"/>
  <c r="F15" i="17"/>
  <c r="N25" i="15"/>
  <c r="E32" i="18"/>
  <c r="F17" i="18"/>
  <c r="F42" i="18"/>
  <c r="F32" i="18"/>
  <c r="E17" i="18"/>
  <c r="E23" i="18"/>
  <c r="F23" i="18"/>
  <c r="E42" i="18"/>
  <c r="P25" i="15" l="1"/>
  <c r="F44" i="18"/>
  <c r="E44" i="18"/>
  <c r="C44" i="7" l="1"/>
  <c r="E44" i="7"/>
  <c r="B14" i="3"/>
  <c r="F44" i="36" l="1"/>
  <c r="E44" i="36"/>
  <c r="K52" i="35"/>
  <c r="J52" i="35"/>
  <c r="I52" i="35"/>
  <c r="H52" i="35"/>
  <c r="E52" i="35"/>
  <c r="D52" i="35"/>
  <c r="B52" i="35"/>
  <c r="O42" i="34"/>
  <c r="N42" i="34"/>
  <c r="M42" i="34"/>
  <c r="L42" i="34"/>
  <c r="K42" i="34"/>
  <c r="J42" i="34"/>
  <c r="I42" i="34"/>
  <c r="H42" i="34"/>
  <c r="G42" i="34"/>
  <c r="F42" i="34"/>
  <c r="E42" i="34"/>
  <c r="D42" i="34"/>
  <c r="O52" i="35" l="1"/>
  <c r="P52" i="35"/>
  <c r="M52" i="35"/>
  <c r="M44" i="36"/>
  <c r="L52" i="35"/>
  <c r="N52" i="35"/>
  <c r="F21" i="19" l="1"/>
  <c r="E21" i="19"/>
  <c r="C21" i="19"/>
  <c r="B21" i="19"/>
  <c r="D13" i="17"/>
  <c r="E48" i="16"/>
  <c r="F47" i="16"/>
  <c r="E47" i="16"/>
  <c r="F46" i="16"/>
  <c r="E46" i="16"/>
  <c r="F45" i="16"/>
  <c r="E45" i="16"/>
  <c r="F41" i="16"/>
  <c r="E41" i="16"/>
  <c r="D41" i="16"/>
  <c r="F40" i="16"/>
  <c r="E40" i="16"/>
  <c r="D40" i="16"/>
  <c r="F39" i="16"/>
  <c r="E39" i="16"/>
  <c r="D39" i="16"/>
  <c r="F38" i="16"/>
  <c r="E38" i="16"/>
  <c r="D38" i="16"/>
  <c r="F37" i="16"/>
  <c r="E37" i="16"/>
  <c r="D37" i="16"/>
  <c r="F36" i="16"/>
  <c r="E36" i="16"/>
  <c r="D36" i="16"/>
  <c r="F35" i="16"/>
  <c r="E35" i="16"/>
  <c r="D35" i="16"/>
  <c r="F31" i="16"/>
  <c r="D31" i="16"/>
  <c r="F30" i="16"/>
  <c r="E30" i="16"/>
  <c r="F29" i="16"/>
  <c r="E29" i="16"/>
  <c r="D29" i="16"/>
  <c r="F28" i="16"/>
  <c r="E28" i="16"/>
  <c r="D28" i="16"/>
  <c r="F27" i="16"/>
  <c r="E27" i="16"/>
  <c r="D27" i="16"/>
  <c r="F22" i="16"/>
  <c r="E22" i="16"/>
  <c r="D22" i="16"/>
  <c r="F21" i="16"/>
  <c r="D21" i="16"/>
  <c r="F20" i="16"/>
  <c r="E20" i="16"/>
  <c r="F16" i="16"/>
  <c r="E16" i="16"/>
  <c r="D16" i="16"/>
  <c r="F15" i="16"/>
  <c r="E15" i="16"/>
  <c r="D15" i="16"/>
  <c r="F14" i="16"/>
  <c r="E14" i="16"/>
  <c r="D14" i="16"/>
  <c r="F13" i="16"/>
  <c r="E13" i="16"/>
  <c r="D13" i="16"/>
  <c r="F12" i="16"/>
  <c r="E12" i="16"/>
  <c r="F11" i="16"/>
  <c r="E11" i="16"/>
  <c r="D11" i="16"/>
  <c r="A30" i="15"/>
  <c r="A29" i="15"/>
  <c r="A28" i="15"/>
  <c r="A27" i="15"/>
  <c r="A26" i="15"/>
  <c r="A25" i="15"/>
  <c r="C70" i="12"/>
  <c r="F44" i="12"/>
  <c r="E44" i="12"/>
  <c r="D44" i="12"/>
  <c r="C44" i="12"/>
  <c r="E44" i="11"/>
  <c r="E9" i="11" s="1"/>
  <c r="D44" i="11"/>
  <c r="D9" i="11" s="1"/>
  <c r="C44" i="11"/>
  <c r="C9" i="11" s="1"/>
  <c r="F43"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J31" i="10"/>
  <c r="I24" i="10"/>
  <c r="H24" i="10"/>
  <c r="G24" i="10"/>
  <c r="F24" i="10"/>
  <c r="E24" i="10"/>
  <c r="D24" i="10"/>
  <c r="C24" i="10"/>
  <c r="J28" i="10"/>
  <c r="J27" i="10"/>
  <c r="J26" i="10"/>
  <c r="E44" i="9"/>
  <c r="E9" i="9" s="1"/>
  <c r="D44" i="9"/>
  <c r="D9" i="9" s="1"/>
  <c r="C44" i="9"/>
  <c r="C9" i="9" s="1"/>
  <c r="I70" i="8"/>
  <c r="H70" i="8"/>
  <c r="G70" i="8"/>
  <c r="F70" i="8"/>
  <c r="E70" i="8"/>
  <c r="D70" i="8"/>
  <c r="C70" i="8"/>
  <c r="J69" i="8"/>
  <c r="H44" i="8"/>
  <c r="F44" i="8"/>
  <c r="E44" i="8"/>
  <c r="D44" i="8"/>
  <c r="C44" i="8"/>
  <c r="E70" i="7"/>
  <c r="D70" i="7"/>
  <c r="C70" i="7"/>
  <c r="D64" i="7"/>
  <c r="E14" i="3"/>
  <c r="F14" i="3"/>
  <c r="B43" i="19" l="1"/>
  <c r="B42" i="19"/>
  <c r="B44" i="19"/>
  <c r="B41" i="19"/>
  <c r="E43" i="19"/>
  <c r="E42" i="19"/>
  <c r="E44" i="19"/>
  <c r="E41" i="19"/>
  <c r="F43" i="19"/>
  <c r="F44" i="19"/>
  <c r="F41" i="19"/>
  <c r="F42" i="19"/>
  <c r="C43" i="19"/>
  <c r="C42" i="19"/>
  <c r="C44" i="19"/>
  <c r="C41" i="19"/>
  <c r="F33" i="19"/>
  <c r="F40" i="19"/>
  <c r="F34" i="19"/>
  <c r="F39" i="19"/>
  <c r="F35" i="19"/>
  <c r="F37" i="19"/>
  <c r="F36" i="19"/>
  <c r="F38" i="19"/>
  <c r="B39" i="19"/>
  <c r="B34" i="19"/>
  <c r="B40" i="19"/>
  <c r="B38" i="19"/>
  <c r="B37" i="19"/>
  <c r="B36" i="19"/>
  <c r="B35" i="19"/>
  <c r="B33" i="19"/>
  <c r="E36" i="19"/>
  <c r="E33" i="19"/>
  <c r="E38" i="19"/>
  <c r="E37" i="19"/>
  <c r="E35" i="19"/>
  <c r="E40" i="19"/>
  <c r="E34" i="19"/>
  <c r="E39" i="19"/>
  <c r="C38" i="19"/>
  <c r="C34" i="19"/>
  <c r="C33" i="19"/>
  <c r="C36" i="19"/>
  <c r="C35" i="19"/>
  <c r="C40" i="19"/>
  <c r="C37" i="19"/>
  <c r="C39" i="19"/>
  <c r="F44" i="11"/>
  <c r="F9" i="11" s="1"/>
  <c r="D9" i="7"/>
  <c r="F24" i="22"/>
  <c r="E13" i="17"/>
  <c r="F13" i="17"/>
  <c r="O28" i="15"/>
  <c r="N27" i="15"/>
  <c r="H12" i="3"/>
  <c r="F44" i="9"/>
  <c r="F9" i="9" s="1"/>
  <c r="G45" i="19"/>
  <c r="E17" i="16"/>
  <c r="F48" i="16"/>
  <c r="F42" i="16"/>
  <c r="F32" i="16"/>
  <c r="E23" i="16"/>
  <c r="P29" i="15"/>
  <c r="O30" i="15"/>
  <c r="C14" i="3"/>
  <c r="O26" i="15"/>
  <c r="J70" i="8"/>
  <c r="N28" i="15"/>
  <c r="O29" i="15"/>
  <c r="E42" i="16"/>
  <c r="J29" i="10"/>
  <c r="J24" i="10" s="1"/>
  <c r="N29" i="15"/>
  <c r="E32" i="16"/>
  <c r="N26" i="15"/>
  <c r="O27" i="15"/>
  <c r="N30" i="15"/>
  <c r="F23" i="16"/>
  <c r="H21" i="19"/>
  <c r="D11" i="17"/>
  <c r="D14" i="17"/>
  <c r="D10" i="17"/>
  <c r="F17" i="16"/>
  <c r="Q29" i="15"/>
  <c r="P26" i="15"/>
  <c r="P27" i="15"/>
  <c r="H13" i="3"/>
  <c r="H10" i="3"/>
  <c r="H11" i="3"/>
  <c r="H43" i="19" l="1"/>
  <c r="H44" i="19"/>
  <c r="H42" i="19"/>
  <c r="H41" i="19"/>
  <c r="H35" i="19"/>
  <c r="H36" i="19"/>
  <c r="H39" i="19"/>
  <c r="H40" i="19"/>
  <c r="H38" i="19"/>
  <c r="H33" i="19"/>
  <c r="H34" i="19"/>
  <c r="H37" i="19"/>
  <c r="C45" i="19"/>
  <c r="E45" i="19"/>
  <c r="F45" i="19"/>
  <c r="B45" i="19"/>
  <c r="G11" i="17"/>
  <c r="E11" i="17"/>
  <c r="F11" i="17"/>
  <c r="G16" i="17"/>
  <c r="G15" i="17"/>
  <c r="G14" i="17"/>
  <c r="F14" i="17"/>
  <c r="E14" i="17"/>
  <c r="G13" i="17"/>
  <c r="G10" i="17"/>
  <c r="F10" i="17"/>
  <c r="E10" i="17"/>
  <c r="P28" i="15"/>
  <c r="P30" i="15"/>
  <c r="G14" i="3"/>
  <c r="D50" i="16"/>
  <c r="Q26" i="15"/>
  <c r="E50" i="16"/>
  <c r="Q27" i="15"/>
  <c r="F16" i="17"/>
  <c r="E16" i="17"/>
  <c r="F52" i="16"/>
  <c r="F50" i="16"/>
  <c r="Q28" i="15"/>
  <c r="Q30" i="15"/>
  <c r="H14" i="3"/>
  <c r="J14" i="3" s="1"/>
  <c r="I43" i="19" l="1"/>
  <c r="I44" i="19"/>
  <c r="I41" i="19"/>
  <c r="I42" i="19"/>
  <c r="I36" i="19"/>
  <c r="I33" i="19"/>
  <c r="I40" i="19"/>
  <c r="I39" i="19"/>
  <c r="I37" i="19"/>
  <c r="I38" i="19"/>
  <c r="I35" i="19"/>
  <c r="I34" i="19"/>
  <c r="I14" i="3"/>
  <c r="I10" i="3"/>
  <c r="I13" i="3"/>
  <c r="I12" i="3"/>
  <c r="I11" i="3"/>
  <c r="H45" i="19"/>
  <c r="J12" i="3"/>
  <c r="J11" i="3"/>
  <c r="J13" i="3"/>
  <c r="J10" i="3"/>
  <c r="E52" i="16"/>
  <c r="D52" i="16"/>
  <c r="I45" i="19" l="1"/>
  <c r="A9" i="7" l="1"/>
  <c r="A33" i="7" l="1"/>
  <c r="A26" i="7"/>
  <c r="B57" i="7"/>
  <c r="A57" i="7"/>
  <c r="B62" i="7"/>
  <c r="A62" i="7"/>
  <c r="A60" i="7"/>
  <c r="A58" i="7"/>
  <c r="A9" i="9"/>
  <c r="E57" i="7"/>
  <c r="C57" i="7"/>
  <c r="C62" i="7"/>
  <c r="A26" i="9" l="1"/>
  <c r="A33" i="9"/>
  <c r="I57" i="7"/>
  <c r="C64" i="7"/>
  <c r="C9" i="7" s="1"/>
  <c r="E62" i="7"/>
  <c r="E64" i="7" l="1"/>
  <c r="E9" i="7" s="1"/>
  <c r="I62" i="7"/>
  <c r="J62" i="7" s="1"/>
  <c r="J57" i="7"/>
  <c r="J64" i="7" s="1"/>
  <c r="J9" i="7" s="1"/>
  <c r="I64" i="7"/>
  <c r="I9" i="7" s="1"/>
  <c r="A10" i="101" l="1"/>
  <c r="A33" i="101" l="1"/>
  <c r="A26" i="101"/>
  <c r="A9" i="8"/>
  <c r="A33" i="8" l="1"/>
  <c r="A26" i="8"/>
  <c r="A57" i="8"/>
  <c r="A62" i="8"/>
  <c r="A60" i="8"/>
  <c r="A58" i="8"/>
  <c r="B57" i="8"/>
  <c r="B62" i="8"/>
  <c r="D57" i="8"/>
  <c r="F62" i="8"/>
  <c r="H62" i="8"/>
  <c r="I62" i="8"/>
  <c r="I57" i="8"/>
  <c r="C57" i="8"/>
  <c r="H57" i="8"/>
  <c r="E57" i="8"/>
  <c r="E62" i="8"/>
  <c r="D62" i="8"/>
  <c r="G62" i="8"/>
  <c r="F57" i="8"/>
  <c r="C62" i="8"/>
  <c r="G57" i="8"/>
  <c r="G64" i="8" l="1"/>
  <c r="G9" i="8" s="1"/>
  <c r="J62" i="8"/>
  <c r="F64" i="8"/>
  <c r="F9" i="8" s="1"/>
  <c r="D64" i="8"/>
  <c r="D9" i="8" s="1"/>
  <c r="E64" i="8"/>
  <c r="E9" i="8" s="1"/>
  <c r="H64" i="8"/>
  <c r="H9" i="8" s="1"/>
  <c r="C64" i="8"/>
  <c r="C9" i="8" s="1"/>
  <c r="J57" i="8"/>
  <c r="J64" i="8" s="1"/>
  <c r="J9" i="8" s="1"/>
  <c r="I64" i="8"/>
  <c r="I9" i="8" s="1"/>
</calcChain>
</file>

<file path=xl/comments1.xml><?xml version="1.0" encoding="utf-8"?>
<comments xmlns="http://schemas.openxmlformats.org/spreadsheetml/2006/main">
  <authors>
    <author>Welsh, Gregor</author>
  </authors>
  <commentList>
    <comment ref="A1" authorId="0" shapeId="0">
      <text>
        <r>
          <rPr>
            <sz val="10"/>
            <color indexed="18"/>
            <rFont val="Tahoma"/>
            <family val="2"/>
          </rPr>
          <t>Source [qryTable20_w]</t>
        </r>
      </text>
    </comment>
  </commentList>
</comments>
</file>

<file path=xl/comments2.xml><?xml version="1.0" encoding="utf-8"?>
<comments xmlns="http://schemas.openxmlformats.org/spreadsheetml/2006/main">
  <authors>
    <author>Welsh, Gregor</author>
  </authors>
  <commentList>
    <comment ref="A1" authorId="0" shapeId="0">
      <text>
        <r>
          <rPr>
            <sz val="10"/>
            <color indexed="18"/>
            <rFont val="Tahoma"/>
            <family val="2"/>
          </rPr>
          <t>Source [qryTable21a]</t>
        </r>
      </text>
    </comment>
  </commentList>
</comments>
</file>

<file path=xl/sharedStrings.xml><?xml version="1.0" encoding="utf-8"?>
<sst xmlns="http://schemas.openxmlformats.org/spreadsheetml/2006/main" count="22531" uniqueCount="1327">
  <si>
    <t>(formerly Fire and Rescue Service Statistics Scotland)</t>
  </si>
  <si>
    <t>Year</t>
  </si>
  <si>
    <t>Control</t>
  </si>
  <si>
    <t>Support</t>
  </si>
  <si>
    <t>All staff total</t>
  </si>
  <si>
    <t>All staff (excluding volunteers)</t>
  </si>
  <si>
    <t>Number</t>
  </si>
  <si>
    <t>Percentage</t>
  </si>
  <si>
    <t>Notes</t>
  </si>
  <si>
    <t>RDS</t>
  </si>
  <si>
    <t>All Staff Total</t>
  </si>
  <si>
    <t xml:space="preserve">All Staff (excl. volunteers) </t>
  </si>
  <si>
    <t>All Staff (excl. volunteers)</t>
  </si>
  <si>
    <t xml:space="preserve">Local Authority Area </t>
  </si>
  <si>
    <t xml:space="preserve">Local Senior Officer Area </t>
  </si>
  <si>
    <t>Service Delivery Area</t>
  </si>
  <si>
    <t>National</t>
  </si>
  <si>
    <t>SCOTLAND (total)</t>
  </si>
  <si>
    <t>Area Manager</t>
  </si>
  <si>
    <t>Group Manager</t>
  </si>
  <si>
    <t>Station Manager</t>
  </si>
  <si>
    <t>Watch Manager</t>
  </si>
  <si>
    <t>Crew Manager</t>
  </si>
  <si>
    <t>Firefighter</t>
  </si>
  <si>
    <t>Wholetime Operational Staff Total</t>
  </si>
  <si>
    <t>Wholetime Operational Staff</t>
  </si>
  <si>
    <t>Total</t>
  </si>
  <si>
    <t>Wholetime Operational</t>
  </si>
  <si>
    <t>Retained Duty System</t>
  </si>
  <si>
    <t>Volunteer</t>
  </si>
  <si>
    <t>Local Authority Area</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</si>
  <si>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</si>
  <si>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</si>
  <si>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</si>
  <si>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</si>
  <si>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</si>
  <si>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</si>
  <si>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</si>
  <si>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</si>
  <si>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</si>
  <si>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</si>
  <si>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</si>
  <si>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</si>
  <si>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</si>
  <si>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</si>
  <si>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</si>
  <si>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</si>
  <si>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</si>
  <si>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</si>
  <si>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</si>
  <si>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</si>
  <si>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</si>
  <si>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</si>
  <si>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</si>
  <si>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</si>
  <si>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</si>
  <si>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</si>
  <si>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</si>
  <si>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</si>
  <si>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</si>
  <si>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</si>
  <si>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Local Authority Area (total)</t>
  </si>
  <si>
    <t>Local Senior Officer Area</t>
  </si>
  <si>
    <t>Aberdeenshire and Moray</t>
  </si>
  <si>
    <t>Argyll and Bute, East Dunbartonshire and West Dunbartonshire</t>
  </si>
  <si>
    <t>Dundee, Angus, Perth and Kinross</t>
  </si>
  <si>
    <t>East Ayrshire, North Ayrshire and South Ayrshire</t>
  </si>
  <si>
    <t>East Lothian, Midlothian and the Scottish Borders</t>
  </si>
  <si>
    <t>East Renfrewshire, Renfrewshire and Inverclyde</t>
  </si>
  <si>
    <t>Falkirk and West Lothian</t>
  </si>
  <si>
    <t>Highlands</t>
  </si>
  <si>
    <t>Western Isles, Orkney and Shetland Islands</t>
  </si>
  <si>
    <t>Local Senior Officer Area (total)</t>
  </si>
  <si>
    <t>Service Delivery Area (SDA)</t>
  </si>
  <si>
    <t>SDA East</t>
  </si>
  <si>
    <t>SDA North</t>
  </si>
  <si>
    <t>SDA West</t>
  </si>
  <si>
    <t>Service Delivery Area (total)</t>
  </si>
  <si>
    <t>National Level</t>
  </si>
  <si>
    <t>Scotland Total</t>
  </si>
  <si>
    <t>Control Operator</t>
  </si>
  <si>
    <t>Service Manager</t>
  </si>
  <si>
    <t>Team 
Leader</t>
  </si>
  <si>
    <t>Professional</t>
  </si>
  <si>
    <t>Specialist/ Technical</t>
  </si>
  <si>
    <t>Technical Support</t>
  </si>
  <si>
    <t>Admin-istration</t>
  </si>
  <si>
    <t>Team Leader</t>
  </si>
  <si>
    <t>Headcount</t>
  </si>
  <si>
    <t>Wholetime operational</t>
  </si>
  <si>
    <t>Support Staff</t>
  </si>
  <si>
    <t>Total (excluding volunteers)</t>
  </si>
  <si>
    <t>Female</t>
  </si>
  <si>
    <t>Male</t>
  </si>
  <si>
    <t>Retained Duty System (total)</t>
  </si>
  <si>
    <t xml:space="preserve">Control </t>
  </si>
  <si>
    <t>Control (total)</t>
  </si>
  <si>
    <t>Specialist/Technical</t>
  </si>
  <si>
    <t>Administration</t>
  </si>
  <si>
    <t>Support Staff (total)</t>
  </si>
  <si>
    <t>Volunteer (total)</t>
  </si>
  <si>
    <t>All Staff (total)</t>
  </si>
  <si>
    <t>All Staff (excluding volunteers)</t>
  </si>
  <si>
    <t xml:space="preserve"> </t>
  </si>
  <si>
    <t>All Staff</t>
  </si>
  <si>
    <t>20-24</t>
  </si>
  <si>
    <t>25-29</t>
  </si>
  <si>
    <t>30-34</t>
  </si>
  <si>
    <t>35-39</t>
  </si>
  <si>
    <t>40-44</t>
  </si>
  <si>
    <t>45-49</t>
  </si>
  <si>
    <t>50-54</t>
  </si>
  <si>
    <t>55-59</t>
  </si>
  <si>
    <t>60-64</t>
  </si>
  <si>
    <t>65-69</t>
  </si>
  <si>
    <t>70-74</t>
  </si>
  <si>
    <t>Total
(excl volunteers)</t>
  </si>
  <si>
    <t>White</t>
  </si>
  <si>
    <t>Ethnic Minority</t>
  </si>
  <si>
    <t>Wholetime</t>
  </si>
  <si>
    <t>Local Authority</t>
  </si>
  <si>
    <t>Glasgow City</t>
  </si>
  <si>
    <t>Pumping Appliances</t>
  </si>
  <si>
    <t>Reserve Appliances</t>
  </si>
  <si>
    <t>Training Appliances</t>
  </si>
  <si>
    <t>Type of Attack</t>
  </si>
  <si>
    <t>Total attacks</t>
  </si>
  <si>
    <t>HFSV with alarms installed</t>
  </si>
  <si>
    <t>Total HFSV</t>
  </si>
  <si>
    <t>New</t>
  </si>
  <si>
    <t>Replacement</t>
  </si>
  <si>
    <t>Rate</t>
  </si>
  <si>
    <t>HFSV - advice only</t>
  </si>
  <si>
    <t xml:space="preserve">Total HFSV </t>
  </si>
  <si>
    <t>Smoke alarms installed</t>
  </si>
  <si>
    <t>HFSV
 - alarms installed</t>
  </si>
  <si>
    <t>HFSV
 - advice only</t>
  </si>
  <si>
    <t>Smoke alarms installed during HFSV</t>
  </si>
  <si>
    <t xml:space="preserve">Rate of alarms installed </t>
  </si>
  <si>
    <t>HFSV - 
alarms installed</t>
  </si>
  <si>
    <t>HFSV - 
advice only</t>
  </si>
  <si>
    <t>All visits</t>
  </si>
  <si>
    <t>Premises type</t>
  </si>
  <si>
    <t>Hospital / Prison</t>
  </si>
  <si>
    <t>Care Home</t>
  </si>
  <si>
    <t>Hostel</t>
  </si>
  <si>
    <t>Hotel</t>
  </si>
  <si>
    <t>Other Sleeping Accommodation</t>
  </si>
  <si>
    <t>Further Education</t>
  </si>
  <si>
    <t>Public Building</t>
  </si>
  <si>
    <t>Licensed Premises</t>
  </si>
  <si>
    <t>School</t>
  </si>
  <si>
    <t>Shop</t>
  </si>
  <si>
    <t>Other Premises Open to Public</t>
  </si>
  <si>
    <t>Factory or Warehouse</t>
  </si>
  <si>
    <t>Office</t>
  </si>
  <si>
    <t>Other workplace</t>
  </si>
  <si>
    <t>Total audits without HMOs</t>
  </si>
  <si>
    <t>Total audits including HMOs</t>
  </si>
  <si>
    <t>Hospital/ Prison</t>
  </si>
  <si>
    <t>HMO</t>
  </si>
  <si>
    <t>Other Sleeping Accom.</t>
  </si>
  <si>
    <t>Total audits</t>
  </si>
  <si>
    <t>Enforcement Notice</t>
  </si>
  <si>
    <t>Prohibition Notice</t>
  </si>
  <si>
    <t>Average time (hours)</t>
  </si>
  <si>
    <t>Hours</t>
  </si>
  <si>
    <t>Audits</t>
  </si>
  <si>
    <t>Percentage of Type A</t>
  </si>
  <si>
    <t>Enforcement notices</t>
  </si>
  <si>
    <t>Type of Premises</t>
  </si>
  <si>
    <t>Total hours</t>
  </si>
  <si>
    <t>North</t>
  </si>
  <si>
    <t>West</t>
  </si>
  <si>
    <t>East</t>
  </si>
  <si>
    <t>Edinburgh City</t>
  </si>
  <si>
    <t xml:space="preserve"> Wholetime Operational</t>
  </si>
  <si>
    <t>Wholetime Operational - Number</t>
  </si>
  <si>
    <t>Wholetime Operational - Percent</t>
  </si>
  <si>
    <t>RDS - Number</t>
  </si>
  <si>
    <t>RDS - Percent</t>
  </si>
  <si>
    <t>Control - Number</t>
  </si>
  <si>
    <t>Control - Percent</t>
  </si>
  <si>
    <t>&lt;5</t>
  </si>
  <si>
    <t>5-9</t>
  </si>
  <si>
    <t>10-14</t>
  </si>
  <si>
    <t>15-19</t>
  </si>
  <si>
    <t>&gt;40</t>
  </si>
  <si>
    <t>Service Length (Years)</t>
  </si>
  <si>
    <t>Aerial Appliances</t>
  </si>
  <si>
    <t>Other Appliances</t>
  </si>
  <si>
    <t>Resilience</t>
  </si>
  <si>
    <t>Consultations</t>
  </si>
  <si>
    <t>Alterations Notice</t>
  </si>
  <si>
    <t>Prohibition Notices</t>
  </si>
  <si>
    <t>Retained</t>
  </si>
  <si>
    <t>All</t>
  </si>
  <si>
    <t>Non-Operational</t>
  </si>
  <si>
    <t>Vehicles for Rescue Work</t>
  </si>
  <si>
    <t>Small Firefighting Vehicles</t>
  </si>
  <si>
    <t>Other</t>
  </si>
  <si>
    <t>Total Vehicles (incl. boats)</t>
  </si>
  <si>
    <t>2015-16</t>
  </si>
  <si>
    <t>2014-15</t>
  </si>
  <si>
    <t>2013-14</t>
  </si>
  <si>
    <t>2012-13</t>
  </si>
  <si>
    <t>Vehicles Primarily for Rescue Work</t>
  </si>
  <si>
    <t>Operational Total</t>
  </si>
  <si>
    <t>Chart 3b: Scottish Fire and Rescue Service Headcount by Service Length and Type of Staffing</t>
  </si>
  <si>
    <t>Brigade Manager</t>
  </si>
  <si>
    <t>Director</t>
  </si>
  <si>
    <t>Age Range</t>
  </si>
  <si>
    <t>Age range</t>
  </si>
  <si>
    <t>Operational</t>
  </si>
  <si>
    <t>Fire Boats</t>
  </si>
  <si>
    <t>Officer Response Vehicles</t>
  </si>
  <si>
    <t xml:space="preserve"> - Workforce</t>
  </si>
  <si>
    <t xml:space="preserve">In 2014 SFRS could not return suitable fire safety data and the statistics were not published.  </t>
  </si>
  <si>
    <t>Area</t>
  </si>
  <si>
    <t xml:space="preserve">Other Operational </t>
  </si>
  <si>
    <t xml:space="preserve"> - Home Fire Safety Visits</t>
  </si>
  <si>
    <t>National.Statistics@firescotland.gov.uk</t>
  </si>
  <si>
    <t xml:space="preserve">  Watch manager</t>
  </si>
  <si>
    <t xml:space="preserve">  Crew Manager</t>
  </si>
  <si>
    <t xml:space="preserve">  Firefighter</t>
  </si>
  <si>
    <t>FTE is not calculated for Volunteers.</t>
  </si>
  <si>
    <t>Full Time Equivalent (FTE) counts the ratio of a staff member’s contracted working hours to the standard contract hours for that staff group.</t>
  </si>
  <si>
    <t>The statistics are rounded after they are calculated.</t>
  </si>
  <si>
    <t>The Brigade Manager category had included Deputy Assistant Chief Officers (DACOs) in 2014-15 and 2015-16.  This has now been amended so that DACOs are included in the Area manager category and Brigade Manager now includes only Chief Officer, Deputy Chief Officer and Assistant Chief Officer.</t>
  </si>
  <si>
    <t>Support staff sub-categories changed in 2013-14 to reflect the sub-categories used in the new organisational structure of the Scottish Fire and Rescue Service.</t>
  </si>
  <si>
    <t xml:space="preserve">Until the 2015-16 statistics the Director category in Support Staff had been included in the Service Manager category.  From the 2015-16 publication this has been presented in a separate category. Comparisons with former statistics can be made by adding the Director category to the Service Manager category.  </t>
  </si>
  <si>
    <t>Grey shaded cells indicate where area breakdown by staff type is not applicable.</t>
  </si>
  <si>
    <t>All control staff are reported nationally for these statistics.</t>
  </si>
  <si>
    <t>All volunteer staff are reported at Local Authority Area for these statistics.</t>
  </si>
  <si>
    <t>Retirement age varies according to type of staffing and individual circumstance.</t>
  </si>
  <si>
    <t>Service Length counts the number of full years spent in public service. It is possible for staff to move between Fire and Rescue Services within the UK and keep their accrued service length.</t>
  </si>
  <si>
    <t>Percentages are calculated based on headcount.</t>
  </si>
  <si>
    <t>A count of Operatioal Fire Boats could not be provided in 2013-14.</t>
  </si>
  <si>
    <t>Operational Boats are provided at national level only.</t>
  </si>
  <si>
    <t>Workflow refers to all of the work completed related to non-domestic property. Workflows are counted according to the financial year in which they are fully completed.</t>
  </si>
  <si>
    <t xml:space="preserve">In 2013-14 the fire safety audit data was not included in the publication due to quality and completeness concerns.  </t>
  </si>
  <si>
    <t>Where a premise had multiple owners who each received a formal Notice, this has been counted only once. The figure therefore reflects the number of unique buildings where a notice has been issued by financial year.</t>
  </si>
  <si>
    <t xml:space="preserve">For enquiries or feedback please contact - </t>
  </si>
  <si>
    <t>The merger of HR data from the former Scottish Fire and Rescue services in 2013-14 led to a reduction in reliable ethnicity data for staff. Improvements over recent years stem from data collection on new staff and through the provision of an employee digital self-service tool for HR data.</t>
  </si>
  <si>
    <t>All Retained Duty System staff are reported at Local Authority Area for these statistics.</t>
  </si>
  <si>
    <t>FinYear</t>
  </si>
  <si>
    <t>Row Labels</t>
  </si>
  <si>
    <t>1:LA</t>
  </si>
  <si>
    <t>2:LSO</t>
  </si>
  <si>
    <t>3:SDA</t>
  </si>
  <si>
    <t>4:National</t>
  </si>
  <si>
    <t>Grand Total</t>
  </si>
  <si>
    <t>Sum of Total</t>
  </si>
  <si>
    <t>Sum of WT</t>
  </si>
  <si>
    <t>2018-19</t>
  </si>
  <si>
    <t>2017-18</t>
  </si>
  <si>
    <t>Sum of Watch Manager</t>
  </si>
  <si>
    <t>Code</t>
  </si>
  <si>
    <t>City of Edinburgh</t>
  </si>
  <si>
    <t>Scotland</t>
  </si>
  <si>
    <t>Sum of RDS</t>
  </si>
  <si>
    <t>Sum of Control</t>
  </si>
  <si>
    <t>Sum of Support</t>
  </si>
  <si>
    <t>Sum of Vol</t>
  </si>
  <si>
    <t>Sum of Brigade Manager</t>
  </si>
  <si>
    <t>Sum of Area Manager</t>
  </si>
  <si>
    <t>Sum of Group Manager</t>
  </si>
  <si>
    <t>Sum of Station Manager</t>
  </si>
  <si>
    <t>Sum of Crew Manager</t>
  </si>
  <si>
    <t>Sum of Firefighter</t>
  </si>
  <si>
    <t>FinYr</t>
  </si>
  <si>
    <t>Column Labels</t>
  </si>
  <si>
    <t>Sum of Control Operator</t>
  </si>
  <si>
    <t>2016-17</t>
  </si>
  <si>
    <t>Sum of Director</t>
  </si>
  <si>
    <t>Sum of Service Manager</t>
  </si>
  <si>
    <t>Sum of Team Leader</t>
  </si>
  <si>
    <t>Sum of Professional</t>
  </si>
  <si>
    <t>Sum of Specialist Technical</t>
  </si>
  <si>
    <t>Sum of Tech Support</t>
  </si>
  <si>
    <t>Sum of Administration</t>
  </si>
  <si>
    <t>ALL</t>
  </si>
  <si>
    <t>S12000005</t>
  </si>
  <si>
    <t>S12000006</t>
  </si>
  <si>
    <t>S12000008</t>
  </si>
  <si>
    <t>S12000010</t>
  </si>
  <si>
    <t>S12000011</t>
  </si>
  <si>
    <t>S12000013</t>
  </si>
  <si>
    <t>S12000014</t>
  </si>
  <si>
    <t>S12000017</t>
  </si>
  <si>
    <t>S12000018</t>
  </si>
  <si>
    <t>S12000019</t>
  </si>
  <si>
    <t>S12000020</t>
  </si>
  <si>
    <t>S12000021</t>
  </si>
  <si>
    <t>S12000023</t>
  </si>
  <si>
    <t>S12000024</t>
  </si>
  <si>
    <t>S12000026</t>
  </si>
  <si>
    <t>S12000027</t>
  </si>
  <si>
    <t>S12000028</t>
  </si>
  <si>
    <t>S12000029</t>
  </si>
  <si>
    <t>S12000030</t>
  </si>
  <si>
    <t>S12000033</t>
  </si>
  <si>
    <t>S12000034</t>
  </si>
  <si>
    <t>S12000035</t>
  </si>
  <si>
    <t>S12000036</t>
  </si>
  <si>
    <t>S12000038</t>
  </si>
  <si>
    <t>S12000039</t>
  </si>
  <si>
    <t>S12000040</t>
  </si>
  <si>
    <t>S12000041</t>
  </si>
  <si>
    <t>S12000042</t>
  </si>
  <si>
    <t>S12000044</t>
  </si>
  <si>
    <t>S12000045</t>
  </si>
  <si>
    <t>S12000046</t>
  </si>
  <si>
    <t>S12000047</t>
  </si>
  <si>
    <t>(blank)</t>
  </si>
  <si>
    <t>Vol</t>
  </si>
  <si>
    <t>WT</t>
  </si>
  <si>
    <t>Specialist Technical</t>
  </si>
  <si>
    <t>Tech Support</t>
  </si>
  <si>
    <t>Sum of Female</t>
  </si>
  <si>
    <t>Sum of Male</t>
  </si>
  <si>
    <t>Under 20</t>
  </si>
  <si>
    <t>Over 40</t>
  </si>
  <si>
    <t>Under 5</t>
  </si>
  <si>
    <t>Total (ex Vol)</t>
  </si>
  <si>
    <t>2011-12</t>
  </si>
  <si>
    <t>Sum of White</t>
  </si>
  <si>
    <t>Sum of Not Stated</t>
  </si>
  <si>
    <t>Sum of Ethnic Minority</t>
  </si>
  <si>
    <t>FisYr</t>
  </si>
  <si>
    <t>Sum of Wholetime</t>
  </si>
  <si>
    <t>Sum of Retained</t>
  </si>
  <si>
    <t>Sum of Volunteer</t>
  </si>
  <si>
    <t>Sum of Wholetime and Retained</t>
  </si>
  <si>
    <t>Sum of Wholetime and Day</t>
  </si>
  <si>
    <t>Reserve</t>
  </si>
  <si>
    <t>Training</t>
  </si>
  <si>
    <t>Sum of 2017-18</t>
  </si>
  <si>
    <t>Sum of Pumping Appliances</t>
  </si>
  <si>
    <t>Sum of Aerial Appliances</t>
  </si>
  <si>
    <t>Sum of Other Appliances</t>
  </si>
  <si>
    <t>Sum of Resilience</t>
  </si>
  <si>
    <t>Sum of Objects thrown at firefighters/appliances</t>
  </si>
  <si>
    <t>Yes</t>
  </si>
  <si>
    <t>Non-Operational Sum of Objects thrown at firefighters/appliances</t>
  </si>
  <si>
    <t>Operational Sum of Objects thrown at firefighters/appliances</t>
  </si>
  <si>
    <t>Total Sum of Objects thrown at firefighters/appliances</t>
  </si>
  <si>
    <t>Non-Operational Sum of Total</t>
  </si>
  <si>
    <t>Operational Sum of Total</t>
  </si>
  <si>
    <t>Total Sum of Total</t>
  </si>
  <si>
    <t>Non-Operational Sum of Physical abuse</t>
  </si>
  <si>
    <t>Operational Sum of Physical abuse</t>
  </si>
  <si>
    <t>Total Sum of Physical abuse</t>
  </si>
  <si>
    <t>Sum of Physical abuse</t>
  </si>
  <si>
    <t>Non-Operational Sum of Verbal abuse</t>
  </si>
  <si>
    <t>Operational Sum of Verbal abuse</t>
  </si>
  <si>
    <t>Total Sum of Verbal abuse</t>
  </si>
  <si>
    <t>Sum of Verbal abuse</t>
  </si>
  <si>
    <t>Non-Operational Sum of Other acts of aggression</t>
  </si>
  <si>
    <t>Operational Sum of Other acts of aggression</t>
  </si>
  <si>
    <t>Total Sum of Other acts of aggression</t>
  </si>
  <si>
    <t>Sum of Other acts of aggression</t>
  </si>
  <si>
    <t>Sum of 2016-17</t>
  </si>
  <si>
    <t>Table code</t>
  </si>
  <si>
    <t>Update frequency</t>
  </si>
  <si>
    <t>Revisions policy</t>
  </si>
  <si>
    <t>Annual</t>
  </si>
  <si>
    <t>Revisions are not anticipated</t>
  </si>
  <si>
    <t>SDA Code</t>
  </si>
  <si>
    <t>S39000001</t>
  </si>
  <si>
    <t>S39000002</t>
  </si>
  <si>
    <t>S39000018</t>
  </si>
  <si>
    <t>S39000003</t>
  </si>
  <si>
    <t>S39000004</t>
  </si>
  <si>
    <t>S39000006</t>
  </si>
  <si>
    <t>S39000007</t>
  </si>
  <si>
    <t>S39000008</t>
  </si>
  <si>
    <t>S39000009</t>
  </si>
  <si>
    <t>S39000010</t>
  </si>
  <si>
    <t>S39000013</t>
  </si>
  <si>
    <t>S39000015</t>
  </si>
  <si>
    <t>S39000017</t>
  </si>
  <si>
    <t>S92000003</t>
  </si>
  <si>
    <t>Not Stated</t>
  </si>
  <si>
    <t>Wholetime and Retained</t>
  </si>
  <si>
    <t>Wholetime and Day</t>
  </si>
  <si>
    <t>Yes Sum of Objects thrown at firefighters/appliances</t>
  </si>
  <si>
    <t>Yes Sum of Physical abuse</t>
  </si>
  <si>
    <t>Yes Sum of Verbal abuse</t>
  </si>
  <si>
    <t>Yes Sum of Other acts of aggression</t>
  </si>
  <si>
    <t>Yes Sum of Total</t>
  </si>
  <si>
    <t>Under 5s</t>
  </si>
  <si>
    <t>5 to 10</t>
  </si>
  <si>
    <t>11 to 16</t>
  </si>
  <si>
    <t>17 to 30</t>
  </si>
  <si>
    <t>31 to 60</t>
  </si>
  <si>
    <t>Over 60</t>
  </si>
  <si>
    <t>All Residents</t>
  </si>
  <si>
    <t>In Year</t>
  </si>
  <si>
    <t>Over Three Years</t>
  </si>
  <si>
    <t>Over Five Years</t>
  </si>
  <si>
    <t>Non-repeat Visits</t>
  </si>
  <si>
    <t>S40000004</t>
  </si>
  <si>
    <t>S40000003</t>
  </si>
  <si>
    <t>S40000005</t>
  </si>
  <si>
    <t>All Uniformed Staff</t>
  </si>
  <si>
    <t>TOTAL</t>
  </si>
  <si>
    <t>1 - Most Deprived 20%</t>
  </si>
  <si>
    <t>5 - Least Deprived 20%</t>
  </si>
  <si>
    <t>1 - Large Urban Areas</t>
  </si>
  <si>
    <t>2 - Other Urban Areas</t>
  </si>
  <si>
    <t>3 - Accessible Small Towns</t>
  </si>
  <si>
    <t>4 - Remote Small Towns</t>
  </si>
  <si>
    <t>5 - Accessible Rural</t>
  </si>
  <si>
    <t>6 - Remote Rural</t>
  </si>
  <si>
    <t>Sum of Hospital / Prison</t>
  </si>
  <si>
    <t>Sum of Care Home</t>
  </si>
  <si>
    <t>Sum of HMO</t>
  </si>
  <si>
    <t>Sum of Hostel</t>
  </si>
  <si>
    <t>Sum of Hotel</t>
  </si>
  <si>
    <t>Sum of Other Sleeping Accommodation</t>
  </si>
  <si>
    <t>Sum of Further Education</t>
  </si>
  <si>
    <t>Sum of Public Building</t>
  </si>
  <si>
    <t>Sum of Licensed Premises</t>
  </si>
  <si>
    <t>Sum of School</t>
  </si>
  <si>
    <t>Sum of Shop</t>
  </si>
  <si>
    <t>Sum of Other Premises Open to Public</t>
  </si>
  <si>
    <t>Sum of Factory or Warehouse</t>
  </si>
  <si>
    <t>Sum of Office</t>
  </si>
  <si>
    <t>Sum of Other Workplace</t>
  </si>
  <si>
    <t>S12000015</t>
  </si>
  <si>
    <t>A</t>
  </si>
  <si>
    <t>B</t>
  </si>
  <si>
    <t>C</t>
  </si>
  <si>
    <t>E</t>
  </si>
  <si>
    <t>F</t>
  </si>
  <si>
    <t>H</t>
  </si>
  <si>
    <t>J</t>
  </si>
  <si>
    <t>K</t>
  </si>
  <si>
    <t>L</t>
  </si>
  <si>
    <t>M</t>
  </si>
  <si>
    <t>N</t>
  </si>
  <si>
    <t>P</t>
  </si>
  <si>
    <t>R</t>
  </si>
  <si>
    <t>S</t>
  </si>
  <si>
    <t>T</t>
  </si>
  <si>
    <t>Sum of A_Tally</t>
  </si>
  <si>
    <t>Sum of A_Hours</t>
  </si>
  <si>
    <t>Sum of B_Tally</t>
  </si>
  <si>
    <t>Sum of B_Hours</t>
  </si>
  <si>
    <t>Sum of Enforcement_Tally</t>
  </si>
  <si>
    <t>Sum of Prohibition_Tally</t>
  </si>
  <si>
    <t>Sum of Enforcement_Hours</t>
  </si>
  <si>
    <t>Sum of Prohibition_Hours</t>
  </si>
  <si>
    <t>Combined Aerial &amp; Pumping</t>
  </si>
  <si>
    <t>Non-Operational Other</t>
  </si>
  <si>
    <t>Operational Other</t>
  </si>
  <si>
    <t>Primarily For Rescue Vehicles</t>
  </si>
  <si>
    <t>Sum of Small Firefighting Vehicles</t>
  </si>
  <si>
    <t>Sum of Primarily For Rescue Vehicles</t>
  </si>
  <si>
    <t>Sum of Operational Other</t>
  </si>
  <si>
    <t>Sum of Combined Aerial &amp; Pumping</t>
  </si>
  <si>
    <t>C18</t>
  </si>
  <si>
    <t>Cprior</t>
  </si>
  <si>
    <t>Non-Op</t>
  </si>
  <si>
    <t>Op</t>
  </si>
  <si>
    <t>All Scotland</t>
  </si>
  <si>
    <t>Sum of VisitAlarmInstalled</t>
  </si>
  <si>
    <t>Sum of VisitAdviceOnly</t>
  </si>
  <si>
    <t>Sum of TotalVisits</t>
  </si>
  <si>
    <t>Sum of TotalAlarms</t>
  </si>
  <si>
    <t>Sum of TotalNewAlarms</t>
  </si>
  <si>
    <t>Sum of TotalReplacedAlarms</t>
  </si>
  <si>
    <t>Sum of Dwellings</t>
  </si>
  <si>
    <t>Sum of VisitsPer100Dwelling</t>
  </si>
  <si>
    <t>Sum of AlarmsPer100Dwelling</t>
  </si>
  <si>
    <t>Sum of Households</t>
  </si>
  <si>
    <t>Sum of VisitsPer100Household</t>
  </si>
  <si>
    <t>Sum of AlarmsPer100Household</t>
  </si>
  <si>
    <t>Premises</t>
  </si>
  <si>
    <t>Sum of M</t>
  </si>
  <si>
    <t>Sum of H</t>
  </si>
  <si>
    <t>Sum of VL</t>
  </si>
  <si>
    <t>Sum of L</t>
  </si>
  <si>
    <t>Sum of VH</t>
  </si>
  <si>
    <t>Sum of 2015-16</t>
  </si>
  <si>
    <t>Sum of 2018-19</t>
  </si>
  <si>
    <t>New Alarms</t>
  </si>
  <si>
    <t>Replaced Alarms</t>
  </si>
  <si>
    <t>Households</t>
  </si>
  <si>
    <t>Alarms Installed</t>
  </si>
  <si>
    <t>Percent of Scottish Housholds Visited</t>
  </si>
  <si>
    <t>Percent of Scottish Households Visited with Alarms Installed</t>
  </si>
  <si>
    <t>Department</t>
  </si>
  <si>
    <t>HFSV - alarms installed</t>
  </si>
  <si>
    <t>ALL STAFF</t>
  </si>
  <si>
    <t>Fire Safety and Organisational Statistics, Scotland</t>
  </si>
  <si>
    <t>Scottish Fire and Rescue Service</t>
  </si>
  <si>
    <t>Fire Safety and Organisational Statistics - Tables and Charts</t>
  </si>
  <si>
    <t xml:space="preserve"> - Fire and Rescue Vehicles</t>
  </si>
  <si>
    <t xml:space="preserve"> - Attacks on Fire and Rescue Personnel</t>
  </si>
  <si>
    <t xml:space="preserve"> - Non-Domestic Fire Safety</t>
  </si>
  <si>
    <t>Please see the most recent Fire Safety and Organisational Statistics publication for commentary on the statistics included in this workbook.</t>
  </si>
  <si>
    <t>Please see the Guidance Notes on Statistics publication for further details on these statistics including definitions and advice on interpretation.</t>
  </si>
  <si>
    <t>This workbook provides statistics on the Scottish Fire and Rescue Service. Covering:</t>
  </si>
  <si>
    <t>Workforce Statistics</t>
  </si>
  <si>
    <t>FTE statistics are rounded after they are calculated.</t>
  </si>
  <si>
    <t>Geographic Reporting Structure</t>
  </si>
  <si>
    <t>Uniformed Staff by Role</t>
  </si>
  <si>
    <t>Volunteer - Number</t>
  </si>
  <si>
    <t>Volunteer - Percent</t>
  </si>
  <si>
    <t>Experimental Statistics introduced in 2018-19</t>
  </si>
  <si>
    <t>Please see the Guidance Notes for Statistics for descriptions of each department.</t>
  </si>
  <si>
    <t>GSS Code</t>
  </si>
  <si>
    <t>The Station Manager category included a small number of staff at Local Authority level, since 2016-17 they have all been reported at Local Senior Officer Area.</t>
  </si>
  <si>
    <t>LA Code</t>
  </si>
  <si>
    <t>LSO Code</t>
  </si>
  <si>
    <t>Scotland total</t>
  </si>
  <si>
    <t>Control Operators are also referred to as Firefighters where appropriate</t>
  </si>
  <si>
    <t>Staff Type by Gender</t>
  </si>
  <si>
    <t>Staff Type by Gender and Role</t>
  </si>
  <si>
    <t>Wholetime Operational (total)</t>
  </si>
  <si>
    <t>Staff Type by Gender Timeseries</t>
  </si>
  <si>
    <t>Staff Type</t>
  </si>
  <si>
    <t>Staff Type by Gender and Role - Full-time Equivalent</t>
  </si>
  <si>
    <t>Staff Type by Age Range - Headcount</t>
  </si>
  <si>
    <t>Staff Type by Age Range - Percentage</t>
  </si>
  <si>
    <t>Control Staff by Role and Geographic Area - Full-time Equivalent</t>
  </si>
  <si>
    <t>Support Staff by Role and Geographic Area - Full-time Equivalent</t>
  </si>
  <si>
    <t>RDS Staff by Role and Geographic Area - Full-time Equivalent</t>
  </si>
  <si>
    <t>Wholetime Operational Staff by Role and Geographic Area - Full-time Equivalent</t>
  </si>
  <si>
    <t>Volunteers by Role and Geographic Area - Headcount</t>
  </si>
  <si>
    <t>Control Staff by Role and Geographic Area  - Headcount</t>
  </si>
  <si>
    <t>Support Staff by Role and Geographic Area -  Headcount</t>
  </si>
  <si>
    <t>Retained Duty Staff by Role and Geographical Area - Headcount</t>
  </si>
  <si>
    <t>Wholetime Operational Staff by Role and Geographical Area - Headcount</t>
  </si>
  <si>
    <t>Staff Type by Department  - Headcount</t>
  </si>
  <si>
    <t>Staff Type by Department - Full Time Equivalent</t>
  </si>
  <si>
    <t>SFRS Headcount by Staff Type</t>
  </si>
  <si>
    <t>SFRS Full-time Equivalent by Staff Type</t>
  </si>
  <si>
    <t>Experimental Statistics introduced in 2017-18</t>
  </si>
  <si>
    <t>Staff Type by Service Length - Percentage</t>
  </si>
  <si>
    <t>Staff Type by Service Length - Headcount</t>
  </si>
  <si>
    <t>This table will retain its 'Experimental' status until 2020</t>
  </si>
  <si>
    <t>Support Staff has been removed from this table due to quality concerns.</t>
  </si>
  <si>
    <t>This table will retain its 'Experimental' status until 2020.</t>
  </si>
  <si>
    <t>Staff Type by Ethnicity - Percentage</t>
  </si>
  <si>
    <t>Staff Type by Disability Status - Percentage</t>
  </si>
  <si>
    <t>Staff Type where Disability Status is Not Known - Percentage</t>
  </si>
  <si>
    <t>Volunteers</t>
  </si>
  <si>
    <t>Reason for Leaving</t>
  </si>
  <si>
    <t>Staff Total (excluding volunteers)</t>
  </si>
  <si>
    <t>Ethnicity</t>
  </si>
  <si>
    <t>New Entrants by Age Range</t>
  </si>
  <si>
    <t>New Entrants by Gender</t>
  </si>
  <si>
    <t>New Entrants by Ethnicity</t>
  </si>
  <si>
    <t>New Entrants by Disability</t>
  </si>
  <si>
    <t>Workforce Leavers by Reason for Leaving</t>
  </si>
  <si>
    <t>These figures present the ratio of staff headcount by disability response to total headcount for each staff group.</t>
  </si>
  <si>
    <t>Headcount by Type of Staffing</t>
  </si>
  <si>
    <t>Full Time Equivalent by Type of Staffing</t>
  </si>
  <si>
    <t>Staff Type by Gender - Headcount</t>
  </si>
  <si>
    <t>Table of Contents</t>
  </si>
  <si>
    <t>Click on a hyperlink to select the corresponding worksheet</t>
  </si>
  <si>
    <t>Topic</t>
  </si>
  <si>
    <t>Full Time Equivalent</t>
  </si>
  <si>
    <t>Metric</t>
  </si>
  <si>
    <t>Staffing Type by Geographic Area - Headcount</t>
  </si>
  <si>
    <t>Staff Type by Geographical Reporting Structure - Headcount</t>
  </si>
  <si>
    <t>Geographic Area</t>
  </si>
  <si>
    <t>Role</t>
  </si>
  <si>
    <t>Gender</t>
  </si>
  <si>
    <t>Service Length</t>
  </si>
  <si>
    <t>Wholetime Operational Staff by Role and Geographical Reporting Structure - Headcount</t>
  </si>
  <si>
    <t>Leavers</t>
  </si>
  <si>
    <t>Disability</t>
  </si>
  <si>
    <t>New Entrants</t>
  </si>
  <si>
    <t>Sum</t>
  </si>
  <si>
    <t>Back to Table of Contents</t>
  </si>
  <si>
    <t>Workforce Tables</t>
  </si>
  <si>
    <t>Workforce Charts</t>
  </si>
  <si>
    <t>Staff Type - Wholetime Operational</t>
  </si>
  <si>
    <t>Staff Type - Retained Duty System</t>
  </si>
  <si>
    <t>Staff Type - Control</t>
  </si>
  <si>
    <t>Staff Type - Support Staff</t>
  </si>
  <si>
    <t>Staff Type - Volunteers</t>
  </si>
  <si>
    <t>&lt;20</t>
  </si>
  <si>
    <t>Fire Stations by Primary Crewing Type</t>
  </si>
  <si>
    <t>Day-Crewed</t>
  </si>
  <si>
    <t>Fire Stations by Station Crewing Model</t>
  </si>
  <si>
    <t>Fire Station Statistics</t>
  </si>
  <si>
    <t>Fire Stations by Primary Crewing Type and Local Authority</t>
  </si>
  <si>
    <t>Fire Stations by Crewing Model and Local Authority</t>
  </si>
  <si>
    <t>Fire Station Types</t>
  </si>
  <si>
    <t>Map of Fire Stations by Type</t>
  </si>
  <si>
    <t>Attacks on SFRS Personnel Statistics</t>
  </si>
  <si>
    <t>Objects Thrown</t>
  </si>
  <si>
    <t>Physical Abuse</t>
  </si>
  <si>
    <t>Verbal Abuse</t>
  </si>
  <si>
    <t>Other Acts of Aggression</t>
  </si>
  <si>
    <t>Incidents</t>
  </si>
  <si>
    <t>Incidents resulting in injuries</t>
  </si>
  <si>
    <t>Two previous years are revised at each update</t>
  </si>
  <si>
    <t>Attacks on SFRS Personnel by Type of Attack</t>
  </si>
  <si>
    <t>Attacks on SFRS Personnel Resulting in Injuries by Type of Attack</t>
  </si>
  <si>
    <t>Home Fire Safety Visit Statistics</t>
  </si>
  <si>
    <t>One Year is revised at each update</t>
  </si>
  <si>
    <t>Home Fire Safety Visits (HFSV) by Outcome and Smoke Alarms Installed</t>
  </si>
  <si>
    <t>Home Fire Safety Visits to Distinct Properties</t>
  </si>
  <si>
    <t>Home Fire Safety Visits with Alarms Installed in Distinct Properties</t>
  </si>
  <si>
    <t>Distinct Properties Visited</t>
  </si>
  <si>
    <t>In One Year</t>
  </si>
  <si>
    <t>Percentage of Non-repeat Visits</t>
  </si>
  <si>
    <t>Distinct Properties Visited where Alarms were Installed</t>
  </si>
  <si>
    <t>Percentage of Scottish Households visited in Home Fire Safety Visits</t>
  </si>
  <si>
    <t>Percentage of Scottish Population living in Households who had a HFSV</t>
  </si>
  <si>
    <t>Home Fire Safety Visits by Deprivation of Area</t>
  </si>
  <si>
    <t>Home Fire Safety Visits by SIMD Quintile</t>
  </si>
  <si>
    <t>Rate of Home Fire Safety Visits per 100 Occupied Dwellings by SIMD Quintile</t>
  </si>
  <si>
    <t>HFSVs by Urban Rural 6 Fold Category</t>
  </si>
  <si>
    <t>Home Fire Safety Visits by Rurality</t>
  </si>
  <si>
    <t>Rate of HFSVs per 100 Occupied Dwellings by Urban Rural 6 Fold Category</t>
  </si>
  <si>
    <t>Rate of Alarms Installed</t>
  </si>
  <si>
    <t>Percentage of Scottish Households</t>
  </si>
  <si>
    <t>Percentage of Households</t>
  </si>
  <si>
    <t>Total Alarms Installed</t>
  </si>
  <si>
    <t>Total HFSVs</t>
  </si>
  <si>
    <t>Home Fire Safety Visits by Outcome</t>
  </si>
  <si>
    <t>Home Fire Safety Visits Statistics</t>
  </si>
  <si>
    <t>Rate of Home Fire Safety Visits by Age Group of Residents</t>
  </si>
  <si>
    <t>Rate of Home Fire Safety Visits by Rurality</t>
  </si>
  <si>
    <t>Rate of Home Fire Safety Visits by Local Authority</t>
  </si>
  <si>
    <t>Non-domestic Fire Safety Workflows</t>
  </si>
  <si>
    <t>Non-domestic Fire Safety Statistics</t>
  </si>
  <si>
    <t>Non-domestic Fire Safety Audits by Premises Type</t>
  </si>
  <si>
    <t>Other Premises open to Public</t>
  </si>
  <si>
    <t>House of Multiple Occupation (HMO)</t>
  </si>
  <si>
    <t>HMO stands for Houses in Multiple Occupation</t>
  </si>
  <si>
    <t>-</t>
  </si>
  <si>
    <t>Audit - Broadly Compliant</t>
  </si>
  <si>
    <t>Audit - Notable Deficiencies</t>
  </si>
  <si>
    <t>Percentage Broadly Compliant</t>
  </si>
  <si>
    <t>Audits by Outcome and Average Time for Completion</t>
  </si>
  <si>
    <t>Audits by Outcome and Average Time for Completion, by Premises Type</t>
  </si>
  <si>
    <t>Notices Issued by Type</t>
  </si>
  <si>
    <t>This table was introduced in 2017-18 to provide details of the number of formal Notices issued within the financial year. This contrasts with the number of workflows completed each year which in the Audits Outcome tab.</t>
  </si>
  <si>
    <t>Please see Guidance Notes for detailed discussion.</t>
  </si>
  <si>
    <t>Audits by Outcome and Average Time for Completion, by Local Authority</t>
  </si>
  <si>
    <t>Audits by Risk Recorded</t>
  </si>
  <si>
    <t>Very Low</t>
  </si>
  <si>
    <t>Low</t>
  </si>
  <si>
    <t>Medium</t>
  </si>
  <si>
    <t>High</t>
  </si>
  <si>
    <t>Very High</t>
  </si>
  <si>
    <t>Audits by Risk Recorded - Percentage in Each Premises Type</t>
  </si>
  <si>
    <t>Non-domestic Workflows</t>
  </si>
  <si>
    <t>Audits by Premises Type and Risk</t>
  </si>
  <si>
    <t>Fire and Rescue Vehicles Statistics</t>
  </si>
  <si>
    <t>Fire and Rescue Vehicles by Type</t>
  </si>
  <si>
    <t>Total Appliances</t>
  </si>
  <si>
    <t>Resilience Appliances</t>
  </si>
  <si>
    <t>Other Fleet Vehicles (excl. Officer Response Vehicles)</t>
  </si>
  <si>
    <t>Fire and Rescue Vehicles by Type, by Local Authority</t>
  </si>
  <si>
    <t>Attacks Related to Operational Incidents</t>
  </si>
  <si>
    <t>Attacks Not Related to Operational Incidents</t>
  </si>
  <si>
    <t>Attacks Related to Operational Incidents by Local Authority</t>
  </si>
  <si>
    <t>Home Fire Safety Visits (HFSV) by Outcome and Smoke Alarms Installed - Percentage and Rate</t>
  </si>
  <si>
    <t>Percentage of Scottish Households with Alarms Installed in Home Fire Safety Visits</t>
  </si>
  <si>
    <t>Residents of Households Visited in Home Fire Safety Visits by Age Range - Percentage of Population</t>
  </si>
  <si>
    <t>Residents of Households Visited in Home Fire Safety Visits by Age Range</t>
  </si>
  <si>
    <t>Home Fire Safety Visits by Deprivation of Area - Percentage of Occupied Dwellings</t>
  </si>
  <si>
    <t>Home Fire Safety Visits (HFSV) by Outcome and Smoke Alarms Installed, by Local Authority</t>
  </si>
  <si>
    <t>Home Fire Safety Visits by Rurality - Percentage of Occupied Dwellings</t>
  </si>
  <si>
    <t>Home Fire Safety Visits (HFSV) Percentage of Scottish Households</t>
  </si>
  <si>
    <t>Non-domestic Fire Safety Audits by Premises Type, by Local Authority</t>
  </si>
  <si>
    <t>Crewing Model</t>
  </si>
  <si>
    <t>Primary Crewing Type</t>
  </si>
  <si>
    <t>Fire Station Charts</t>
  </si>
  <si>
    <t>Primary Crewing Type and Crewing Model</t>
  </si>
  <si>
    <t>Map</t>
  </si>
  <si>
    <t>Fire and Rescue Vehicles</t>
  </si>
  <si>
    <t>Type of Vehicle</t>
  </si>
  <si>
    <t>Attacks on SFRS Personnel</t>
  </si>
  <si>
    <t>Related to Operational Incidents</t>
  </si>
  <si>
    <t>Not Related to Operational Incidents</t>
  </si>
  <si>
    <t>Attacks on SFRS Personnel Charts</t>
  </si>
  <si>
    <t>Type of Attack Resulting in Injuries</t>
  </si>
  <si>
    <t>Home Fire Safety Visits</t>
  </si>
  <si>
    <t>Residents of Households Visited</t>
  </si>
  <si>
    <t>Home Fire Safety Visit Charts</t>
  </si>
  <si>
    <t>Outcome</t>
  </si>
  <si>
    <t>Rurality</t>
  </si>
  <si>
    <t>Outcome and Smoke Alarms Installed</t>
  </si>
  <si>
    <t>Distinct Properties</t>
  </si>
  <si>
    <t>Households Visited</t>
  </si>
  <si>
    <t>Deprivation</t>
  </si>
  <si>
    <t>Home Fire Safety Visits (HFSV) by Outcome and Smoke Alarms Installed, by Local Authority - Percentage</t>
  </si>
  <si>
    <t>Home Fire Safety Visits (HFSV) by Outcome, by Local Authority - Percentage of Households</t>
  </si>
  <si>
    <t>Non-domestic Fire Safety</t>
  </si>
  <si>
    <t>Workflows</t>
  </si>
  <si>
    <t>Risk</t>
  </si>
  <si>
    <t>Premises Type</t>
  </si>
  <si>
    <t>Outcome and Time for Completion</t>
  </si>
  <si>
    <t>Notices Issued</t>
  </si>
  <si>
    <t>Non-domestic Fire Safety Charts</t>
  </si>
  <si>
    <t>Category</t>
  </si>
  <si>
    <t xml:space="preserve"> Resilience Appliances</t>
  </si>
  <si>
    <t>Link</t>
  </si>
  <si>
    <t>link</t>
  </si>
  <si>
    <t>Reporting Structure</t>
  </si>
  <si>
    <t>GRS1</t>
  </si>
  <si>
    <t>FS_CM1</t>
  </si>
  <si>
    <t>FS_CMLA1</t>
  </si>
  <si>
    <t>FS_PC1</t>
  </si>
  <si>
    <t>FS_PCLA1</t>
  </si>
  <si>
    <t>C_FS_P1</t>
  </si>
  <si>
    <t>C_FS_M1</t>
  </si>
  <si>
    <t>FL_LA1</t>
  </si>
  <si>
    <t>FL_TY1</t>
  </si>
  <si>
    <t>Disability - Not Known</t>
  </si>
  <si>
    <t>C_FS_LAB1</t>
  </si>
  <si>
    <t>WF_STH1</t>
  </si>
  <si>
    <t>WF_STF1</t>
  </si>
  <si>
    <t>WF_STDEF1</t>
  </si>
  <si>
    <t>WF_STDEH1</t>
  </si>
  <si>
    <t>WF_STRSH1</t>
  </si>
  <si>
    <t>WF_STGAH1</t>
  </si>
  <si>
    <t>WF_STRH1</t>
  </si>
  <si>
    <t>WF_STRRSH1</t>
  </si>
  <si>
    <t>WF_WRGAH1</t>
  </si>
  <si>
    <t>WF_RRGH1</t>
  </si>
  <si>
    <t>C_WF_STH1</t>
  </si>
  <si>
    <t>C_WF_STF1</t>
  </si>
  <si>
    <t>C_WF_STGH1</t>
  </si>
  <si>
    <t>C_WF_STARH1</t>
  </si>
  <si>
    <t>AT_ROIS1</t>
  </si>
  <si>
    <t>AT_NOIS1</t>
  </si>
  <si>
    <t>AT_ROILAS1</t>
  </si>
  <si>
    <t>C_ATS1</t>
  </si>
  <si>
    <t>C_ATIS1</t>
  </si>
  <si>
    <t>Rate of Households</t>
  </si>
  <si>
    <t>C_HV_OS1</t>
  </si>
  <si>
    <t>C_HV_AIS1</t>
  </si>
  <si>
    <t>C_HV_RURP1</t>
  </si>
  <si>
    <t>C_HV_RESP1</t>
  </si>
  <si>
    <t>C_HV_LAP1</t>
  </si>
  <si>
    <t>C_ND_WS1</t>
  </si>
  <si>
    <t>C_ND_RS1</t>
  </si>
  <si>
    <t>WF_CRGH1</t>
  </si>
  <si>
    <t>WF_SRGH1</t>
  </si>
  <si>
    <t>WF_VRGH1</t>
  </si>
  <si>
    <t>WF_WRGF1</t>
  </si>
  <si>
    <t>WF_RRGF1</t>
  </si>
  <si>
    <t>WF_CRGF1</t>
  </si>
  <si>
    <t>WF_SRGF1</t>
  </si>
  <si>
    <t>WF_STGH1</t>
  </si>
  <si>
    <t>WF_STG2H1</t>
  </si>
  <si>
    <t>WF_STGRH1</t>
  </si>
  <si>
    <t>WF_STGRF1</t>
  </si>
  <si>
    <t>WF_STARH1</t>
  </si>
  <si>
    <t>WF_STARP1</t>
  </si>
  <si>
    <t>WF_STSLH1</t>
  </si>
  <si>
    <t>WF_STSLP1</t>
  </si>
  <si>
    <t>WF_STETP1</t>
  </si>
  <si>
    <t>WF_STDIP1</t>
  </si>
  <si>
    <t>WF_STDNP1</t>
  </si>
  <si>
    <t>WF_NEARS1</t>
  </si>
  <si>
    <t>WF_NEGS1</t>
  </si>
  <si>
    <t>WF_NEETP1</t>
  </si>
  <si>
    <t>WF_NEDIP1</t>
  </si>
  <si>
    <t>WF_LERLP1</t>
  </si>
  <si>
    <t>HV_OS1</t>
  </si>
  <si>
    <t>HV_OR1</t>
  </si>
  <si>
    <t>HV_HR1</t>
  </si>
  <si>
    <t>HV_DPS1</t>
  </si>
  <si>
    <t>HV_DPAIS1</t>
  </si>
  <si>
    <t>HV_DPP1</t>
  </si>
  <si>
    <t>HV_DPAIP1</t>
  </si>
  <si>
    <t>HV_RESARS1</t>
  </si>
  <si>
    <t>HV_RESARP1</t>
  </si>
  <si>
    <t>HV_DEPS1</t>
  </si>
  <si>
    <t>HV_DEPP1</t>
  </si>
  <si>
    <t>HV_RURS1</t>
  </si>
  <si>
    <t>HV_RURP1</t>
  </si>
  <si>
    <t>HV_OLAS1</t>
  </si>
  <si>
    <t>HV_OLAP1</t>
  </si>
  <si>
    <t>HV_OLAR1</t>
  </si>
  <si>
    <t>ND_WS1</t>
  </si>
  <si>
    <t>ND_APTS1</t>
  </si>
  <si>
    <t>ND_APTLA1</t>
  </si>
  <si>
    <t>ND_OTS1</t>
  </si>
  <si>
    <t>ND_OTPTS1</t>
  </si>
  <si>
    <t>ND_OTPTLAS1</t>
  </si>
  <si>
    <t>ND_NIS1</t>
  </si>
  <si>
    <t>ND_ARS1</t>
  </si>
  <si>
    <t>ND_ARP1</t>
  </si>
  <si>
    <t>There are five station crewing models in use in Scotland. These aggregate into the three primary crewing types which are also published. Please see the Guidance Notes publication for definitions and further details.</t>
  </si>
  <si>
    <t>Stations which operate with more than one crewing model are counted in the category with the highest level of cover. Please see the Guidance Notes document for definitions and further details.</t>
  </si>
  <si>
    <t>Chart Code</t>
  </si>
  <si>
    <t>It was not possible to publish data on the number of fire boats in 2013-14. The total appliances figure is consequently lower than other years, this is provided for information and should not be used for comparison between years.</t>
  </si>
  <si>
    <t>The Resilience Appliances figure for 2015-16 is an undercount. Year-to-year comparison in both the Resilience and Other Operational categories is not recommended. The issue stems from a mismatch between the CIPFA categories and those recorded on the national fleet system. This longstanding issue has led to variation in definitions prior to the formation of SFRS. Subsequently, while efforts have been made to mitigate this issue, it is still challenging to match these categories.</t>
  </si>
  <si>
    <t>It was not possible to backdate the Officer Response Vehicles or Other Vehicles categories as we can not determine, according to the CIPFA guidelines,  which cars were used operationaly in 2016-17 or previously. The figure for 2017-18 should be considered a foor value as this was mid way through the rollout of an officer provided car scheme. The count for 2018-19 should also be considered a lower estimate albeit more robust.</t>
  </si>
  <si>
    <t>Department' is not a term used internally by SFRS, rather SFRS is split into Directorates, Units and Functions. These departments are a merger of internal structures which have been produced for clarity.</t>
  </si>
  <si>
    <t>- in cells indicates where area breakdown by staff type is not applicable.</t>
  </si>
  <si>
    <t>Staff counts are provided at the geographic area appropriate for the staff type and position in the SFRS working structure. For example wholetime operational staff crewing an appliance in a fire station are reported at local authority while wholetime operational staff who work in prevention would report at Local Senior Officer Area as their work relates to that geographic area. Support staff are reported at a Service Delivery Area level where their work relates to that geography and reported nationally otherwise.</t>
  </si>
  <si>
    <t>The Brigade Manager category had included Deputy Assistant Chief Officers (DACOs) in 2014-15 and 2015-16, these are now counted in the Area manager category. This change could not be backdated.</t>
  </si>
  <si>
    <t>The Station Manager category formerly included a small number of staff at Local Authority level, since 2016-17 they have all been reported at Local Senior Officer Area.</t>
  </si>
  <si>
    <t>Support staff are reported at either Service Delivery Area or nationally for these statistics. Reporting at Senior Officer Area has been trialled in previous years however the SFRS support staff structure does not fit well with repoting at that geographic level and so has been removed.</t>
  </si>
  <si>
    <t>Please note that support staff category definitions are not as consistently applied as uniformed role categories.</t>
  </si>
  <si>
    <t>There were 12 volunteers whose age was not known in 2015-16, they have been excluded from the figures.</t>
  </si>
  <si>
    <t>Scotland (total)</t>
  </si>
  <si>
    <t>These figures present the ratio of staff headcount where a disability has been recorded, to the total headcount for each staff group.</t>
  </si>
  <si>
    <t>These figures present the ratio of staff headcount where SFRS does not know a disability status, to the total headcount for each staff group. Please note this does not include staff who have a record showing no disability.</t>
  </si>
  <si>
    <t>This table presents the age range of people who joined SFRS in 2018-19. Please note that the difference between those who joined SFRS and those who left is not the same as the change in headcount. It is possible for people to have multiple roles and staff already in the SFRS database will not be counted in these figures.</t>
  </si>
  <si>
    <t>Please note that the difference between those who joined SFRS and those who left is not the same as the change in headcount. It is possible for people to have multiple roles and staff already in the SFRS database will not be counted in these figures.</t>
  </si>
  <si>
    <t>This table presents the reason recorded for those who left SFRS in 2018-19. Please note that the difference between those who joined SFRS and those who left is not the same as the change in headcount. Staff are recorded as leaving when they are no longer in a post with SFRS.</t>
  </si>
  <si>
    <t>Percentages are based on a headcount which is the average of the figure published at the end of the previous financial year and the end of the current one.</t>
  </si>
  <si>
    <t>An attack on SFRS personnel is recorded as 'Related to Operational Incidents' if it occurred on the way to, at the scene of, or returning from an operational incident, or affects Control Room staff responding to emergency calls.</t>
  </si>
  <si>
    <t>An attack on SFRS personnel is recorded as 'not Related to Operational Incidents' if it did not occur on the way to, during or returning from an operational incident, and did not affect Control Room staff responding to emergency calls.</t>
  </si>
  <si>
    <t>A systematic error in the smoke alarms data used for these statistics was discovered in 2018-19; this caused an overestimation of the number of smoke alarms installed between the years 2013-14 and 2018-19 by an average of 29%. This has now been corrected. All home fire safety visit statistics for these years have also been revised. Please see the Statistical News publication for further discussion.</t>
  </si>
  <si>
    <t>The smoke alarm figures publsihed should be considered a lower estimate as it has not been possible to fully resolve a data quality issue. Please see Guidance Notes for further details.</t>
  </si>
  <si>
    <t>Light greyed cells have quality issues that should be considered before using the statistics.</t>
  </si>
  <si>
    <t>All home fire safety visit statistics publied since 2013-14 were revised in 2018-19.</t>
  </si>
  <si>
    <r>
      <t xml:space="preserve">Household data comes from </t>
    </r>
    <r>
      <rPr>
        <i/>
        <sz val="11"/>
        <rFont val="Calibri"/>
        <family val="2"/>
        <scheme val="minor"/>
      </rPr>
      <t>National Records of Scotland, Estimates of Households and Dwellings in Scotland</t>
    </r>
  </si>
  <si>
    <t>https://www.nrscotland.gov.uk/statistics-and-data/statistics/statistics-by-theme/households/household-estimates</t>
  </si>
  <si>
    <t>Non-repeat visits are those where the premises was not visited in the previous three years.</t>
  </si>
  <si>
    <t>A small proportion of home fire safety visits are to properties which were previously visited within the year. This table provides figures of the numbers of distinct properties visited in a one year, three year and five year period.</t>
  </si>
  <si>
    <t>A small proportion of home fire safety visits are to properties which were previously visited within the year. This table provides figures of the numbers of distinct properties visited in a one year, three year and five year period where smoke alarms were installed.</t>
  </si>
  <si>
    <t>These statistics are based on the number of distinct properties visited by SFRS over one year, three years and five years compared to the National Records of Scotland published Households statistics.</t>
  </si>
  <si>
    <t>These statistics are based on the number of distinct properties visited by SFRS over one year, three years and five years where smoke alarms were installed compared to the National Records of Scotland published Households statistics.</t>
  </si>
  <si>
    <t>This table presents aggregate figures of the residents of households visited. Where two people live in a household where one is aged 31 to 60 and the other aged over 60 then each person would be included in the appropriate total in this table regardless of whether they were in the home at the time of the visit. The total therefore provides the sum of all of the residents of every household which had a home fire safety visit.</t>
  </si>
  <si>
    <t>This table presents aggregate figures of the residents of households visited compared to the population of Scotland in each age range. In other words this is the percentage of the Scottish population who live in housholds which had a home fire safety visit by age range.</t>
  </si>
  <si>
    <r>
      <t xml:space="preserve">Population statistics are sourced from the National Records of Scotland </t>
    </r>
    <r>
      <rPr>
        <i/>
        <sz val="11"/>
        <color theme="1"/>
        <rFont val="Calibri"/>
        <family val="2"/>
        <scheme val="minor"/>
      </rPr>
      <t>Mid-year Population Estimates</t>
    </r>
  </si>
  <si>
    <t>https://www.nrscotland.gov.uk/statistics-and-data/statistics/statistics-by-theme/population/population-estimates/mid-year-population-estimates</t>
  </si>
  <si>
    <t>https://www2.gov.scot/Topics/Statistics/SIMD</t>
  </si>
  <si>
    <t>This table provides the number of home fire safety visits by the Scottish Index of Multiple Deprivation quintiles where 1 is the 20% most deprived areas and 5 is the 20% least deprived areas.</t>
  </si>
  <si>
    <t>All years will be revised at the next update</t>
  </si>
  <si>
    <t>This table provides the number of home fire safety visits by the Scottish Government published Urban-Rural 6 Fold index.</t>
  </si>
  <si>
    <t>This table provides the rate of home fire safety visits per 100 Occupied Dwellings, by the Scottish Index of Multiple Deprivation quintiles where 1 is the 20% most deprived areas and 5 is the 20% least deprived areas.</t>
  </si>
  <si>
    <t>https://www.nrscotland.gov.uk/statistics-and-data/statistics/statistics-by-theme/households/household-estimates/small-area-statistics-on-households-and-dwellings</t>
  </si>
  <si>
    <t>https://www2.gov.scot/Topics/Statistics/About/Methodology/UrbanRuralClassification</t>
  </si>
  <si>
    <t>This table provides the rate of home fire safety visits per 100 Occupied Dwellings, by the Scottish Government published Urban-Rural 6 Fold index.</t>
  </si>
  <si>
    <t>The number of Enforcement and Prohibition Notices provided is the count of workflows fully completed rather than the count of notices issued within the financial year. Workflows which require Formal Notices can take years to fully complete. We also publish a table on notices issued by financial year.</t>
  </si>
  <si>
    <t>The number of Enforcement and Prohibition Notices provided is the count of workflows fully completed rather than the count of notices issued within the financial year. Workflows which require formal Notices can take years to fully complete. We also publish a table on the number of Formal Notices issued by financial year.</t>
  </si>
  <si>
    <t>Prohibition Notices may be issued without having first completed an audit, they are therefore recorded as Site Visits rather than Audits and are presented here for reader interest.</t>
  </si>
  <si>
    <t>We have withdrawn the formerly published risk statistics due to concerns around the methodology used. Please see the Statistical News bulletin or Guidance Notes for further details. We instead present risk statistics based on the results of the SFRS risk heuristic, we hve backdated to 2014-15.</t>
  </si>
  <si>
    <t>Please note that risks should only be compared within category, i.e. a medium risk hotel does not contain the same risk as a medium risk shop.</t>
  </si>
  <si>
    <t>Scotland (excluding boats)</t>
  </si>
  <si>
    <t xml:space="preserve"> - Geographic Reporting Structure</t>
  </si>
  <si>
    <t>31 August 2020</t>
  </si>
  <si>
    <t>Retained Full Time</t>
  </si>
  <si>
    <t>2019-20</t>
  </si>
  <si>
    <t>RDS Fulltime</t>
  </si>
  <si>
    <t>Stirling, Clackmannanshire and Fife</t>
  </si>
  <si>
    <t>Sum of 2019-20</t>
  </si>
  <si>
    <t>Capabilities</t>
  </si>
  <si>
    <t>Target Crewing Level</t>
  </si>
  <si>
    <t>Duty System</t>
  </si>
  <si>
    <t>Operational Crewing</t>
  </si>
  <si>
    <t>Incident Command Officers</t>
  </si>
  <si>
    <t>Wholetime Operational Staff by Duty System - Headcount</t>
  </si>
  <si>
    <t>Office Duties</t>
  </si>
  <si>
    <t>Trainees</t>
  </si>
  <si>
    <t>Sum of RDS Fulltime</t>
  </si>
  <si>
    <t>Rate of Home Fire Safety Visits by SIMD</t>
  </si>
  <si>
    <t>Visits</t>
  </si>
  <si>
    <t>pcAlarmsFitted</t>
  </si>
  <si>
    <t>Sum of pcAlarmsFitted</t>
  </si>
  <si>
    <t>SIMD2020_Quintile</t>
  </si>
  <si>
    <t>WithAlarmsFitted</t>
  </si>
  <si>
    <t>RateAlarmsFittedper100OccupiedDwellings</t>
  </si>
  <si>
    <t>Sum of RateAlarmsFittedper100OccupiedDwellings</t>
  </si>
  <si>
    <t>OccupiedDwellings</t>
  </si>
  <si>
    <t>conduct many more visits in deprived areas</t>
  </si>
  <si>
    <t>lower rate of alarms installed per visit</t>
  </si>
  <si>
    <t>similar rate of alarms fitted per occupied dwellings though</t>
  </si>
  <si>
    <t>Owner occupied removes the disparity in alarms fitted rate. ~ half of visits result in alarms fitted everywhere. All have improved in recent years</t>
  </si>
  <si>
    <t>Tenure</t>
  </si>
  <si>
    <t>Housing Association</t>
  </si>
  <si>
    <t>Not Known</t>
  </si>
  <si>
    <t>Owner Occupier</t>
  </si>
  <si>
    <t>Private Let</t>
  </si>
  <si>
    <t>New Tables</t>
  </si>
  <si>
    <t>Alarms installed by deprivation</t>
  </si>
  <si>
    <t>+per100dwellings</t>
  </si>
  <si>
    <t>+pcalarms fitted</t>
  </si>
  <si>
    <t>+owner occupied alarms fitted</t>
  </si>
  <si>
    <t>more deprived areas have far more visits of other types</t>
  </si>
  <si>
    <t>Column1</t>
  </si>
  <si>
    <t>Fire Engineering Consultation</t>
  </si>
  <si>
    <t>Day</t>
  </si>
  <si>
    <t>Firefighting Capabilities</t>
  </si>
  <si>
    <t>Water Pumping</t>
  </si>
  <si>
    <t>Tactical Ability within Water Pumping</t>
  </si>
  <si>
    <t>1 Pump</t>
  </si>
  <si>
    <t>2 Pumps</t>
  </si>
  <si>
    <t>3 Pumps</t>
  </si>
  <si>
    <t>Rapid Response Unit</t>
  </si>
  <si>
    <t>High Volume Pump</t>
  </si>
  <si>
    <t>Water Carrier</t>
  </si>
  <si>
    <t>Marine</t>
  </si>
  <si>
    <t>Foam</t>
  </si>
  <si>
    <t>Wildfire</t>
  </si>
  <si>
    <t>Specialist Capabilities</t>
  </si>
  <si>
    <t>Flooding</t>
  </si>
  <si>
    <t>Swift Water Response</t>
  </si>
  <si>
    <t>Environ-mental Protection Unit</t>
  </si>
  <si>
    <t>Hazmat Support Unit</t>
  </si>
  <si>
    <t>High Reach Rescue</t>
  </si>
  <si>
    <t>Rope Rescue</t>
  </si>
  <si>
    <t>Urban Search and Rescue</t>
  </si>
  <si>
    <t>Heavy Rescue</t>
  </si>
  <si>
    <t>Prime Mover Unit</t>
  </si>
  <si>
    <t>Command Support Unit</t>
  </si>
  <si>
    <t>Detection, Identification and Monitoring Unit</t>
  </si>
  <si>
    <t>Mass Decontamination</t>
  </si>
  <si>
    <t>Welfare</t>
  </si>
  <si>
    <t>Ballistic Protection</t>
  </si>
  <si>
    <t>Target Crewing Level By Type</t>
  </si>
  <si>
    <t>DD</t>
  </si>
  <si>
    <t>FDS</t>
  </si>
  <si>
    <t>RBC</t>
  </si>
  <si>
    <t>WT Trainee</t>
  </si>
  <si>
    <t>Owner Occupied</t>
  </si>
  <si>
    <t>The statistics included in this workbook are classed as Official Statistics. This means that they were produced in complinance with the Code of Practice for Statistics and without political interference.</t>
  </si>
  <si>
    <t>Updates are published annually in this workbook, please source statistics from the latest version.</t>
  </si>
  <si>
    <t>SFRS Local Senior Officer Area</t>
  </si>
  <si>
    <t>Formal Local Senior Officer Area</t>
  </si>
  <si>
    <t>Council</t>
  </si>
  <si>
    <t>LACode</t>
  </si>
  <si>
    <t>SFRSLSO</t>
  </si>
  <si>
    <t>LSOCode</t>
  </si>
  <si>
    <t>SDACode</t>
  </si>
  <si>
    <t>This table maps the geographic areas in the SFRS organisational structure. The 32 Local Authority Areas are mapped to the 17 Formal Local Senior Officer Areas, th 16 Local Senior Officer Areas in use by SFRS, and 3 Service Delivery Areas.</t>
  </si>
  <si>
    <t>Please note that in 2019-20 SFRS merged the 'Stirling and Clackmannanshire' and 'Fife' LSO areas to form the new 'Stirling, Clackmannanshire and Fife' area. This new area does not have a formal geographical code. The workforce section of these statistics is based on the administrative areas used by SFRS rather than the formal geographies.</t>
  </si>
  <si>
    <t>This table was first introduced in 2018-19 and was classed as 'Experimental', this designation has now been withdrawn.</t>
  </si>
  <si>
    <t>We have implemented a methodology change for counting Fire Stations which results in the number of volunteer stations increasing by 1 to 43. This change has been backdated. This follows user consultation in 2019.</t>
  </si>
  <si>
    <t>Experimental Statistics introduced in 2019-20</t>
  </si>
  <si>
    <t>Day crewing is wholetime during the day and retained at night.</t>
  </si>
  <si>
    <t>Wholetime crewing involves 24 hour cover.</t>
  </si>
  <si>
    <t>Retained is on-call cover. This kind of crewing uses pooled resources within individual stations.</t>
  </si>
  <si>
    <t>Volunteer crewing does not involve agreed periods of on-call cover.</t>
  </si>
  <si>
    <t>Stations with Tactical Capabilities</t>
  </si>
  <si>
    <t>Total Tactical Capabilities</t>
  </si>
  <si>
    <t>Stations with Specialist Capabilities</t>
  </si>
  <si>
    <t>Total Specialist Capabilities</t>
  </si>
  <si>
    <t>Capabilities can be determined both by the presence of equipment or vehicles, and trained personnel.</t>
  </si>
  <si>
    <t>A single crew can be trained and resourced for multiple capabilites which are mobiliesed based on need, this 'Dual Crewing' is common place.</t>
  </si>
  <si>
    <t>High Reach Rescue vehicles, while a specialist capability in their own right, can also be used as a tactical capabiltiy in firefighting where water is pumped down onto a fire from height.</t>
  </si>
  <si>
    <t>FS_TCL1</t>
  </si>
  <si>
    <t>FS_CAP1</t>
  </si>
  <si>
    <t>Fire Stations and Capabilities</t>
  </si>
  <si>
    <t xml:space="preserve"> - Fire Stations and Capabilities</t>
  </si>
  <si>
    <t>Fire Station Capabilities</t>
  </si>
  <si>
    <t>SFRS Fleet data is administed principally for the purpose of managing the lifecycle and maintenance of vehicles. Identifying vehicles as operational, reserve or training is conducted as accurately as possible but may not be exact. Please see station capabilites for details of what is available for operational response.</t>
  </si>
  <si>
    <t>In 2020 we introduced a new staff type, Retained Full-time. This staff group work in areas with a cluster of Retained Duty System stations and supplement the local on-call cover, as well as conduct local community engagement.</t>
  </si>
  <si>
    <t>Retained Full-time</t>
  </si>
  <si>
    <t>Staff on Office Duties includes those working in Fire Investigation and Fire Safety Enforcement as well as those involved in planning and in other departments.</t>
  </si>
  <si>
    <t>1:LA Total</t>
  </si>
  <si>
    <t>2:LSO Total</t>
  </si>
  <si>
    <t>3:SDA Total</t>
  </si>
  <si>
    <t>4:National Total</t>
  </si>
  <si>
    <t>Sum of RBC</t>
  </si>
  <si>
    <t>Sum of FDS</t>
  </si>
  <si>
    <t>Sum of DD</t>
  </si>
  <si>
    <t>Sum of WT Trainee</t>
  </si>
  <si>
    <t>Wholetime Operational Staff by Duty System and Local Authority - Headcount</t>
  </si>
  <si>
    <t>Brigade Commander</t>
  </si>
  <si>
    <t>Area Commander</t>
  </si>
  <si>
    <t>Group Commander</t>
  </si>
  <si>
    <t>Station Commander</t>
  </si>
  <si>
    <t>Watch Commander</t>
  </si>
  <si>
    <t>Crew Commander</t>
  </si>
  <si>
    <t>The Brigade Commander category had included Deputy Assistant Chief Officers (DACOs) in 2014-15 and 2015-16, these are now counted in the Area Commander category. This change could not be backdated.</t>
  </si>
  <si>
    <t>The staff role category names were changed in 2020 from 'Manager' to 'Commander' as SFRS changed this language internally, this ensures consistency of language in describing Uniformed Staff Roles in Scotland. There has been no change to the definitions of the roles and they remain comparable with categories used elsewhere, e.g. Area Commander is synonymous with Area Manager.</t>
  </si>
  <si>
    <t>Operational Crews</t>
  </si>
  <si>
    <t>Sum of Brigade Commander</t>
  </si>
  <si>
    <t>Sum of Area Commander</t>
  </si>
  <si>
    <t>Sum of Group Commander</t>
  </si>
  <si>
    <t>Sum of Station Commander</t>
  </si>
  <si>
    <t>Sum of Watch Commander</t>
  </si>
  <si>
    <t>Sum of Crew Commander</t>
  </si>
  <si>
    <t>It was not possible to backdate Ethnicity figures for Retained Full-time staff to their inception in 2017-18.</t>
  </si>
  <si>
    <t>It was not possible to backdate Disability figures for Retained Full-time staff to their inception in 2017-18.</t>
  </si>
  <si>
    <t>Disabled</t>
  </si>
  <si>
    <t>Not Disabled</t>
  </si>
  <si>
    <t>Dismissal</t>
  </si>
  <si>
    <t>End of contract</t>
  </si>
  <si>
    <t>Resignation</t>
  </si>
  <si>
    <t>Retirement - 30 Years Service</t>
  </si>
  <si>
    <t>Retirement - Age</t>
  </si>
  <si>
    <t>Retirement - Early</t>
  </si>
  <si>
    <t>Retirement - Health</t>
  </si>
  <si>
    <t>Transfer - To another F&amp;R Service</t>
  </si>
  <si>
    <t>TUPE Transfer</t>
  </si>
  <si>
    <t>Voluntary Severance</t>
  </si>
  <si>
    <t>C_WF_STSLH1</t>
  </si>
  <si>
    <t>WF_STDSH1</t>
  </si>
  <si>
    <t>WF_STDSLAH1</t>
  </si>
  <si>
    <t>WF_STRDSH1</t>
  </si>
  <si>
    <t>Uniformed Staff by Role and Duty System - Headcount</t>
  </si>
  <si>
    <t>C_ATSLA1</t>
  </si>
  <si>
    <t>Attacks</t>
  </si>
  <si>
    <t>Post Fire Short Audit</t>
  </si>
  <si>
    <t>Two new categories of work initiated in 2019-20. Post Fire Short Audits take place when a premises which has been fully audited in the last year has a fire incident. Fire Engineering Consultations are provided by a specialist team to advise new building works.</t>
  </si>
  <si>
    <t>The 2017-18, 2018-19 and 2019-20 figures for Audits do not include partial audits of the communal areas of multi-story residential buildings of which there were 76, 24 and 5 respectively. Please see Guidance Notes for discussion.</t>
  </si>
  <si>
    <t>Year:</t>
  </si>
  <si>
    <t>Due to quality concerns arising from a change in data collection software, hours recorded cannot be reported for 2019-20.</t>
  </si>
  <si>
    <t>Figures for 2017-18 and 2018-19 have been revised as a result of ongoing quality assurance. We do not anticipate further revisions.</t>
  </si>
  <si>
    <t>Audits by Premises Type and Risk Share</t>
  </si>
  <si>
    <t>C_ND_RS2</t>
  </si>
  <si>
    <t>Risk Share</t>
  </si>
  <si>
    <t>FTE</t>
  </si>
  <si>
    <t>Asset Management</t>
  </si>
  <si>
    <t>Business Support</t>
  </si>
  <si>
    <t>Finance &amp; Procurement</t>
  </si>
  <si>
    <t>Health and Safety</t>
  </si>
  <si>
    <t xml:space="preserve">Information Communication Technology </t>
  </si>
  <si>
    <t>People &amp; Organisational Development</t>
  </si>
  <si>
    <t>Prevention and Protection</t>
  </si>
  <si>
    <t>Response and Resilience</t>
  </si>
  <si>
    <t>Senior Leadership Team</t>
  </si>
  <si>
    <t>Service Delivery</t>
  </si>
  <si>
    <t>Service Transformation</t>
  </si>
  <si>
    <t>Strategic Planning Performance and Communication</t>
  </si>
  <si>
    <t>Training and Employee Development</t>
  </si>
  <si>
    <t>Sum of Per</t>
  </si>
  <si>
    <t>Sum of Total Of PositionRef</t>
  </si>
  <si>
    <t>Sum of Total Of Headcount</t>
  </si>
  <si>
    <t>Of the smoke alarms installed:</t>
  </si>
  <si>
    <t>Data from 2013-14 to 2018-19 was revised as a one-off in 2020, this was both to ensure consistency with newly developed tables as well as to address an instance of double counting which is proportionally very small.</t>
  </si>
  <si>
    <t>Sum of Visits</t>
  </si>
  <si>
    <t>Tenure of Households Visited in Home Fire Safety Visits</t>
  </si>
  <si>
    <t>HV_TENS1</t>
  </si>
  <si>
    <t>Pecentage of Visits</t>
  </si>
  <si>
    <t>Alarms Installed in Home Fire Safety Visits by Deprivation of Area</t>
  </si>
  <si>
    <t>Home Fire Safety Visits with Alarms Installed by Deprivation of Area - Percentage of Occupied Dwellings</t>
  </si>
  <si>
    <t>Alarms Installed by SIMD Quintile</t>
  </si>
  <si>
    <t>Rate of Home Fire Safety Visits with Alarms Installed per 100 Occupied Dwellings by SIMD Quintile</t>
  </si>
  <si>
    <t>Percentage of Home Fire Safety Visits with Alarms Installed by SIMD Quintile</t>
  </si>
  <si>
    <t>Percentage of Home Fire Safety Visits with Alarms Installed in Owner Occupied Properties by SIMD Quintile</t>
  </si>
  <si>
    <t>Percentage of Home Fire Safety Visits with Alarms Installed by Deprivation of Area</t>
  </si>
  <si>
    <t>Percentage of Home Fire Safety Visits with Alarms Installed in Owner Occupied Properties by Deprivation of Area</t>
  </si>
  <si>
    <t>This table uses the Scottish Index of Multiple Deprivation quintiles where 1 is the 20% most deprived areas and 5 is the 20% least deprived areas.</t>
  </si>
  <si>
    <t>C_HV_SIMDP1</t>
  </si>
  <si>
    <t>Rate of Home Fire Safety Visits with Alarms Installed by SIMD Quintile</t>
  </si>
  <si>
    <t>C_HV_SIMDAR1</t>
  </si>
  <si>
    <t>C_HV_SIMDAP1</t>
  </si>
  <si>
    <t>C_HV_SIMDOOP1</t>
  </si>
  <si>
    <t>Alarms</t>
  </si>
  <si>
    <t>HV_DEPALS1</t>
  </si>
  <si>
    <t>HV_DEPALR1</t>
  </si>
  <si>
    <t>HV_DEPALPER1</t>
  </si>
  <si>
    <t>HV_DEPALOOCP1</t>
  </si>
  <si>
    <t>Trend</t>
  </si>
  <si>
    <t>C_HV_SIMDOOCT1</t>
  </si>
  <si>
    <t>C_HV_LAM1</t>
  </si>
  <si>
    <t>C_HV_LAALM1</t>
  </si>
  <si>
    <t>Rate of Alarms Installed per 100 Occupied Dwellings by Local Authority</t>
  </si>
  <si>
    <t>Rate of Home Fire Safety Visits per 100 Occupied Dwellings by Local Authority - Map</t>
  </si>
  <si>
    <t>Percentage of Alarms Installed Home Fire Safety Visits by Local Authority</t>
  </si>
  <si>
    <t>C_HV_LAALPM1</t>
  </si>
  <si>
    <t>Note</t>
  </si>
  <si>
    <t>Volunteer staff figures presented in this table differ from that in the headline Staffing table as a methodology revision was not backdated in order to protect privacy.</t>
  </si>
  <si>
    <t>TotalExVol</t>
  </si>
  <si>
    <t>In 2020 the Percentage of Non-repeat Visits was corrected to include the total number of visits rather than the number of distinct properties.</t>
  </si>
  <si>
    <t xml:space="preserve">These figures were revised in 2020 to resolve a small instance of double counting. </t>
  </si>
  <si>
    <t>This table was revised in 2020 to remove a small instance of double counting.</t>
  </si>
  <si>
    <t>Site Visits*</t>
  </si>
  <si>
    <t>*The number of Site Visits completed in 2019-20 may be revised in 2021. This is due to take place as administrative changes following the introduction of new software may have resulted in an undercount with some Site Visits being subsumed into other workstreams. Additional quality assurance will take place in the next year to resolve this issue.</t>
  </si>
  <si>
    <t xml:space="preserve">Na h-Eileanan Siar	</t>
  </si>
  <si>
    <t>Stirling and Clackmannanshire</t>
  </si>
  <si>
    <t>S39000016</t>
  </si>
  <si>
    <t>S39000019</t>
  </si>
  <si>
    <t>S39000012</t>
  </si>
  <si>
    <t>S39000014</t>
  </si>
  <si>
    <t>S12000049</t>
  </si>
  <si>
    <t>S39000020</t>
  </si>
  <si>
    <t>S12000050</t>
  </si>
  <si>
    <t>S39000021</t>
  </si>
  <si>
    <t>Table1a and 1b</t>
  </si>
  <si>
    <t>EmployeeGroup</t>
  </si>
  <si>
    <t>ReportingLevel</t>
  </si>
  <si>
    <t>lvl</t>
  </si>
  <si>
    <t>Table2</t>
  </si>
  <si>
    <t>Table2a</t>
  </si>
  <si>
    <t>Type</t>
  </si>
  <si>
    <t>Table2b</t>
  </si>
  <si>
    <t>Human Resources Organisational Development</t>
  </si>
  <si>
    <t>Health, Safety and Organisational Wellbeing</t>
  </si>
  <si>
    <t>Unit</t>
  </si>
  <si>
    <t>StaffType</t>
  </si>
  <si>
    <t>2016-17 12</t>
  </si>
  <si>
    <t>Mar</t>
  </si>
  <si>
    <t>2014-15 10</t>
  </si>
  <si>
    <t>Jan</t>
  </si>
  <si>
    <t>2018-19 08</t>
  </si>
  <si>
    <t>Nov</t>
  </si>
  <si>
    <t>2014-15 11</t>
  </si>
  <si>
    <t>Feb</t>
  </si>
  <si>
    <t>2017-18 06</t>
  </si>
  <si>
    <t>Sep</t>
  </si>
  <si>
    <t>2013-14 09</t>
  </si>
  <si>
    <t>Dec</t>
  </si>
  <si>
    <t>2018-19 12</t>
  </si>
  <si>
    <t>2013-14 03</t>
  </si>
  <si>
    <t>Jun</t>
  </si>
  <si>
    <t>2013-14 10</t>
  </si>
  <si>
    <t>2019-20 12</t>
  </si>
  <si>
    <t>2018-19 05</t>
  </si>
  <si>
    <t>Aug</t>
  </si>
  <si>
    <t>2015-16 02</t>
  </si>
  <si>
    <t>May</t>
  </si>
  <si>
    <t>2015-16 08</t>
  </si>
  <si>
    <t>2018-19 03</t>
  </si>
  <si>
    <t>2017-18 01</t>
  </si>
  <si>
    <t>Apr</t>
  </si>
  <si>
    <t>2019-20 01</t>
  </si>
  <si>
    <t>2013-14 05</t>
  </si>
  <si>
    <t>2015-16 05</t>
  </si>
  <si>
    <t>2016-17 02</t>
  </si>
  <si>
    <t>2018-19 11</t>
  </si>
  <si>
    <t>2019-20 09</t>
  </si>
  <si>
    <t>2015-16 10</t>
  </si>
  <si>
    <t>2014-15 09</t>
  </si>
  <si>
    <t>2014-15 08</t>
  </si>
  <si>
    <t>2014-15 06</t>
  </si>
  <si>
    <t>2013-14 07</t>
  </si>
  <si>
    <t>Oct</t>
  </si>
  <si>
    <t>2017-18 04</t>
  </si>
  <si>
    <t>Jul</t>
  </si>
  <si>
    <t>2018-19 10</t>
  </si>
  <si>
    <t>2016-17 06</t>
  </si>
  <si>
    <t>2013-14 04</t>
  </si>
  <si>
    <t>2016-17 03</t>
  </si>
  <si>
    <t>2014-15 01</t>
  </si>
  <si>
    <t>2019-20 08</t>
  </si>
  <si>
    <t>2014-15 05</t>
  </si>
  <si>
    <t>2018-19 02</t>
  </si>
  <si>
    <t>2018-19 09</t>
  </si>
  <si>
    <t>2016-17 05</t>
  </si>
  <si>
    <t>2017-18 11</t>
  </si>
  <si>
    <t>2018-19 07</t>
  </si>
  <si>
    <t>2017-18 02</t>
  </si>
  <si>
    <t>2017-18 10</t>
  </si>
  <si>
    <t>2014-15 03</t>
  </si>
  <si>
    <t>2016-17 01</t>
  </si>
  <si>
    <t>2015-16 11</t>
  </si>
  <si>
    <t>2019-20 06</t>
  </si>
  <si>
    <t>2013-14 11</t>
  </si>
  <si>
    <t>2013-14 08</t>
  </si>
  <si>
    <t>2019-20 07</t>
  </si>
  <si>
    <t>2015-16 01</t>
  </si>
  <si>
    <t>2016-17 04</t>
  </si>
  <si>
    <t>2013-14 12</t>
  </si>
  <si>
    <t>2015-16 12</t>
  </si>
  <si>
    <t>2017-18 12</t>
  </si>
  <si>
    <t>2014-15 04</t>
  </si>
  <si>
    <t>2017-18 05</t>
  </si>
  <si>
    <t>2013-14 01</t>
  </si>
  <si>
    <t>2015-16 09</t>
  </si>
  <si>
    <t>2019-20 02</t>
  </si>
  <si>
    <t>2017-18 03</t>
  </si>
  <si>
    <t>2016-17 09</t>
  </si>
  <si>
    <t>2015-16 07</t>
  </si>
  <si>
    <t>2019-20 04</t>
  </si>
  <si>
    <t>2016-17 11</t>
  </si>
  <si>
    <t>2014-15 12</t>
  </si>
  <si>
    <t>2019-20 11</t>
  </si>
  <si>
    <t>2016-17 10</t>
  </si>
  <si>
    <t>2016-17 08</t>
  </si>
  <si>
    <t>2014-15 02</t>
  </si>
  <si>
    <t>2015-16 03</t>
  </si>
  <si>
    <t>2017-18 07</t>
  </si>
  <si>
    <t>2019-20 10</t>
  </si>
  <si>
    <t>2015-16 06</t>
  </si>
  <si>
    <t>2018-19 04</t>
  </si>
  <si>
    <t>2018-19 01</t>
  </si>
  <si>
    <t>2018-19 06</t>
  </si>
  <si>
    <t>2019-20 03</t>
  </si>
  <si>
    <t>2017-18 08</t>
  </si>
  <si>
    <t>2013-14 02</t>
  </si>
  <si>
    <t>2016-17 07</t>
  </si>
  <si>
    <t>2019-20 05</t>
  </si>
  <si>
    <t>2017-18 09</t>
  </si>
  <si>
    <t>2013-14 06</t>
  </si>
  <si>
    <t>2014-15 07</t>
  </si>
  <si>
    <t>2015-16 04</t>
  </si>
  <si>
    <t>FiscalMth</t>
  </si>
  <si>
    <t>Mth</t>
  </si>
  <si>
    <t>Table3</t>
  </si>
  <si>
    <t>Table4a</t>
  </si>
  <si>
    <t>Table4b</t>
  </si>
  <si>
    <t>Table4c</t>
  </si>
  <si>
    <t>Table4d</t>
  </si>
  <si>
    <t xml:space="preserve">1:LA	</t>
  </si>
  <si>
    <t>Table4e</t>
  </si>
  <si>
    <t>4:SDA</t>
  </si>
  <si>
    <t>Table5a</t>
  </si>
  <si>
    <t>Table5b</t>
  </si>
  <si>
    <t>Table5c</t>
  </si>
  <si>
    <t>Table5d</t>
  </si>
  <si>
    <t>WTFemale</t>
  </si>
  <si>
    <t>WTMale</t>
  </si>
  <si>
    <t>RDSFemale</t>
  </si>
  <si>
    <t>RDSMale</t>
  </si>
  <si>
    <t>ControlFemale</t>
  </si>
  <si>
    <t>ControlMale</t>
  </si>
  <si>
    <t>SupportFemale</t>
  </si>
  <si>
    <t>SupportMale</t>
  </si>
  <si>
    <t>VolFemale</t>
  </si>
  <si>
    <t>VolMale</t>
  </si>
  <si>
    <t>RDS FulltimeFemale</t>
  </si>
  <si>
    <t>RDS FulltimeMale</t>
  </si>
  <si>
    <t>Table6</t>
  </si>
  <si>
    <t>Watch manager</t>
  </si>
  <si>
    <t>Watch Manger</t>
  </si>
  <si>
    <t>PostConv</t>
  </si>
  <si>
    <t>Table7</t>
  </si>
  <si>
    <t>Table8</t>
  </si>
  <si>
    <t>Table9</t>
  </si>
  <si>
    <t>20-29</t>
  </si>
  <si>
    <t>30-39</t>
  </si>
  <si>
    <t>55-65</t>
  </si>
  <si>
    <t>66 and over</t>
  </si>
  <si>
    <t>Not Recorded</t>
  </si>
  <si>
    <t>AgeRange</t>
  </si>
  <si>
    <t>Table10</t>
  </si>
  <si>
    <t>ServiceLength</t>
  </si>
  <si>
    <t>LeavingReason</t>
  </si>
  <si>
    <t>Total Of Headcount</t>
  </si>
  <si>
    <t>Total Of PositionRef</t>
  </si>
  <si>
    <t>Eth</t>
  </si>
  <si>
    <t>Per</t>
  </si>
  <si>
    <t>2018</t>
  </si>
  <si>
    <t>2019</t>
  </si>
  <si>
    <t>FYear</t>
  </si>
  <si>
    <t>DisStat</t>
  </si>
  <si>
    <t>Table11</t>
  </si>
  <si>
    <t>Total_ex_Vol</t>
  </si>
  <si>
    <t>Table12</t>
  </si>
  <si>
    <t>Total Of Station</t>
  </si>
  <si>
    <t>Injuries</t>
  </si>
  <si>
    <t>Objects thrown at firefighters/appliances</t>
  </si>
  <si>
    <t>Physical abuse</t>
  </si>
  <si>
    <t>Verbal abuse</t>
  </si>
  <si>
    <t>Other acts of aggression</t>
  </si>
  <si>
    <t>Expr1000</t>
  </si>
  <si>
    <t>CategoryPrior</t>
  </si>
  <si>
    <t>CPrior</t>
  </si>
  <si>
    <t>2010-11</t>
  </si>
  <si>
    <t>VisitAlarmInstalled</t>
  </si>
  <si>
    <t>VisitAdviceOnly</t>
  </si>
  <si>
    <t>TotalVisits</t>
  </si>
  <si>
    <t>TotalAlarms</t>
  </si>
  <si>
    <t>TotalNewAlarms</t>
  </si>
  <si>
    <t>TotalReplacedAlarms</t>
  </si>
  <si>
    <t>TotalPerHouseholds</t>
  </si>
  <si>
    <t>AlarmsPerHouseholds</t>
  </si>
  <si>
    <t>under5</t>
  </si>
  <si>
    <t>17-30</t>
  </si>
  <si>
    <t>31-60</t>
  </si>
  <si>
    <t>over60</t>
  </si>
  <si>
    <t>allpeople</t>
  </si>
  <si>
    <t>pcunder5</t>
  </si>
  <si>
    <t>pc5-10</t>
  </si>
  <si>
    <t>pc11-16</t>
  </si>
  <si>
    <t>pc17-30</t>
  </si>
  <si>
    <t>pc31-60</t>
  </si>
  <si>
    <t>pcover60</t>
  </si>
  <si>
    <t>pcallpeople</t>
  </si>
  <si>
    <t>popunder5</t>
  </si>
  <si>
    <t>pop5-10</t>
  </si>
  <si>
    <t>pop11-16</t>
  </si>
  <si>
    <t>pop17-30</t>
  </si>
  <si>
    <t>pop31-60</t>
  </si>
  <si>
    <t>popover60</t>
  </si>
  <si>
    <t>AllAges</t>
  </si>
  <si>
    <t>withAlarmsInstalled</t>
  </si>
  <si>
    <t>Counted</t>
  </si>
  <si>
    <t>OneYrDistinct</t>
  </si>
  <si>
    <t>ThreeYrDistinct</t>
  </si>
  <si>
    <t>FiveYrDistinct</t>
  </si>
  <si>
    <t>OneYrDistinctNew</t>
  </si>
  <si>
    <t>HouseholdsinYr</t>
  </si>
  <si>
    <t>HouseholdsThreeYrAv</t>
  </si>
  <si>
    <t>HouseholdsFiveYrAv</t>
  </si>
  <si>
    <t>pcOYDH</t>
  </si>
  <si>
    <t>pcTYDH</t>
  </si>
  <si>
    <t>pcFYDH</t>
  </si>
  <si>
    <t>per100occupieddwellings</t>
  </si>
  <si>
    <t>Category_D_Audits</t>
  </si>
  <si>
    <t>ur</t>
  </si>
  <si>
    <t>Fiscal_Yr_New</t>
  </si>
  <si>
    <t>Total Of Total Of UniqueID</t>
  </si>
  <si>
    <t>AN</t>
  </si>
  <si>
    <t>EN</t>
  </si>
  <si>
    <t>PN</t>
  </si>
  <si>
    <t>GSSCode</t>
  </si>
  <si>
    <t>Dwellings</t>
  </si>
  <si>
    <t>VisitsPer100Dwelling</t>
  </si>
  <si>
    <t>AlarmsPer100Dwelling</t>
  </si>
  <si>
    <t>VisitsPer100Household</t>
  </si>
  <si>
    <t>AlarmsPer100Household</t>
  </si>
  <si>
    <t>Audit</t>
  </si>
  <si>
    <t>Consultation</t>
  </si>
  <si>
    <t>Short Post Fire Audit</t>
  </si>
  <si>
    <t>Specific Visit</t>
  </si>
  <si>
    <t>#All_Audits</t>
  </si>
  <si>
    <t>All_Audits</t>
  </si>
  <si>
    <t>Other Workplace</t>
  </si>
  <si>
    <t>FSEC</t>
  </si>
  <si>
    <t>PremisesType</t>
  </si>
  <si>
    <t>2009-10</t>
  </si>
  <si>
    <t>Total Of Total Of PremisesVisited</t>
  </si>
  <si>
    <t>A_Tally</t>
  </si>
  <si>
    <t>A_Hours</t>
  </si>
  <si>
    <t>B_Tally</t>
  </si>
  <si>
    <t>B_Hours</t>
  </si>
  <si>
    <t>Enforcement_Tally</t>
  </si>
  <si>
    <t>Enforcement_Hours</t>
  </si>
  <si>
    <t>Prohibition_Tally</t>
  </si>
  <si>
    <t>Prohibition_Hours</t>
  </si>
  <si>
    <t xml:space="preserve">S12000013	</t>
  </si>
  <si>
    <t>Tally</t>
  </si>
  <si>
    <t>VH</t>
  </si>
  <si>
    <t>VL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</si>
</sst>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_);_(* \(#,##0\);_(* &quot;-&quot;_);_(@_)"/>
    <numFmt numFmtId="165" formatCode="_(* #,##0.00_);_(* \(#,##0.00\);_(* &quot;-&quot;??_);_(@_)"/>
    <numFmt numFmtId="166" formatCode="_-* #,##0_-;\-* #,##0_-;_-* &quot;-&quot;??_-;_-@_-"/>
    <numFmt numFmtId="167" formatCode="#,##0_ ;\-#,##0\ "/>
    <numFmt numFmtId="168" formatCode="0.0%"/>
    <numFmt numFmtId="169" formatCode="_-* #,##0_-;\-* #,##0_-;_-* &quot;- &quot;"/>
    <numFmt numFmtId="170" formatCode="_-* #,##0\ ;\-* #,##0\ ;_-* &quot;-&quot;\ "/>
    <numFmt numFmtId="171" formatCode="_-* #,##0_-;\-* #,##0_-;_-* &quot;- &quot;;_-@_-"/>
    <numFmt numFmtId="172" formatCode="0.0"/>
    <numFmt numFmtId="173" formatCode="#,##0.0"/>
    <numFmt numFmtId="174" formatCode="#,##0;\ \-#,##0;\ &quot;- &quot;"/>
    <numFmt numFmtId="175" formatCode="_-* #,##0.0_-;\-* #,##0.0_-;_-* &quot;- &quot;"/>
    <numFmt numFmtId="176" formatCode="_-* #,##0.0_-;\-* #,##0.0_-;_-* &quot;-&quot;?_-;_-@_-"/>
  </numFmts>
  <fonts count="54" x14ac:knownFonts="1">
    <font>
      <sz val="11"/>
      <color theme="1"/>
      <name val="Calibri"/>
      <family val="2"/>
      <scheme val="minor"/>
    </font>
    <font>
      <sz val="11"/>
      <color theme="1"/>
      <name val="Calibri"/>
      <family val="2"/>
      <scheme val="minor"/>
    </font>
    <font>
      <sz val="12"/>
      <color rgb="FF000000"/>
      <name val="Calibri"/>
      <family val="2"/>
    </font>
    <font>
      <u/>
      <sz val="10"/>
      <color indexed="12"/>
      <name val="Arial"/>
      <family val="2"/>
    </font>
    <font>
      <vertAlign val="superscript"/>
      <sz val="12"/>
      <color rgb="FF000000"/>
      <name val="Calibri"/>
      <family val="2"/>
    </font>
    <font>
      <sz val="10"/>
      <name val="Arial"/>
      <family val="2"/>
    </font>
    <font>
      <sz val="12"/>
      <name val="Arial"/>
      <family val="2"/>
    </font>
    <font>
      <sz val="14"/>
      <name val="Arial"/>
      <family val="2"/>
    </font>
    <font>
      <b/>
      <sz val="12"/>
      <name val="Arial"/>
      <family val="2"/>
    </font>
    <font>
      <b/>
      <sz val="10"/>
      <name val="Arial"/>
      <family val="2"/>
    </font>
    <font>
      <b/>
      <i/>
      <sz val="10"/>
      <name val="Arial"/>
      <family val="2"/>
    </font>
    <font>
      <i/>
      <sz val="10"/>
      <name val="Arial"/>
      <family val="2"/>
    </font>
    <font>
      <sz val="10"/>
      <color rgb="FFFF0000"/>
      <name val="Arial"/>
      <family val="2"/>
    </font>
    <font>
      <sz val="11"/>
      <name val="Arial"/>
      <family val="2"/>
    </font>
    <font>
      <b/>
      <sz val="11"/>
      <name val="Arial"/>
      <family val="2"/>
    </font>
    <font>
      <sz val="10"/>
      <color indexed="8"/>
      <name val="Arial"/>
      <family val="2"/>
    </font>
    <font>
      <b/>
      <sz val="11"/>
      <name val="Calibri"/>
      <family val="2"/>
      <scheme val="minor"/>
    </font>
    <font>
      <b/>
      <sz val="18"/>
      <color indexed="56"/>
      <name val="Arial"/>
      <family val="2"/>
    </font>
    <font>
      <u/>
      <sz val="10"/>
      <name val="Arial"/>
      <family val="2"/>
    </font>
    <font>
      <b/>
      <sz val="9"/>
      <name val="Arial"/>
      <family val="2"/>
    </font>
    <font>
      <b/>
      <sz val="15"/>
      <color indexed="56"/>
      <name val="Calibri"/>
      <family val="2"/>
    </font>
    <font>
      <b/>
      <sz val="13"/>
      <color indexed="56"/>
      <name val="Calibri"/>
      <family val="2"/>
    </font>
    <font>
      <b/>
      <i/>
      <sz val="11"/>
      <name val="Arial"/>
      <family val="2"/>
    </font>
    <font>
      <sz val="10"/>
      <color theme="1"/>
      <name val="Arial"/>
      <family val="2"/>
    </font>
    <font>
      <sz val="12"/>
      <color theme="1"/>
      <name val="Calibri"/>
      <family val="2"/>
      <scheme val="minor"/>
    </font>
    <font>
      <b/>
      <sz val="11"/>
      <color theme="1"/>
      <name val="Calibri"/>
      <family val="2"/>
      <scheme val="minor"/>
    </font>
    <font>
      <sz val="11"/>
      <color theme="0"/>
      <name val="Calibri"/>
      <family val="2"/>
      <scheme val="minor"/>
    </font>
    <font>
      <b/>
      <i/>
      <sz val="9"/>
      <name val="Arial"/>
      <family val="2"/>
    </font>
    <font>
      <b/>
      <sz val="16"/>
      <color rgb="FF595959"/>
      <name val="Calibri"/>
      <family val="2"/>
      <scheme val="minor"/>
    </font>
    <font>
      <b/>
      <sz val="16"/>
      <color theme="1" tint="0.249977111117893"/>
      <name val="Calibri"/>
      <family val="2"/>
      <scheme val="minor"/>
    </font>
    <font>
      <sz val="12"/>
      <color rgb="FF000000"/>
      <name val="Calibri"/>
      <family val="2"/>
      <scheme val="minor"/>
    </font>
    <font>
      <i/>
      <sz val="12"/>
      <color rgb="FF000000"/>
      <name val="Calibri"/>
      <family val="2"/>
      <scheme val="minor"/>
    </font>
    <font>
      <vertAlign val="superscript"/>
      <sz val="12"/>
      <color rgb="FF000000"/>
      <name val="Calibri"/>
      <family val="2"/>
      <scheme val="minor"/>
    </font>
    <font>
      <sz val="11"/>
      <color theme="1"/>
      <name val="Arial"/>
      <family val="2"/>
    </font>
    <font>
      <sz val="11"/>
      <name val="Calibri"/>
      <family val="2"/>
      <scheme val="minor"/>
    </font>
    <font>
      <sz val="11"/>
      <color rgb="FF000000"/>
      <name val="Calibri"/>
      <family val="2"/>
      <scheme val="minor"/>
    </font>
    <font>
      <u/>
      <sz val="11"/>
      <color indexed="12"/>
      <name val="Calibri"/>
      <family val="2"/>
      <scheme val="minor"/>
    </font>
    <font>
      <b/>
      <i/>
      <sz val="11"/>
      <name val="Calibri"/>
      <family val="2"/>
      <scheme val="minor"/>
    </font>
    <font>
      <i/>
      <sz val="11"/>
      <name val="Calibri"/>
      <family val="2"/>
      <scheme val="minor"/>
    </font>
    <font>
      <sz val="11"/>
      <color theme="1"/>
      <name val="Calibri"/>
      <family val="2"/>
    </font>
    <font>
      <u/>
      <sz val="12"/>
      <color indexed="12"/>
      <name val="Calibri"/>
      <family val="2"/>
      <scheme val="minor"/>
    </font>
    <font>
      <b/>
      <sz val="18"/>
      <color theme="1" tint="0.249977111117893"/>
      <name val="Calibri"/>
      <family val="2"/>
      <scheme val="minor"/>
    </font>
    <font>
      <sz val="11"/>
      <color rgb="FFFF0000"/>
      <name val="Calibri"/>
      <family val="2"/>
      <scheme val="minor"/>
    </font>
    <font>
      <b/>
      <u/>
      <sz val="12"/>
      <name val="Arial"/>
      <family val="2"/>
    </font>
    <font>
      <b/>
      <sz val="11"/>
      <color theme="1" tint="0.14999847407452621"/>
      <name val="Calibri"/>
      <family val="2"/>
      <scheme val="minor"/>
    </font>
    <font>
      <sz val="11"/>
      <color theme="1" tint="0.14999847407452621"/>
      <name val="Calibri"/>
      <family val="2"/>
      <scheme val="minor"/>
    </font>
    <font>
      <i/>
      <sz val="11"/>
      <color theme="1"/>
      <name val="Calibri"/>
      <family val="2"/>
      <scheme val="minor"/>
    </font>
    <font>
      <b/>
      <i/>
      <u/>
      <sz val="11"/>
      <color theme="1"/>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Arial"/>
      <family val="2"/>
    </font>
    <font>
      <sz val="14"/>
      <color theme="1"/>
      <name val="Calibri"/>
      <family val="2"/>
      <scheme val="minor"/>
    </font>
    <font>
      <sz val="10"/>
      <color indexed="18"/>
      <name val="Tahoma"/>
      <family val="2"/>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rgb="FFFFFF00"/>
        <bgColor indexed="64"/>
      </patternFill>
    </fill>
    <fill>
      <patternFill patternType="solid">
        <fgColor theme="7" tint="-0.249977111117893"/>
        <bgColor indexed="64"/>
      </patternFill>
    </fill>
    <fill>
      <patternFill patternType="solid">
        <fgColor indexed="41"/>
        <bgColor indexed="64"/>
      </patternFill>
    </fill>
  </fills>
  <borders count="32">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theme="4"/>
      </top>
      <bottom/>
      <diagonal/>
    </border>
    <border>
      <left/>
      <right/>
      <top/>
      <bottom style="thick">
        <color indexed="22"/>
      </bottom>
      <diagonal/>
    </border>
    <border>
      <left/>
      <right/>
      <top style="thin">
        <color theme="1"/>
      </top>
      <bottom/>
      <diagonal/>
    </border>
    <border>
      <left/>
      <right/>
      <top/>
      <bottom style="thin">
        <color theme="2" tint="-0.749992370372631"/>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style="thin">
        <color indexed="64"/>
      </right>
      <top style="thin">
        <color theme="1"/>
      </top>
      <bottom/>
      <diagonal/>
    </border>
    <border>
      <left style="thin">
        <color indexed="55"/>
      </left>
      <right style="thin">
        <color indexed="55"/>
      </right>
      <top style="thin">
        <color indexed="55"/>
      </top>
      <bottom style="thin">
        <color indexed="55"/>
      </bottom>
      <diagonal/>
    </border>
  </borders>
  <cellStyleXfs count="23">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5" fillId="0" borderId="0"/>
    <xf numFmtId="0" fontId="15" fillId="0" borderId="0"/>
    <xf numFmtId="0" fontId="5" fillId="0" borderId="0"/>
    <xf numFmtId="0" fontId="15" fillId="0" borderId="0"/>
    <xf numFmtId="0" fontId="17" fillId="0" borderId="0" applyNumberFormat="0" applyFill="0" applyBorder="0" applyProtection="0">
      <alignment wrapText="1"/>
    </xf>
    <xf numFmtId="0" fontId="15" fillId="0" borderId="0"/>
    <xf numFmtId="0" fontId="15" fillId="0" borderId="0"/>
    <xf numFmtId="0" fontId="20" fillId="0" borderId="0" applyNumberFormat="0" applyFill="0" applyAlignment="0" applyProtection="0"/>
    <xf numFmtId="0" fontId="15" fillId="0" borderId="0"/>
    <xf numFmtId="0" fontId="15" fillId="0" borderId="0"/>
    <xf numFmtId="0" fontId="21" fillId="0" borderId="7" applyNumberFormat="0" applyFill="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15" fillId="0" borderId="0"/>
    <xf numFmtId="0" fontId="23" fillId="0" borderId="0"/>
    <xf numFmtId="165" fontId="23" fillId="0" borderId="0" applyFont="0" applyFill="0" applyBorder="0" applyAlignment="0" applyProtection="0"/>
    <xf numFmtId="9" fontId="23" fillId="0" borderId="0" applyFont="0" applyFill="0" applyBorder="0" applyAlignment="0" applyProtection="0"/>
  </cellStyleXfs>
  <cellXfs count="1141">
    <xf numFmtId="0" fontId="0" fillId="0" borderId="0" xfId="0"/>
    <xf numFmtId="0" fontId="7" fillId="2" borderId="0" xfId="0" applyFont="1" applyFill="1"/>
    <xf numFmtId="0" fontId="9" fillId="0" borderId="1" xfId="0" applyFont="1" applyFill="1" applyBorder="1"/>
    <xf numFmtId="0" fontId="9" fillId="0" borderId="1" xfId="0" applyFont="1" applyFill="1" applyBorder="1" applyAlignment="1">
      <alignment horizontal="right" wrapText="1"/>
    </xf>
    <xf numFmtId="0" fontId="9" fillId="0" borderId="0" xfId="0" applyFont="1" applyFill="1" applyBorder="1" applyAlignment="1">
      <alignment horizontal="right" wrapText="1"/>
    </xf>
    <xf numFmtId="0" fontId="9" fillId="0" borderId="0" xfId="0" applyFont="1" applyFill="1" applyBorder="1" applyAlignment="1">
      <alignment horizontal="left"/>
    </xf>
    <xf numFmtId="0" fontId="9" fillId="0" borderId="0" xfId="0" applyFont="1" applyFill="1" applyBorder="1" applyAlignment="1">
      <alignment horizontal="left" vertical="center"/>
    </xf>
    <xf numFmtId="0" fontId="7" fillId="0" borderId="0" xfId="0" applyFont="1" applyFill="1"/>
    <xf numFmtId="0" fontId="9" fillId="0" borderId="0" xfId="0" applyFont="1" applyFill="1" applyBorder="1" applyAlignment="1">
      <alignment vertical="center" wrapText="1"/>
    </xf>
    <xf numFmtId="167" fontId="5" fillId="0" borderId="2" xfId="0" applyNumberFormat="1" applyFont="1" applyFill="1" applyBorder="1"/>
    <xf numFmtId="167" fontId="5" fillId="0" borderId="0" xfId="0" applyNumberFormat="1" applyFont="1" applyFill="1" applyBorder="1"/>
    <xf numFmtId="0" fontId="10" fillId="0" borderId="3" xfId="0" applyFont="1" applyFill="1" applyBorder="1" applyAlignment="1">
      <alignment wrapText="1"/>
    </xf>
    <xf numFmtId="168" fontId="11" fillId="0" borderId="3" xfId="2" applyNumberFormat="1" applyFont="1" applyFill="1" applyBorder="1" applyAlignment="1">
      <alignment horizontal="right" wrapText="1"/>
    </xf>
    <xf numFmtId="0" fontId="9" fillId="0" borderId="0" xfId="0" applyFont="1" applyFill="1" applyBorder="1"/>
    <xf numFmtId="0" fontId="5" fillId="0" borderId="0" xfId="0" applyFont="1" applyFill="1" applyBorder="1" applyAlignment="1">
      <alignment horizontal="right" wrapText="1"/>
    </xf>
    <xf numFmtId="166" fontId="5" fillId="0" borderId="0" xfId="0" applyNumberFormat="1" applyFont="1" applyFill="1" applyBorder="1" applyAlignment="1">
      <alignment horizontal="right" wrapText="1"/>
    </xf>
    <xf numFmtId="0" fontId="5" fillId="0" borderId="0" xfId="0" applyFont="1" applyFill="1"/>
    <xf numFmtId="3" fontId="5" fillId="0" borderId="0" xfId="0" applyNumberFormat="1" applyFont="1" applyFill="1" applyBorder="1" applyAlignment="1">
      <alignment horizontal="right" wrapText="1"/>
    </xf>
    <xf numFmtId="0" fontId="7" fillId="0" borderId="0" xfId="0" applyFont="1" applyFill="1" applyBorder="1"/>
    <xf numFmtId="0" fontId="9" fillId="0" borderId="1" xfId="0" applyFont="1" applyFill="1" applyBorder="1" applyAlignment="1">
      <alignment horizontal="left"/>
    </xf>
    <xf numFmtId="3" fontId="5" fillId="0" borderId="0" xfId="0" applyNumberFormat="1" applyFont="1" applyFill="1" applyBorder="1" applyAlignment="1">
      <alignment horizontal="right" vertical="center" wrapText="1"/>
    </xf>
    <xf numFmtId="0" fontId="7" fillId="0" borderId="0" xfId="0" applyFont="1" applyFill="1" applyBorder="1" applyAlignment="1">
      <alignment vertical="center"/>
    </xf>
    <xf numFmtId="3" fontId="9" fillId="0" borderId="0" xfId="0" applyNumberFormat="1" applyFont="1" applyFill="1" applyBorder="1" applyAlignment="1">
      <alignment horizontal="right" vertical="center" wrapText="1"/>
    </xf>
    <xf numFmtId="0" fontId="5" fillId="0" borderId="0" xfId="0" applyFont="1" applyFill="1" applyBorder="1" applyAlignment="1">
      <alignment vertical="center"/>
    </xf>
    <xf numFmtId="0" fontId="5" fillId="0" borderId="1" xfId="0" applyFont="1" applyFill="1" applyBorder="1"/>
    <xf numFmtId="0" fontId="9" fillId="0" borderId="0" xfId="0" applyFont="1" applyFill="1" applyBorder="1" applyAlignment="1">
      <alignment wrapText="1"/>
    </xf>
    <xf numFmtId="1" fontId="5" fillId="0" borderId="0" xfId="0" applyNumberFormat="1" applyFont="1" applyFill="1" applyBorder="1"/>
    <xf numFmtId="0" fontId="5" fillId="0" borderId="0" xfId="0" applyFont="1" applyFill="1" applyAlignment="1">
      <alignment wrapText="1"/>
    </xf>
    <xf numFmtId="0" fontId="5" fillId="0" borderId="0" xfId="0" applyFont="1" applyFill="1" applyBorder="1"/>
    <xf numFmtId="168" fontId="5" fillId="0" borderId="0" xfId="0" applyNumberFormat="1" applyFont="1" applyFill="1" applyAlignment="1">
      <alignment horizontal="right" wrapText="1"/>
    </xf>
    <xf numFmtId="0" fontId="9" fillId="0" borderId="0" xfId="0" applyFont="1" applyFill="1"/>
    <xf numFmtId="0" fontId="5" fillId="2" borderId="0" xfId="0" applyFont="1" applyFill="1"/>
    <xf numFmtId="0" fontId="8" fillId="0" borderId="1" xfId="0" applyFont="1" applyFill="1" applyBorder="1" applyAlignment="1">
      <alignment horizontal="left" vertical="center" wrapText="1"/>
    </xf>
    <xf numFmtId="164" fontId="5" fillId="0" borderId="0" xfId="0" applyNumberFormat="1" applyFont="1" applyFill="1" applyAlignment="1">
      <alignment horizontal="right"/>
    </xf>
    <xf numFmtId="0" fontId="9" fillId="0" borderId="3" xfId="0" applyFont="1" applyFill="1" applyBorder="1" applyAlignment="1">
      <alignment vertical="center"/>
    </xf>
    <xf numFmtId="9" fontId="10" fillId="0" borderId="4"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Alignment="1">
      <alignment vertical="center"/>
    </xf>
    <xf numFmtId="9" fontId="9" fillId="0" borderId="0" xfId="0" applyNumberFormat="1" applyFont="1" applyFill="1" applyBorder="1" applyAlignment="1">
      <alignment vertical="center"/>
    </xf>
    <xf numFmtId="0" fontId="9" fillId="0" borderId="5" xfId="0" applyFont="1" applyFill="1" applyBorder="1" applyAlignment="1">
      <alignment horizontal="center" wrapText="1"/>
    </xf>
    <xf numFmtId="0" fontId="9" fillId="0" borderId="2" xfId="0" applyFont="1" applyFill="1" applyBorder="1"/>
    <xf numFmtId="0" fontId="9" fillId="0" borderId="4" xfId="0" applyFont="1" applyFill="1" applyBorder="1" applyAlignment="1">
      <alignment vertical="center"/>
    </xf>
    <xf numFmtId="0" fontId="5" fillId="0" borderId="0" xfId="0" applyFont="1" applyFill="1" applyBorder="1" applyAlignment="1">
      <alignment wrapText="1"/>
    </xf>
    <xf numFmtId="0" fontId="9" fillId="0" borderId="3" xfId="0" applyFont="1" applyFill="1" applyBorder="1"/>
    <xf numFmtId="0" fontId="5" fillId="0" borderId="0" xfId="0" applyFont="1" applyFill="1" applyAlignment="1">
      <alignment vertical="center"/>
    </xf>
    <xf numFmtId="0" fontId="13" fillId="2" borderId="0" xfId="0" applyFont="1" applyFill="1"/>
    <xf numFmtId="0" fontId="14" fillId="0" borderId="0" xfId="0" applyFont="1" applyFill="1" applyBorder="1" applyAlignment="1"/>
    <xf numFmtId="0" fontId="9" fillId="0" borderId="0" xfId="5" applyFont="1" applyFill="1" applyBorder="1" applyAlignment="1">
      <alignment horizontal="right" wrapText="1"/>
    </xf>
    <xf numFmtId="0" fontId="14" fillId="0" borderId="4" xfId="5" applyFont="1" applyFill="1" applyBorder="1" applyAlignment="1">
      <alignment horizontal="left" vertical="center"/>
    </xf>
    <xf numFmtId="0" fontId="14" fillId="0" borderId="0" xfId="5" applyFont="1" applyFill="1" applyBorder="1" applyAlignment="1">
      <alignment horizontal="left" vertical="center"/>
    </xf>
    <xf numFmtId="3" fontId="9" fillId="0" borderId="0" xfId="5" applyNumberFormat="1" applyFont="1" applyFill="1" applyBorder="1" applyAlignment="1">
      <alignment horizontal="right" vertical="center" wrapText="1"/>
    </xf>
    <xf numFmtId="3" fontId="9" fillId="0" borderId="0" xfId="0" applyNumberFormat="1" applyFont="1" applyFill="1" applyBorder="1" applyAlignment="1">
      <alignment vertical="center"/>
    </xf>
    <xf numFmtId="0" fontId="14" fillId="0" borderId="1" xfId="5" applyFont="1" applyFill="1" applyBorder="1" applyAlignment="1">
      <alignment horizontal="left"/>
    </xf>
    <xf numFmtId="3" fontId="9" fillId="0" borderId="1" xfId="5" applyNumberFormat="1" applyFont="1" applyFill="1" applyBorder="1" applyAlignment="1">
      <alignment horizontal="right" wrapText="1"/>
    </xf>
    <xf numFmtId="3" fontId="9" fillId="0" borderId="0" xfId="5" applyNumberFormat="1" applyFont="1" applyFill="1" applyBorder="1" applyAlignment="1">
      <alignment horizontal="right" wrapText="1"/>
    </xf>
    <xf numFmtId="0" fontId="9" fillId="0" borderId="6" xfId="5" applyNumberFormat="1" applyFont="1" applyFill="1" applyBorder="1" applyAlignment="1">
      <alignment horizontal="left"/>
    </xf>
    <xf numFmtId="3" fontId="5" fillId="0" borderId="0" xfId="5" applyNumberFormat="1" applyFont="1" applyFill="1" applyBorder="1" applyAlignment="1">
      <alignment horizontal="right" wrapText="1"/>
    </xf>
    <xf numFmtId="3" fontId="9" fillId="0" borderId="0" xfId="0" applyNumberFormat="1" applyFont="1" applyFill="1" applyBorder="1"/>
    <xf numFmtId="0" fontId="9" fillId="0" borderId="0" xfId="5" applyNumberFormat="1" applyFont="1" applyFill="1" applyBorder="1" applyAlignment="1">
      <alignment horizontal="left"/>
    </xf>
    <xf numFmtId="164" fontId="5" fillId="0" borderId="0" xfId="6" applyNumberFormat="1" applyFont="1" applyFill="1" applyBorder="1" applyAlignment="1"/>
    <xf numFmtId="164" fontId="5" fillId="0" borderId="0" xfId="0" applyNumberFormat="1" applyFont="1" applyFill="1"/>
    <xf numFmtId="164" fontId="5" fillId="0" borderId="0" xfId="0" applyNumberFormat="1" applyFont="1" applyFill="1" applyBorder="1" applyAlignment="1">
      <alignment horizontal="right"/>
    </xf>
    <xf numFmtId="0" fontId="9" fillId="0" borderId="4" xfId="5" applyNumberFormat="1" applyFont="1" applyFill="1" applyBorder="1" applyAlignment="1">
      <alignment horizontal="left" vertical="center"/>
    </xf>
    <xf numFmtId="3" fontId="9" fillId="0" borderId="4" xfId="5" applyNumberFormat="1" applyFont="1" applyFill="1" applyBorder="1" applyAlignment="1">
      <alignment horizontal="right" vertical="center" wrapText="1"/>
    </xf>
    <xf numFmtId="0" fontId="9" fillId="0" borderId="0" xfId="5" applyFont="1" applyFill="1" applyBorder="1" applyAlignment="1">
      <alignment horizontal="left"/>
    </xf>
    <xf numFmtId="0" fontId="14" fillId="0" borderId="0" xfId="5" applyFont="1" applyFill="1" applyBorder="1" applyAlignment="1">
      <alignment horizontal="left" vertical="center" wrapText="1"/>
    </xf>
    <xf numFmtId="3" fontId="9" fillId="0" borderId="0" xfId="0" applyNumberFormat="1" applyFont="1" applyFill="1" applyBorder="1" applyAlignment="1">
      <alignment horizontal="right" vertical="center"/>
    </xf>
    <xf numFmtId="49" fontId="9" fillId="0" borderId="2" xfId="5" applyNumberFormat="1" applyFont="1" applyFill="1" applyBorder="1" applyAlignment="1">
      <alignment horizontal="left" wrapText="1"/>
    </xf>
    <xf numFmtId="164" fontId="5" fillId="0" borderId="2" xfId="6" applyNumberFormat="1" applyFont="1" applyFill="1" applyBorder="1" applyAlignment="1"/>
    <xf numFmtId="49" fontId="9" fillId="0" borderId="0" xfId="5" applyNumberFormat="1" applyFont="1" applyFill="1" applyBorder="1" applyAlignment="1">
      <alignment horizontal="left" vertical="center" wrapText="1"/>
    </xf>
    <xf numFmtId="0" fontId="9" fillId="0" borderId="4" xfId="5" applyNumberFormat="1" applyFont="1" applyFill="1" applyBorder="1" applyAlignment="1">
      <alignment horizontal="left" vertical="center" wrapText="1"/>
    </xf>
    <xf numFmtId="164" fontId="9" fillId="0" borderId="4" xfId="5" applyNumberFormat="1" applyFont="1" applyFill="1" applyBorder="1" applyAlignment="1">
      <alignment horizontal="right" vertical="center" wrapText="1"/>
    </xf>
    <xf numFmtId="0" fontId="14" fillId="0" borderId="0" xfId="0" applyFont="1" applyFill="1"/>
    <xf numFmtId="0" fontId="9" fillId="0" borderId="2" xfId="5" applyNumberFormat="1" applyFont="1" applyFill="1" applyBorder="1" applyAlignment="1">
      <alignment horizontal="left"/>
    </xf>
    <xf numFmtId="3" fontId="9" fillId="0" borderId="2" xfId="0" applyNumberFormat="1" applyFont="1" applyFill="1" applyBorder="1"/>
    <xf numFmtId="0" fontId="9" fillId="0" borderId="4" xfId="5" applyFont="1" applyFill="1" applyBorder="1" applyAlignment="1">
      <alignment horizontal="left" vertical="center"/>
    </xf>
    <xf numFmtId="3" fontId="9" fillId="0" borderId="0" xfId="0" applyNumberFormat="1" applyFont="1" applyFill="1" applyBorder="1" applyAlignment="1">
      <alignment horizontal="right"/>
    </xf>
    <xf numFmtId="0" fontId="14" fillId="0" borderId="4" xfId="0" applyFont="1" applyFill="1" applyBorder="1" applyAlignment="1">
      <alignment vertical="center"/>
    </xf>
    <xf numFmtId="0" fontId="5" fillId="2" borderId="0" xfId="0" applyFont="1" applyFill="1" applyBorder="1"/>
    <xf numFmtId="3" fontId="14" fillId="0" borderId="4" xfId="0" applyNumberFormat="1" applyFont="1" applyFill="1" applyBorder="1" applyAlignment="1">
      <alignment vertical="center"/>
    </xf>
    <xf numFmtId="0" fontId="14" fillId="0" borderId="0" xfId="0" applyFont="1" applyFill="1" applyBorder="1"/>
    <xf numFmtId="3" fontId="9" fillId="0" borderId="0" xfId="5" applyNumberFormat="1" applyFont="1" applyFill="1" applyBorder="1" applyAlignment="1">
      <alignment horizontal="center" vertical="center" wrapText="1"/>
    </xf>
    <xf numFmtId="170" fontId="5" fillId="0" borderId="0" xfId="6" applyNumberFormat="1" applyFont="1" applyFill="1" applyBorder="1" applyAlignment="1"/>
    <xf numFmtId="170" fontId="9" fillId="0" borderId="0" xfId="0" applyNumberFormat="1" applyFont="1" applyFill="1"/>
    <xf numFmtId="3" fontId="5" fillId="0" borderId="0" xfId="0" applyNumberFormat="1" applyFont="1" applyFill="1" applyBorder="1"/>
    <xf numFmtId="164" fontId="9" fillId="0" borderId="0" xfId="0" applyNumberFormat="1" applyFont="1" applyFill="1"/>
    <xf numFmtId="164" fontId="9" fillId="0" borderId="4" xfId="0" applyNumberFormat="1" applyFont="1" applyFill="1" applyBorder="1" applyAlignment="1">
      <alignment horizontal="right" vertical="center"/>
    </xf>
    <xf numFmtId="164" fontId="9" fillId="0" borderId="0" xfId="0" applyNumberFormat="1" applyFont="1" applyFill="1" applyBorder="1" applyAlignment="1">
      <alignment horizontal="right" vertical="center"/>
    </xf>
    <xf numFmtId="3" fontId="9" fillId="0" borderId="1" xfId="5" applyNumberFormat="1" applyFont="1" applyFill="1" applyBorder="1" applyAlignment="1">
      <alignment horizontal="center" wrapText="1"/>
    </xf>
    <xf numFmtId="3" fontId="9" fillId="0" borderId="4" xfId="5" applyNumberFormat="1" applyFont="1" applyFill="1" applyBorder="1" applyAlignment="1">
      <alignment horizontal="left" vertical="center"/>
    </xf>
    <xf numFmtId="164" fontId="9" fillId="0" borderId="0" xfId="0" applyNumberFormat="1" applyFont="1" applyFill="1" applyBorder="1" applyAlignment="1">
      <alignment vertical="center"/>
    </xf>
    <xf numFmtId="3" fontId="5" fillId="0" borderId="0" xfId="0" applyNumberFormat="1" applyFont="1" applyFill="1" applyBorder="1" applyAlignment="1">
      <alignment vertical="center"/>
    </xf>
    <xf numFmtId="3" fontId="9" fillId="0" borderId="1" xfId="5" applyNumberFormat="1" applyFont="1" applyFill="1" applyBorder="1" applyAlignment="1">
      <alignment horizontal="center" vertical="center" wrapText="1"/>
    </xf>
    <xf numFmtId="3" fontId="5" fillId="0" borderId="0" xfId="0" applyNumberFormat="1" applyFont="1" applyFill="1"/>
    <xf numFmtId="3" fontId="14" fillId="0" borderId="4" xfId="0" applyNumberFormat="1" applyFont="1" applyFill="1" applyBorder="1" applyAlignment="1">
      <alignment horizontal="left" vertical="center"/>
    </xf>
    <xf numFmtId="0" fontId="2" fillId="0" borderId="0" xfId="0" applyFont="1" applyFill="1"/>
    <xf numFmtId="0" fontId="14" fillId="0" borderId="1" xfId="0" applyFont="1" applyFill="1" applyBorder="1"/>
    <xf numFmtId="0" fontId="9" fillId="0" borderId="1" xfId="5" applyFont="1" applyFill="1" applyBorder="1" applyAlignment="1">
      <alignment horizontal="right" wrapText="1"/>
    </xf>
    <xf numFmtId="0" fontId="14" fillId="0" borderId="3" xfId="5" applyFont="1" applyFill="1" applyBorder="1" applyAlignment="1">
      <alignment horizontal="left"/>
    </xf>
    <xf numFmtId="0" fontId="9" fillId="0" borderId="2" xfId="5" applyNumberFormat="1" applyFont="1" applyFill="1" applyBorder="1" applyAlignment="1">
      <alignment horizontal="left" vertical="center"/>
    </xf>
    <xf numFmtId="0" fontId="9" fillId="0" borderId="0" xfId="5" applyFont="1" applyFill="1" applyBorder="1" applyAlignment="1">
      <alignment horizontal="left" vertical="center"/>
    </xf>
    <xf numFmtId="0" fontId="14" fillId="0" borderId="0" xfId="0" applyFont="1" applyFill="1" applyBorder="1" applyAlignment="1">
      <alignment vertical="top" wrapText="1"/>
    </xf>
    <xf numFmtId="0" fontId="14" fillId="0" borderId="1" xfId="0" applyFont="1" applyFill="1" applyBorder="1" applyAlignment="1"/>
    <xf numFmtId="0" fontId="9" fillId="0" borderId="1" xfId="5" applyFont="1" applyFill="1" applyBorder="1" applyAlignment="1">
      <alignment horizontal="right" vertical="center" wrapText="1"/>
    </xf>
    <xf numFmtId="0" fontId="9" fillId="0" borderId="0" xfId="0" applyFont="1" applyFill="1" applyAlignment="1">
      <alignment horizontal="right" vertical="center"/>
    </xf>
    <xf numFmtId="0" fontId="5" fillId="0" borderId="3" xfId="0" applyFont="1" applyFill="1" applyBorder="1" applyAlignment="1">
      <alignment vertical="center"/>
    </xf>
    <xf numFmtId="0" fontId="9" fillId="0" borderId="1" xfId="0" applyFont="1" applyFill="1" applyBorder="1" applyAlignment="1">
      <alignment horizontal="right" vertical="center"/>
    </xf>
    <xf numFmtId="1" fontId="9" fillId="0" borderId="0" xfId="5" applyNumberFormat="1" applyFont="1" applyFill="1" applyBorder="1" applyAlignment="1">
      <alignment horizontal="right" vertical="center" wrapText="1"/>
    </xf>
    <xf numFmtId="164" fontId="9" fillId="0" borderId="0" xfId="0" applyNumberFormat="1" applyFont="1" applyFill="1" applyBorder="1"/>
    <xf numFmtId="0" fontId="5" fillId="0" borderId="0" xfId="5" applyFont="1" applyFill="1" applyBorder="1" applyAlignment="1">
      <alignment horizontal="left"/>
    </xf>
    <xf numFmtId="3" fontId="9" fillId="0" borderId="3" xfId="0" applyNumberFormat="1" applyFont="1" applyFill="1" applyBorder="1" applyAlignment="1"/>
    <xf numFmtId="0" fontId="5" fillId="0" borderId="0" xfId="0" applyFont="1" applyFill="1" applyAlignment="1"/>
    <xf numFmtId="3" fontId="5" fillId="0" borderId="1" xfId="5" applyNumberFormat="1" applyFont="1" applyFill="1" applyBorder="1" applyAlignment="1">
      <alignment horizontal="right" wrapText="1"/>
    </xf>
    <xf numFmtId="164" fontId="5" fillId="0" borderId="1" xfId="6" applyNumberFormat="1" applyFont="1" applyFill="1" applyBorder="1" applyAlignment="1"/>
    <xf numFmtId="164" fontId="5" fillId="0" borderId="0" xfId="5" applyNumberFormat="1" applyFont="1" applyFill="1" applyBorder="1" applyAlignment="1">
      <alignment horizontal="right" wrapText="1"/>
    </xf>
    <xf numFmtId="164" fontId="9" fillId="0" borderId="0" xfId="6" applyNumberFormat="1" applyFont="1" applyFill="1" applyBorder="1" applyAlignment="1"/>
    <xf numFmtId="0" fontId="5" fillId="0" borderId="0" xfId="0" applyFont="1" applyFill="1" applyBorder="1" applyAlignment="1">
      <alignment vertical="top" wrapText="1"/>
    </xf>
    <xf numFmtId="3" fontId="8" fillId="0" borderId="0" xfId="0" applyNumberFormat="1" applyFont="1" applyFill="1" applyBorder="1" applyAlignment="1"/>
    <xf numFmtId="164" fontId="5" fillId="0" borderId="0" xfId="0" applyNumberFormat="1" applyFont="1" applyFill="1" applyBorder="1"/>
    <xf numFmtId="172" fontId="5" fillId="0" borderId="0" xfId="0" applyNumberFormat="1" applyFont="1" applyFill="1" applyBorder="1"/>
    <xf numFmtId="164" fontId="9" fillId="0" borderId="4" xfId="0" applyNumberFormat="1" applyFont="1" applyFill="1" applyBorder="1" applyAlignment="1">
      <alignment vertical="center"/>
    </xf>
    <xf numFmtId="171" fontId="9" fillId="0" borderId="4" xfId="0" applyNumberFormat="1" applyFont="1" applyFill="1" applyBorder="1" applyAlignment="1">
      <alignment vertical="center"/>
    </xf>
    <xf numFmtId="0" fontId="9" fillId="0" borderId="1" xfId="0" applyFont="1" applyFill="1" applyBorder="1" applyAlignment="1">
      <alignment horizontal="right"/>
    </xf>
    <xf numFmtId="0" fontId="9" fillId="0" borderId="0" xfId="0" applyFont="1" applyFill="1" applyBorder="1" applyAlignment="1">
      <alignment horizontal="right"/>
    </xf>
    <xf numFmtId="1" fontId="16" fillId="0" borderId="0" xfId="0" applyNumberFormat="1" applyFont="1" applyFill="1" applyBorder="1" applyAlignment="1">
      <alignment vertical="center"/>
    </xf>
    <xf numFmtId="0" fontId="10" fillId="0" borderId="0" xfId="0" applyFont="1" applyFill="1" applyBorder="1"/>
    <xf numFmtId="0" fontId="9" fillId="0" borderId="1" xfId="0" applyFont="1" applyFill="1" applyBorder="1" applyAlignment="1">
      <alignment wrapText="1"/>
    </xf>
    <xf numFmtId="3" fontId="5" fillId="0" borderId="0" xfId="7" applyNumberFormat="1" applyFont="1" applyFill="1" applyBorder="1" applyAlignment="1">
      <alignment horizontal="right"/>
    </xf>
    <xf numFmtId="3" fontId="5" fillId="0" borderId="0" xfId="0" applyNumberFormat="1" applyFont="1" applyFill="1" applyBorder="1" applyAlignment="1">
      <alignment horizontal="right"/>
    </xf>
    <xf numFmtId="3" fontId="9" fillId="0" borderId="1" xfId="0" applyNumberFormat="1" applyFont="1" applyFill="1" applyBorder="1" applyAlignment="1">
      <alignment horizontal="right"/>
    </xf>
    <xf numFmtId="9" fontId="9" fillId="0" borderId="0" xfId="2" applyFont="1" applyFill="1" applyBorder="1"/>
    <xf numFmtId="9" fontId="10" fillId="0" borderId="0" xfId="2" applyFont="1" applyFill="1" applyBorder="1" applyAlignment="1">
      <alignment horizontal="right"/>
    </xf>
    <xf numFmtId="168" fontId="11" fillId="0" borderId="0" xfId="2" applyNumberFormat="1" applyFont="1" applyFill="1" applyBorder="1" applyAlignment="1">
      <alignment horizontal="right"/>
    </xf>
    <xf numFmtId="0" fontId="9" fillId="0" borderId="0" xfId="2" applyNumberFormat="1" applyFont="1" applyFill="1" applyBorder="1" applyAlignment="1">
      <alignment horizontal="left"/>
    </xf>
    <xf numFmtId="0" fontId="9" fillId="0" borderId="1" xfId="2" applyNumberFormat="1" applyFont="1" applyFill="1" applyBorder="1" applyAlignment="1">
      <alignment horizontal="left"/>
    </xf>
    <xf numFmtId="168" fontId="11" fillId="0" borderId="1" xfId="2" applyNumberFormat="1" applyFont="1" applyFill="1" applyBorder="1" applyAlignment="1">
      <alignment horizontal="right"/>
    </xf>
    <xf numFmtId="3" fontId="5" fillId="0" borderId="2" xfId="0" applyNumberFormat="1" applyFont="1" applyFill="1" applyBorder="1"/>
    <xf numFmtId="0" fontId="8" fillId="2" borderId="1" xfId="8" applyFont="1" applyFill="1" applyBorder="1" applyAlignment="1">
      <alignment horizontal="left" vertical="top" wrapText="1"/>
    </xf>
    <xf numFmtId="0" fontId="10" fillId="2" borderId="1" xfId="8" applyFont="1" applyFill="1" applyBorder="1" applyAlignment="1">
      <alignment horizontal="right" wrapText="1"/>
    </xf>
    <xf numFmtId="0" fontId="9" fillId="2" borderId="0" xfId="0" applyFont="1" applyFill="1" applyAlignment="1">
      <alignment horizontal="right"/>
    </xf>
    <xf numFmtId="0" fontId="14" fillId="2" borderId="1" xfId="7" applyFont="1" applyFill="1" applyBorder="1" applyAlignment="1"/>
    <xf numFmtId="3" fontId="9" fillId="2" borderId="1" xfId="0" applyNumberFormat="1" applyFont="1" applyFill="1" applyBorder="1" applyAlignment="1">
      <alignment horizontal="right"/>
    </xf>
    <xf numFmtId="0" fontId="9" fillId="2" borderId="1" xfId="0" applyFont="1" applyFill="1" applyBorder="1" applyAlignment="1">
      <alignment horizontal="right"/>
    </xf>
    <xf numFmtId="0" fontId="5" fillId="2" borderId="1" xfId="0" applyFont="1" applyFill="1" applyBorder="1"/>
    <xf numFmtId="0" fontId="9" fillId="2" borderId="0" xfId="7" applyFont="1" applyFill="1" applyBorder="1" applyAlignment="1">
      <alignment horizontal="left" indent="1"/>
    </xf>
    <xf numFmtId="0" fontId="5" fillId="2" borderId="0" xfId="7" applyFont="1" applyFill="1" applyBorder="1" applyAlignment="1"/>
    <xf numFmtId="164" fontId="5" fillId="2" borderId="0" xfId="9" applyNumberFormat="1" applyFont="1" applyFill="1" applyBorder="1" applyAlignment="1">
      <alignment horizontal="right" wrapText="1"/>
    </xf>
    <xf numFmtId="168" fontId="11" fillId="2" borderId="0" xfId="2" quotePrefix="1" applyNumberFormat="1" applyFont="1" applyFill="1" applyBorder="1" applyAlignment="1">
      <alignment horizontal="right"/>
    </xf>
    <xf numFmtId="164" fontId="5" fillId="2" borderId="0" xfId="9" quotePrefix="1" applyNumberFormat="1" applyFont="1" applyFill="1" applyBorder="1" applyAlignment="1">
      <alignment horizontal="right" wrapText="1"/>
    </xf>
    <xf numFmtId="0" fontId="5" fillId="2" borderId="0" xfId="9" applyFont="1" applyFill="1" applyBorder="1" applyAlignment="1">
      <alignment horizontal="right" wrapText="1"/>
    </xf>
    <xf numFmtId="3" fontId="9" fillId="2" borderId="0" xfId="0" applyNumberFormat="1" applyFont="1" applyFill="1" applyBorder="1" applyAlignment="1">
      <alignment horizontal="right"/>
    </xf>
    <xf numFmtId="0" fontId="9" fillId="2" borderId="0" xfId="7" applyFont="1" applyFill="1" applyBorder="1" applyAlignment="1">
      <alignment horizontal="left"/>
    </xf>
    <xf numFmtId="0" fontId="9" fillId="2" borderId="4" xfId="7" applyFont="1" applyFill="1" applyBorder="1" applyAlignment="1">
      <alignment vertical="center" wrapText="1"/>
    </xf>
    <xf numFmtId="3" fontId="9" fillId="2" borderId="4" xfId="7" applyNumberFormat="1" applyFont="1" applyFill="1" applyBorder="1" applyAlignment="1">
      <alignment horizontal="right" vertical="center"/>
    </xf>
    <xf numFmtId="168" fontId="10" fillId="2" borderId="4" xfId="2" quotePrefix="1" applyNumberFormat="1" applyFont="1" applyFill="1" applyBorder="1" applyAlignment="1">
      <alignment horizontal="right" vertical="center"/>
    </xf>
    <xf numFmtId="3" fontId="5" fillId="2" borderId="0" xfId="7" applyNumberFormat="1" applyFont="1" applyFill="1" applyBorder="1" applyAlignment="1">
      <alignment horizontal="right"/>
    </xf>
    <xf numFmtId="3" fontId="5" fillId="2" borderId="0" xfId="0" applyNumberFormat="1" applyFont="1" applyFill="1" applyBorder="1" applyAlignment="1">
      <alignment horizontal="right"/>
    </xf>
    <xf numFmtId="1" fontId="11" fillId="2" borderId="0" xfId="7" quotePrefix="1" applyNumberFormat="1" applyFont="1" applyFill="1" applyBorder="1" applyAlignment="1">
      <alignment horizontal="right"/>
    </xf>
    <xf numFmtId="3" fontId="9" fillId="2" borderId="1" xfId="7" applyNumberFormat="1" applyFont="1" applyFill="1" applyBorder="1" applyAlignment="1">
      <alignment horizontal="right"/>
    </xf>
    <xf numFmtId="0" fontId="9" fillId="2" borderId="0" xfId="7" applyFont="1" applyFill="1" applyBorder="1" applyAlignment="1"/>
    <xf numFmtId="1" fontId="10" fillId="2" borderId="1" xfId="7" quotePrefix="1" applyNumberFormat="1" applyFont="1" applyFill="1" applyBorder="1" applyAlignment="1">
      <alignment horizontal="right"/>
    </xf>
    <xf numFmtId="0" fontId="10" fillId="2" borderId="1" xfId="0" applyFont="1" applyFill="1" applyBorder="1" applyAlignment="1">
      <alignment horizontal="right"/>
    </xf>
    <xf numFmtId="0" fontId="5" fillId="2" borderId="0" xfId="0" applyNumberFormat="1" applyFont="1" applyFill="1"/>
    <xf numFmtId="0" fontId="9" fillId="2" borderId="4" xfId="7" applyFont="1" applyFill="1" applyBorder="1" applyAlignment="1">
      <alignment vertical="center"/>
    </xf>
    <xf numFmtId="0" fontId="14" fillId="2" borderId="1" xfId="0" applyFont="1" applyFill="1" applyBorder="1" applyAlignment="1"/>
    <xf numFmtId="0" fontId="9" fillId="2" borderId="0" xfId="0" applyFont="1" applyFill="1" applyBorder="1" applyAlignment="1"/>
    <xf numFmtId="0" fontId="5" fillId="2" borderId="0" xfId="0" applyFont="1" applyFill="1" applyBorder="1" applyAlignment="1"/>
    <xf numFmtId="3" fontId="9" fillId="2" borderId="0" xfId="7" applyNumberFormat="1" applyFont="1" applyFill="1" applyBorder="1" applyAlignment="1">
      <alignment horizontal="right"/>
    </xf>
    <xf numFmtId="3" fontId="9" fillId="2" borderId="0" xfId="0" quotePrefix="1" applyNumberFormat="1" applyFont="1" applyFill="1" applyBorder="1" applyAlignment="1">
      <alignment horizontal="right"/>
    </xf>
    <xf numFmtId="0" fontId="9" fillId="2" borderId="0" xfId="7" applyFont="1" applyFill="1" applyBorder="1" applyAlignment="1">
      <alignment vertical="center"/>
    </xf>
    <xf numFmtId="3" fontId="9" fillId="2" borderId="0" xfId="7" applyNumberFormat="1" applyFont="1" applyFill="1" applyBorder="1" applyAlignment="1">
      <alignment horizontal="right" vertical="center"/>
    </xf>
    <xf numFmtId="3" fontId="9" fillId="2" borderId="0" xfId="0" applyNumberFormat="1" applyFont="1" applyFill="1" applyBorder="1" applyAlignment="1">
      <alignment horizontal="right" vertical="center"/>
    </xf>
    <xf numFmtId="9" fontId="10" fillId="2" borderId="0" xfId="2" quotePrefix="1" applyFont="1" applyFill="1" applyBorder="1" applyAlignment="1">
      <alignment horizontal="right" vertical="center"/>
    </xf>
    <xf numFmtId="0" fontId="14" fillId="2" borderId="4" xfId="0" applyFont="1" applyFill="1" applyBorder="1" applyAlignment="1">
      <alignment vertical="center"/>
    </xf>
    <xf numFmtId="3" fontId="9" fillId="2" borderId="4" xfId="0" applyNumberFormat="1" applyFont="1" applyFill="1" applyBorder="1" applyAlignment="1">
      <alignment vertical="center"/>
    </xf>
    <xf numFmtId="0" fontId="14" fillId="2" borderId="0" xfId="0" applyFont="1" applyFill="1" applyBorder="1" applyAlignment="1"/>
    <xf numFmtId="3" fontId="9" fillId="2" borderId="0" xfId="0" applyNumberFormat="1" applyFont="1" applyFill="1" applyBorder="1" applyAlignment="1">
      <alignment vertical="center"/>
    </xf>
    <xf numFmtId="0" fontId="14" fillId="2" borderId="4" xfId="0" applyFont="1" applyFill="1" applyBorder="1" applyAlignment="1">
      <alignment vertical="center" wrapText="1"/>
    </xf>
    <xf numFmtId="0" fontId="5" fillId="2" borderId="0" xfId="0" applyFont="1" applyFill="1" applyAlignment="1"/>
    <xf numFmtId="0" fontId="5" fillId="2" borderId="0" xfId="0" applyFont="1" applyFill="1" applyAlignment="1">
      <alignment horizontal="right"/>
    </xf>
    <xf numFmtId="172" fontId="5" fillId="2" borderId="0" xfId="0" applyNumberFormat="1" applyFont="1" applyFill="1" applyAlignment="1"/>
    <xf numFmtId="0" fontId="9" fillId="2" borderId="0" xfId="0" applyFont="1" applyFill="1" applyBorder="1"/>
    <xf numFmtId="0" fontId="10" fillId="2" borderId="0" xfId="0" applyFont="1" applyFill="1" applyBorder="1" applyAlignment="1">
      <alignment horizontal="right"/>
    </xf>
    <xf numFmtId="0" fontId="9" fillId="2" borderId="5" xfId="0" applyFont="1" applyFill="1" applyBorder="1" applyAlignment="1">
      <alignment vertical="center"/>
    </xf>
    <xf numFmtId="0" fontId="9" fillId="2" borderId="5" xfId="10" applyFont="1" applyFill="1" applyBorder="1" applyAlignment="1">
      <alignment horizontal="right" vertical="center" wrapText="1"/>
    </xf>
    <xf numFmtId="0" fontId="5" fillId="2" borderId="0" xfId="0" applyFont="1" applyFill="1" applyBorder="1" applyAlignment="1">
      <alignment vertical="center"/>
    </xf>
    <xf numFmtId="166" fontId="5" fillId="2" borderId="0" xfId="1" applyNumberFormat="1" applyFont="1" applyFill="1" applyAlignment="1"/>
    <xf numFmtId="166" fontId="5" fillId="2" borderId="0" xfId="1" applyNumberFormat="1" applyFont="1" applyFill="1" applyBorder="1" applyAlignment="1"/>
    <xf numFmtId="166" fontId="9" fillId="2" borderId="0" xfId="1" applyNumberFormat="1" applyFont="1" applyFill="1" applyBorder="1" applyAlignment="1"/>
    <xf numFmtId="168" fontId="11" fillId="2" borderId="0" xfId="2" quotePrefix="1" applyNumberFormat="1" applyFont="1" applyFill="1" applyBorder="1" applyAlignment="1"/>
    <xf numFmtId="0" fontId="9" fillId="2" borderId="4" xfId="0" applyFont="1" applyFill="1" applyBorder="1" applyAlignment="1">
      <alignment horizontal="left" vertical="center"/>
    </xf>
    <xf numFmtId="166" fontId="9" fillId="2" borderId="4" xfId="1" applyNumberFormat="1" applyFont="1" applyFill="1" applyBorder="1" applyAlignment="1">
      <alignment horizontal="right" vertical="center"/>
    </xf>
    <xf numFmtId="168" fontId="11" fillId="2" borderId="4" xfId="2" quotePrefix="1" applyNumberFormat="1" applyFont="1" applyFill="1" applyBorder="1" applyAlignment="1">
      <alignment horizontal="right" vertical="center"/>
    </xf>
    <xf numFmtId="0" fontId="5" fillId="2" borderId="0" xfId="0" applyFont="1" applyFill="1" applyAlignment="1">
      <alignment vertical="center"/>
    </xf>
    <xf numFmtId="0" fontId="9" fillId="0" borderId="1" xfId="7" applyFont="1" applyFill="1" applyBorder="1" applyAlignment="1">
      <alignment horizontal="right" wrapText="1"/>
    </xf>
    <xf numFmtId="0" fontId="9" fillId="0" borderId="0" xfId="7" applyFont="1" applyFill="1" applyBorder="1" applyAlignment="1">
      <alignment horizontal="left"/>
    </xf>
    <xf numFmtId="166" fontId="9" fillId="0" borderId="0" xfId="1" applyNumberFormat="1" applyFont="1" applyFill="1" applyBorder="1" applyAlignment="1">
      <alignment horizontal="right"/>
    </xf>
    <xf numFmtId="0" fontId="9" fillId="0" borderId="0" xfId="7" applyFont="1" applyFill="1" applyBorder="1" applyAlignment="1">
      <alignment horizontal="left" wrapText="1"/>
    </xf>
    <xf numFmtId="0" fontId="9" fillId="0" borderId="4" xfId="0" applyFont="1" applyFill="1" applyBorder="1" applyAlignment="1">
      <alignment horizontal="left" vertical="center"/>
    </xf>
    <xf numFmtId="3" fontId="9" fillId="0" borderId="4" xfId="0" applyNumberFormat="1" applyFont="1" applyFill="1" applyBorder="1" applyAlignment="1">
      <alignment vertical="center"/>
    </xf>
    <xf numFmtId="0" fontId="5" fillId="0" borderId="0" xfId="0" applyFont="1" applyFill="1" applyAlignment="1">
      <alignment vertical="center" wrapText="1"/>
    </xf>
    <xf numFmtId="9" fontId="9" fillId="0" borderId="1" xfId="2" applyFont="1" applyFill="1" applyBorder="1" applyAlignment="1">
      <alignment horizontal="right" wrapText="1"/>
    </xf>
    <xf numFmtId="9" fontId="9" fillId="0" borderId="0" xfId="2" applyFont="1" applyFill="1" applyBorder="1" applyAlignment="1">
      <alignment horizontal="left"/>
    </xf>
    <xf numFmtId="168" fontId="5" fillId="0" borderId="0" xfId="2" applyNumberFormat="1" applyFont="1" applyFill="1" applyBorder="1" applyAlignment="1"/>
    <xf numFmtId="168" fontId="9" fillId="0" borderId="0" xfId="2" applyNumberFormat="1" applyFont="1" applyFill="1" applyBorder="1" applyAlignment="1"/>
    <xf numFmtId="9" fontId="9" fillId="0" borderId="0" xfId="2" applyFont="1" applyFill="1" applyBorder="1" applyAlignment="1">
      <alignment horizontal="left" wrapText="1"/>
    </xf>
    <xf numFmtId="9" fontId="9" fillId="0" borderId="4" xfId="2" applyFont="1" applyFill="1" applyBorder="1" applyAlignment="1">
      <alignment horizontal="left" vertical="center"/>
    </xf>
    <xf numFmtId="9" fontId="9" fillId="0" borderId="4" xfId="2" applyFont="1" applyFill="1" applyBorder="1" applyAlignment="1">
      <alignment vertical="center"/>
    </xf>
    <xf numFmtId="9" fontId="11" fillId="0" borderId="0" xfId="2" applyFont="1" applyFill="1" applyBorder="1" applyAlignment="1"/>
    <xf numFmtId="9" fontId="10" fillId="0" borderId="0" xfId="2" applyFont="1" applyFill="1" applyBorder="1" applyAlignment="1"/>
    <xf numFmtId="0" fontId="8" fillId="2" borderId="1" xfId="0" applyFont="1" applyFill="1" applyBorder="1" applyAlignment="1">
      <alignment horizontal="left" vertical="top" wrapText="1"/>
    </xf>
    <xf numFmtId="0" fontId="9" fillId="2" borderId="1" xfId="0" applyFont="1" applyFill="1" applyBorder="1" applyAlignment="1">
      <alignment horizontal="right" wrapText="1"/>
    </xf>
    <xf numFmtId="0" fontId="18" fillId="2" borderId="0" xfId="3" applyFont="1" applyFill="1" applyAlignment="1" applyProtection="1">
      <alignment vertical="top"/>
    </xf>
    <xf numFmtId="9" fontId="10" fillId="2" borderId="0" xfId="2" quotePrefix="1" applyFont="1" applyFill="1" applyBorder="1" applyAlignment="1">
      <alignment horizontal="right"/>
    </xf>
    <xf numFmtId="1" fontId="5" fillId="2" borderId="0" xfId="7" applyNumberFormat="1" applyFont="1" applyFill="1" applyBorder="1" applyAlignment="1">
      <alignment horizontal="right"/>
    </xf>
    <xf numFmtId="1" fontId="5" fillId="2" borderId="0" xfId="0" applyNumberFormat="1" applyFont="1" applyFill="1" applyBorder="1" applyAlignment="1">
      <alignment horizontal="right"/>
    </xf>
    <xf numFmtId="1" fontId="9" fillId="2" borderId="0" xfId="0" applyNumberFormat="1" applyFont="1" applyFill="1" applyBorder="1" applyAlignment="1">
      <alignment horizontal="right"/>
    </xf>
    <xf numFmtId="1" fontId="9" fillId="2" borderId="4" xfId="0" applyNumberFormat="1" applyFont="1" applyFill="1" applyBorder="1" applyAlignment="1">
      <alignment horizontal="right" vertical="center"/>
    </xf>
    <xf numFmtId="1" fontId="9" fillId="2" borderId="0" xfId="7" applyNumberFormat="1" applyFont="1" applyFill="1" applyBorder="1" applyAlignment="1">
      <alignment horizontal="right"/>
    </xf>
    <xf numFmtId="0" fontId="9" fillId="2" borderId="0" xfId="0" applyFont="1" applyFill="1" applyBorder="1" applyAlignment="1">
      <alignment wrapText="1"/>
    </xf>
    <xf numFmtId="0" fontId="9" fillId="2" borderId="1" xfId="0" applyFont="1" applyFill="1" applyBorder="1" applyAlignment="1">
      <alignment wrapText="1"/>
    </xf>
    <xf numFmtId="0" fontId="9" fillId="2" borderId="5" xfId="0" applyFont="1" applyFill="1" applyBorder="1" applyAlignment="1">
      <alignment horizontal="right" wrapText="1"/>
    </xf>
    <xf numFmtId="0" fontId="9" fillId="2" borderId="0" xfId="0" applyFont="1" applyFill="1" applyBorder="1" applyAlignment="1">
      <alignment horizontal="right" wrapText="1"/>
    </xf>
    <xf numFmtId="0" fontId="9" fillId="2" borderId="0" xfId="0" applyFont="1" applyFill="1" applyBorder="1" applyAlignment="1">
      <alignment horizontal="left"/>
    </xf>
    <xf numFmtId="172" fontId="11" fillId="2" borderId="0" xfId="0" applyNumberFormat="1" applyFont="1" applyFill="1" applyBorder="1"/>
    <xf numFmtId="172" fontId="11" fillId="2" borderId="0" xfId="0" applyNumberFormat="1" applyFont="1" applyFill="1" applyBorder="1" applyAlignment="1">
      <alignment horizontal="right"/>
    </xf>
    <xf numFmtId="1" fontId="11" fillId="2" borderId="0" xfId="0" applyNumberFormat="1" applyFont="1" applyFill="1" applyBorder="1" applyAlignment="1">
      <alignment horizontal="right"/>
    </xf>
    <xf numFmtId="172" fontId="10" fillId="2" borderId="0" xfId="0" applyNumberFormat="1" applyFont="1" applyFill="1" applyBorder="1" applyAlignment="1">
      <alignment horizontal="right"/>
    </xf>
    <xf numFmtId="172" fontId="10" fillId="2" borderId="0" xfId="0" applyNumberFormat="1" applyFont="1" applyFill="1" applyBorder="1"/>
    <xf numFmtId="172" fontId="11" fillId="2" borderId="0" xfId="0" applyNumberFormat="1" applyFont="1" applyFill="1" applyBorder="1" applyAlignment="1"/>
    <xf numFmtId="172" fontId="10" fillId="2" borderId="0" xfId="0" applyNumberFormat="1" applyFont="1" applyFill="1" applyBorder="1" applyAlignment="1"/>
    <xf numFmtId="0" fontId="5" fillId="2" borderId="2" xfId="0" applyFont="1" applyFill="1" applyBorder="1"/>
    <xf numFmtId="0" fontId="5" fillId="2" borderId="0" xfId="4" applyFont="1" applyFill="1" applyBorder="1"/>
    <xf numFmtId="0" fontId="8" fillId="2" borderId="1" xfId="0" applyFont="1" applyFill="1" applyBorder="1" applyAlignment="1">
      <alignment horizontal="left" vertical="center" wrapText="1"/>
    </xf>
    <xf numFmtId="0" fontId="10" fillId="2" borderId="1" xfId="0" applyFont="1" applyFill="1" applyBorder="1" applyAlignment="1">
      <alignment horizontal="right" vertical="center" wrapText="1"/>
    </xf>
    <xf numFmtId="0" fontId="9" fillId="2" borderId="1" xfId="0" applyFont="1" applyFill="1" applyBorder="1"/>
    <xf numFmtId="0" fontId="9" fillId="2" borderId="0" xfId="7" applyFont="1" applyFill="1" applyBorder="1" applyAlignment="1">
      <alignment horizontal="right" wrapText="1"/>
    </xf>
    <xf numFmtId="0" fontId="9" fillId="2" borderId="3" xfId="0" applyFont="1" applyFill="1" applyBorder="1" applyAlignment="1">
      <alignment horizontal="left"/>
    </xf>
    <xf numFmtId="172" fontId="11" fillId="2" borderId="3" xfId="0" applyNumberFormat="1" applyFont="1" applyFill="1" applyBorder="1" applyAlignment="1">
      <alignment horizontal="right"/>
    </xf>
    <xf numFmtId="172" fontId="10" fillId="2" borderId="3" xfId="0" applyNumberFormat="1" applyFont="1" applyFill="1" applyBorder="1" applyAlignment="1">
      <alignment horizontal="right"/>
    </xf>
    <xf numFmtId="0" fontId="9" fillId="2" borderId="0" xfId="0" applyFont="1" applyFill="1" applyBorder="1" applyAlignment="1">
      <alignment horizontal="left" vertical="center"/>
    </xf>
    <xf numFmtId="172" fontId="5" fillId="2" borderId="0" xfId="0" applyNumberFormat="1" applyFont="1" applyFill="1" applyBorder="1" applyAlignment="1">
      <alignment vertical="center"/>
    </xf>
    <xf numFmtId="0" fontId="6" fillId="2" borderId="0" xfId="0" applyFont="1" applyFill="1"/>
    <xf numFmtId="14" fontId="9" fillId="2" borderId="1" xfId="0" applyNumberFormat="1" applyFont="1" applyFill="1" applyBorder="1" applyAlignment="1" applyProtection="1">
      <alignment horizontal="right"/>
      <protection locked="0"/>
    </xf>
    <xf numFmtId="0" fontId="5" fillId="2" borderId="0" xfId="0" applyFont="1" applyFill="1" applyBorder="1" applyAlignment="1">
      <alignment horizontal="right"/>
    </xf>
    <xf numFmtId="0" fontId="5" fillId="2" borderId="0" xfId="0" quotePrefix="1" applyFont="1" applyFill="1" applyBorder="1" applyAlignment="1">
      <alignment horizontal="right"/>
    </xf>
    <xf numFmtId="0" fontId="5" fillId="2" borderId="3" xfId="0" applyFont="1" applyFill="1" applyBorder="1" applyAlignment="1">
      <alignment horizontal="right"/>
    </xf>
    <xf numFmtId="1" fontId="11" fillId="2" borderId="3" xfId="0" applyNumberFormat="1" applyFont="1" applyFill="1" applyBorder="1" applyAlignment="1">
      <alignment horizontal="right"/>
    </xf>
    <xf numFmtId="0" fontId="5" fillId="0" borderId="0" xfId="0" applyFont="1" applyFill="1" applyProtection="1">
      <protection locked="0"/>
    </xf>
    <xf numFmtId="0" fontId="5" fillId="0" borderId="1" xfId="0" applyFont="1" applyFill="1" applyBorder="1" applyProtection="1">
      <protection locked="0"/>
    </xf>
    <xf numFmtId="0" fontId="5" fillId="0" borderId="0" xfId="0" applyFont="1" applyFill="1" applyBorder="1" applyProtection="1">
      <protection locked="0"/>
    </xf>
    <xf numFmtId="164" fontId="9" fillId="0" borderId="2" xfId="0" applyNumberFormat="1" applyFont="1" applyFill="1" applyBorder="1"/>
    <xf numFmtId="0" fontId="9" fillId="0" borderId="0" xfId="0" applyFont="1" applyFill="1" applyBorder="1" applyProtection="1">
      <protection locked="0"/>
    </xf>
    <xf numFmtId="0" fontId="9" fillId="0" borderId="0" xfId="0" applyNumberFormat="1" applyFont="1" applyFill="1" applyBorder="1" applyAlignment="1" applyProtection="1">
      <alignment horizontal="right"/>
      <protection locked="0"/>
    </xf>
    <xf numFmtId="0" fontId="9" fillId="2" borderId="0" xfId="0" applyFont="1" applyFill="1" applyBorder="1" applyAlignment="1">
      <alignment horizontal="left" vertical="center" wrapText="1"/>
    </xf>
    <xf numFmtId="0" fontId="10" fillId="2" borderId="1" xfId="0" applyFont="1" applyFill="1" applyBorder="1" applyAlignment="1"/>
    <xf numFmtId="0" fontId="14" fillId="2" borderId="1" xfId="0" applyFont="1" applyFill="1" applyBorder="1" applyAlignment="1">
      <alignment vertical="center"/>
    </xf>
    <xf numFmtId="0" fontId="19" fillId="2" borderId="1" xfId="0" applyFont="1" applyFill="1" applyBorder="1"/>
    <xf numFmtId="0" fontId="19" fillId="2" borderId="1" xfId="0" applyFont="1" applyFill="1" applyBorder="1" applyAlignment="1">
      <alignment horizontal="right" wrapText="1"/>
    </xf>
    <xf numFmtId="3" fontId="5" fillId="2" borderId="0" xfId="0" applyNumberFormat="1" applyFont="1" applyFill="1" applyBorder="1" applyAlignment="1"/>
    <xf numFmtId="3" fontId="5" fillId="2" borderId="0" xfId="0" applyNumberFormat="1" applyFont="1" applyFill="1" applyBorder="1"/>
    <xf numFmtId="14" fontId="9" fillId="0" borderId="1" xfId="0" applyNumberFormat="1" applyFont="1" applyFill="1" applyBorder="1" applyAlignment="1">
      <alignment horizontal="right" wrapText="1"/>
    </xf>
    <xf numFmtId="164" fontId="5" fillId="0" borderId="0" xfId="0" applyNumberFormat="1" applyFont="1" applyFill="1" applyBorder="1" applyAlignment="1">
      <alignment horizontal="right" wrapText="1"/>
    </xf>
    <xf numFmtId="164" fontId="9" fillId="0" borderId="0" xfId="0" applyNumberFormat="1" applyFont="1" applyFill="1" applyBorder="1" applyAlignment="1">
      <alignment horizontal="right" wrapText="1"/>
    </xf>
    <xf numFmtId="0" fontId="9" fillId="0" borderId="4" xfId="0" applyFont="1" applyFill="1" applyBorder="1" applyAlignment="1">
      <alignment horizontal="left" vertical="center" wrapText="1"/>
    </xf>
    <xf numFmtId="0" fontId="9" fillId="0" borderId="0" xfId="0" applyNumberFormat="1" applyFont="1" applyFill="1" applyBorder="1" applyAlignment="1">
      <alignment horizontal="right" vertical="center" wrapText="1"/>
    </xf>
    <xf numFmtId="0" fontId="9" fillId="0" borderId="0" xfId="0" applyNumberFormat="1" applyFont="1" applyFill="1" applyBorder="1" applyAlignment="1">
      <alignment horizontal="right" vertical="center"/>
    </xf>
    <xf numFmtId="0" fontId="9" fillId="0" borderId="0" xfId="0" applyFont="1" applyFill="1" applyBorder="1" applyAlignment="1">
      <alignment horizontal="center"/>
    </xf>
    <xf numFmtId="0" fontId="9" fillId="0" borderId="5" xfId="12" applyFont="1" applyFill="1" applyBorder="1" applyAlignment="1">
      <alignment horizontal="right" wrapText="1"/>
    </xf>
    <xf numFmtId="0" fontId="9" fillId="0" borderId="5" xfId="0" applyFont="1" applyFill="1" applyBorder="1" applyAlignment="1">
      <alignment horizontal="right" wrapText="1"/>
    </xf>
    <xf numFmtId="164" fontId="9" fillId="0" borderId="0" xfId="0" applyNumberFormat="1" applyFont="1" applyFill="1" applyBorder="1" applyAlignment="1">
      <alignment horizontal="right"/>
    </xf>
    <xf numFmtId="164" fontId="5" fillId="0" borderId="0" xfId="13" applyNumberFormat="1" applyFont="1" applyFill="1" applyBorder="1" applyAlignment="1">
      <alignment horizontal="right"/>
    </xf>
    <xf numFmtId="0" fontId="5" fillId="0" borderId="2" xfId="0" applyFont="1" applyFill="1" applyBorder="1"/>
    <xf numFmtId="0" fontId="5" fillId="0" borderId="0" xfId="0" applyNumberFormat="1" applyFont="1" applyFill="1" applyBorder="1" applyAlignment="1">
      <alignment vertical="center"/>
    </xf>
    <xf numFmtId="0" fontId="10" fillId="0" borderId="0" xfId="0" applyFont="1" applyFill="1" applyAlignment="1">
      <alignment horizontal="right"/>
    </xf>
    <xf numFmtId="0" fontId="12" fillId="2" borderId="0" xfId="0" applyFont="1" applyFill="1"/>
    <xf numFmtId="164" fontId="5" fillId="0" borderId="0" xfId="0" applyNumberFormat="1" applyFont="1" applyFill="1" applyAlignment="1"/>
    <xf numFmtId="0" fontId="14" fillId="0" borderId="4" xfId="0" applyFont="1" applyFill="1" applyBorder="1" applyAlignment="1">
      <alignment horizontal="left" vertical="center"/>
    </xf>
    <xf numFmtId="0" fontId="14" fillId="0" borderId="0" xfId="0" applyFont="1" applyFill="1" applyBorder="1" applyAlignment="1">
      <alignment horizontal="left" vertical="center"/>
    </xf>
    <xf numFmtId="0" fontId="9" fillId="2" borderId="1" xfId="12" applyFont="1" applyFill="1" applyBorder="1" applyAlignment="1">
      <alignment horizontal="right" wrapText="1"/>
    </xf>
    <xf numFmtId="3" fontId="9" fillId="2" borderId="1" xfId="0" applyNumberFormat="1" applyFont="1" applyFill="1" applyBorder="1" applyAlignment="1">
      <alignment horizontal="right" wrapText="1"/>
    </xf>
    <xf numFmtId="0" fontId="9" fillId="2" borderId="2" xfId="0" applyFont="1" applyFill="1" applyBorder="1" applyAlignment="1">
      <alignment horizontal="left"/>
    </xf>
    <xf numFmtId="3" fontId="5" fillId="2" borderId="2" xfId="0" applyNumberFormat="1" applyFont="1" applyFill="1" applyBorder="1"/>
    <xf numFmtId="3" fontId="9" fillId="2" borderId="2" xfId="0" applyNumberFormat="1" applyFont="1" applyFill="1" applyBorder="1"/>
    <xf numFmtId="0" fontId="10" fillId="2" borderId="2" xfId="0" applyFont="1" applyFill="1" applyBorder="1" applyAlignment="1">
      <alignment vertical="center" wrapText="1"/>
    </xf>
    <xf numFmtId="3" fontId="5" fillId="2" borderId="2" xfId="0" applyNumberFormat="1" applyFont="1" applyFill="1" applyBorder="1" applyAlignment="1">
      <alignment vertical="center"/>
    </xf>
    <xf numFmtId="3" fontId="9" fillId="2" borderId="2" xfId="0" applyNumberFormat="1" applyFont="1" applyFill="1" applyBorder="1" applyAlignment="1">
      <alignment vertical="center"/>
    </xf>
    <xf numFmtId="0" fontId="10" fillId="2" borderId="3" xfId="0" applyFont="1" applyFill="1" applyBorder="1" applyAlignment="1">
      <alignment vertical="center" wrapText="1"/>
    </xf>
    <xf numFmtId="3" fontId="11" fillId="2" borderId="0" xfId="0" applyNumberFormat="1" applyFont="1" applyFill="1" applyBorder="1"/>
    <xf numFmtId="0" fontId="22" fillId="2" borderId="1" xfId="0" applyFont="1" applyFill="1" applyBorder="1" applyAlignment="1"/>
    <xf numFmtId="0" fontId="9" fillId="2" borderId="1" xfId="0" applyFont="1" applyFill="1" applyBorder="1" applyAlignment="1">
      <alignment horizontal="left" wrapText="1"/>
    </xf>
    <xf numFmtId="0" fontId="5" fillId="2" borderId="1" xfId="0" applyFont="1" applyFill="1" applyBorder="1" applyAlignment="1">
      <alignment horizontal="right"/>
    </xf>
    <xf numFmtId="0" fontId="9" fillId="2" borderId="2" xfId="0" applyFont="1" applyFill="1" applyBorder="1"/>
    <xf numFmtId="3" fontId="11" fillId="2" borderId="2" xfId="0" applyNumberFormat="1" applyFont="1" applyFill="1" applyBorder="1"/>
    <xf numFmtId="3" fontId="10" fillId="2" borderId="2" xfId="0" applyNumberFormat="1" applyFont="1" applyFill="1" applyBorder="1"/>
    <xf numFmtId="173" fontId="11" fillId="2" borderId="2" xfId="0" applyNumberFormat="1" applyFont="1" applyFill="1" applyBorder="1"/>
    <xf numFmtId="3" fontId="9" fillId="2" borderId="5" xfId="0" applyNumberFormat="1" applyFont="1" applyFill="1" applyBorder="1" applyAlignment="1">
      <alignment horizontal="center" wrapText="1"/>
    </xf>
    <xf numFmtId="173" fontId="5" fillId="2" borderId="2" xfId="0" applyNumberFormat="1" applyFont="1" applyFill="1" applyBorder="1" applyAlignment="1">
      <alignment horizontal="right"/>
    </xf>
    <xf numFmtId="173" fontId="5" fillId="2" borderId="2" xfId="0" applyNumberFormat="1" applyFont="1" applyFill="1" applyBorder="1"/>
    <xf numFmtId="173" fontId="9" fillId="2" borderId="2" xfId="0" applyNumberFormat="1" applyFont="1" applyFill="1" applyBorder="1" applyAlignment="1">
      <alignment horizontal="right"/>
    </xf>
    <xf numFmtId="3" fontId="5" fillId="2" borderId="0" xfId="0" applyNumberFormat="1" applyFont="1" applyFill="1"/>
    <xf numFmtId="0" fontId="2" fillId="2" borderId="0" xfId="0" applyFont="1" applyFill="1"/>
    <xf numFmtId="3" fontId="9" fillId="0" borderId="1" xfId="0" applyNumberFormat="1" applyFont="1" applyFill="1" applyBorder="1" applyAlignment="1">
      <alignment horizontal="right" wrapText="1"/>
    </xf>
    <xf numFmtId="0" fontId="5" fillId="0" borderId="0" xfId="0" applyFont="1" applyFill="1" applyBorder="1" applyAlignment="1"/>
    <xf numFmtId="0" fontId="10" fillId="0" borderId="1" xfId="0" applyFont="1" applyFill="1" applyBorder="1" applyAlignment="1"/>
    <xf numFmtId="172" fontId="5" fillId="0" borderId="2" xfId="0" applyNumberFormat="1" applyFont="1" applyFill="1" applyBorder="1"/>
    <xf numFmtId="0" fontId="22" fillId="0" borderId="1" xfId="0" applyFont="1" applyFill="1" applyBorder="1" applyAlignment="1">
      <alignment horizontal="right"/>
    </xf>
    <xf numFmtId="172" fontId="9" fillId="0" borderId="4" xfId="0" applyNumberFormat="1" applyFont="1" applyFill="1" applyBorder="1" applyAlignment="1">
      <alignment horizontal="right" vertical="center"/>
    </xf>
    <xf numFmtId="172" fontId="9" fillId="0" borderId="0" xfId="0" applyNumberFormat="1" applyFont="1" applyFill="1" applyBorder="1"/>
    <xf numFmtId="172" fontId="9" fillId="0" borderId="0" xfId="0" applyNumberFormat="1" applyFont="1" applyFill="1" applyBorder="1" applyAlignment="1">
      <alignment horizontal="right"/>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top" wrapText="1"/>
    </xf>
    <xf numFmtId="0" fontId="8" fillId="2" borderId="0" xfId="0" applyFont="1" applyFill="1" applyBorder="1" applyAlignment="1">
      <alignment horizontal="left" vertical="center" wrapText="1"/>
    </xf>
    <xf numFmtId="0" fontId="8" fillId="0" borderId="0" xfId="14" applyFont="1" applyFill="1" applyBorder="1" applyAlignment="1">
      <alignment horizontal="left" vertical="center" wrapText="1"/>
    </xf>
    <xf numFmtId="0" fontId="9" fillId="0" borderId="1" xfId="0" applyFont="1" applyFill="1" applyBorder="1" applyAlignment="1">
      <alignment horizontal="center" wrapText="1"/>
    </xf>
    <xf numFmtId="0" fontId="9" fillId="0" borderId="0" xfId="0" applyFont="1" applyFill="1" applyBorder="1" applyAlignment="1">
      <alignment horizontal="center" wrapText="1"/>
    </xf>
    <xf numFmtId="0" fontId="9" fillId="2" borderId="0" xfId="0" applyFont="1" applyFill="1" applyBorder="1" applyAlignment="1">
      <alignment horizontal="right"/>
    </xf>
    <xf numFmtId="0" fontId="14" fillId="2" borderId="1" xfId="0" applyFont="1" applyFill="1" applyBorder="1" applyAlignment="1">
      <alignment horizontal="left" wrapText="1"/>
    </xf>
    <xf numFmtId="0" fontId="9" fillId="2" borderId="1" xfId="0" quotePrefix="1" applyFont="1" applyFill="1" applyBorder="1" applyAlignment="1">
      <alignment horizontal="right" wrapText="1"/>
    </xf>
    <xf numFmtId="0" fontId="9" fillId="2" borderId="0" xfId="0" applyFont="1" applyFill="1" applyBorder="1" applyAlignment="1">
      <alignment horizontal="left" wrapText="1"/>
    </xf>
    <xf numFmtId="166" fontId="5" fillId="2" borderId="0" xfId="17" applyNumberFormat="1" applyFont="1" applyFill="1" applyBorder="1"/>
    <xf numFmtId="166" fontId="5" fillId="2" borderId="0" xfId="17" applyNumberFormat="1" applyFont="1" applyFill="1" applyBorder="1" applyAlignment="1">
      <alignment horizontal="right"/>
    </xf>
    <xf numFmtId="0" fontId="9" fillId="2" borderId="4" xfId="18" applyFont="1" applyFill="1" applyBorder="1" applyAlignment="1">
      <alignment horizontal="left" vertical="center" wrapText="1"/>
    </xf>
    <xf numFmtId="174" fontId="9" fillId="2" borderId="4" xfId="0" applyNumberFormat="1" applyFont="1" applyFill="1" applyBorder="1" applyAlignment="1">
      <alignment vertical="center"/>
    </xf>
    <xf numFmtId="0" fontId="9" fillId="2" borderId="0" xfId="18" applyFont="1" applyFill="1" applyBorder="1" applyAlignment="1">
      <alignment horizontal="left" vertical="center" wrapText="1"/>
    </xf>
    <xf numFmtId="166" fontId="9" fillId="2" borderId="0" xfId="0" applyNumberFormat="1" applyFont="1" applyFill="1" applyBorder="1" applyAlignment="1">
      <alignment vertical="center"/>
    </xf>
    <xf numFmtId="0" fontId="14" fillId="0" borderId="1" xfId="0" applyFont="1" applyFill="1" applyBorder="1" applyAlignment="1">
      <alignment wrapText="1"/>
    </xf>
    <xf numFmtId="0" fontId="14" fillId="0" borderId="1" xfId="0" applyFont="1" applyFill="1" applyBorder="1" applyAlignment="1">
      <alignment horizontal="right" wrapText="1"/>
    </xf>
    <xf numFmtId="164" fontId="14" fillId="0" borderId="4" xfId="0" applyNumberFormat="1" applyFont="1" applyFill="1" applyBorder="1" applyAlignment="1">
      <alignment vertical="center"/>
    </xf>
    <xf numFmtId="0" fontId="5" fillId="0" borderId="0" xfId="0" applyFont="1" applyFill="1" applyAlignment="1">
      <alignment horizontal="left" vertical="top" wrapText="1"/>
    </xf>
    <xf numFmtId="0" fontId="9" fillId="0" borderId="1" xfId="0" applyFont="1" applyFill="1" applyBorder="1" applyAlignment="1">
      <alignment horizontal="left" wrapText="1"/>
    </xf>
    <xf numFmtId="0" fontId="9" fillId="0" borderId="1" xfId="19" applyFont="1" applyFill="1" applyBorder="1" applyAlignment="1">
      <alignment horizontal="center"/>
    </xf>
    <xf numFmtId="0" fontId="9" fillId="0" borderId="1" xfId="19" applyFont="1" applyFill="1" applyBorder="1" applyAlignment="1">
      <alignment horizontal="center" wrapText="1"/>
    </xf>
    <xf numFmtId="0" fontId="9" fillId="0" borderId="1" xfId="4" applyFont="1" applyFill="1" applyBorder="1" applyAlignment="1">
      <alignment horizontal="center" wrapText="1"/>
    </xf>
    <xf numFmtId="0" fontId="9" fillId="0" borderId="0" xfId="19" applyFont="1" applyFill="1" applyBorder="1" applyAlignment="1">
      <alignment horizontal="left"/>
    </xf>
    <xf numFmtId="169" fontId="5" fillId="0" borderId="0" xfId="17" applyNumberFormat="1" applyFont="1" applyFill="1" applyBorder="1" applyAlignment="1">
      <alignment horizontal="right"/>
    </xf>
    <xf numFmtId="166" fontId="9" fillId="0" borderId="0" xfId="17" applyNumberFormat="1" applyFont="1" applyFill="1" applyBorder="1" applyAlignment="1">
      <alignment horizontal="right"/>
    </xf>
    <xf numFmtId="172" fontId="11" fillId="0" borderId="0" xfId="0" quotePrefix="1" applyNumberFormat="1" applyFont="1" applyFill="1" applyBorder="1" applyAlignment="1">
      <alignment horizontal="right"/>
    </xf>
    <xf numFmtId="0" fontId="9" fillId="0" borderId="0" xfId="0" quotePrefix="1" applyFont="1" applyFill="1" applyBorder="1" applyAlignment="1">
      <alignment horizontal="left"/>
    </xf>
    <xf numFmtId="0" fontId="9" fillId="0" borderId="2" xfId="19" applyFont="1" applyFill="1" applyBorder="1" applyAlignment="1"/>
    <xf numFmtId="172" fontId="11" fillId="0" borderId="2" xfId="0" quotePrefix="1" applyNumberFormat="1" applyFont="1" applyFill="1" applyBorder="1" applyAlignment="1">
      <alignment horizontal="right"/>
    </xf>
    <xf numFmtId="0" fontId="9" fillId="0" borderId="1" xfId="19" applyFont="1" applyFill="1" applyBorder="1" applyAlignment="1">
      <alignment horizontal="left"/>
    </xf>
    <xf numFmtId="0" fontId="9" fillId="0" borderId="1" xfId="19" applyFont="1" applyFill="1" applyBorder="1" applyAlignment="1">
      <alignment horizontal="right"/>
    </xf>
    <xf numFmtId="0" fontId="9" fillId="0" borderId="1" xfId="19" applyFont="1" applyFill="1" applyBorder="1" applyAlignment="1">
      <alignment horizontal="right" wrapText="1"/>
    </xf>
    <xf numFmtId="0" fontId="9" fillId="0" borderId="0" xfId="19" applyFont="1" applyFill="1" applyBorder="1" applyAlignment="1"/>
    <xf numFmtId="175" fontId="5" fillId="0" borderId="0" xfId="17" applyNumberFormat="1" applyFont="1" applyFill="1" applyBorder="1" applyAlignment="1">
      <alignment horizontal="right"/>
    </xf>
    <xf numFmtId="0" fontId="9" fillId="0" borderId="0" xfId="0" applyFont="1" applyFill="1" applyBorder="1" applyAlignment="1"/>
    <xf numFmtId="166" fontId="9" fillId="0" borderId="0" xfId="17" applyNumberFormat="1" applyFont="1" applyFill="1" applyBorder="1" applyAlignment="1"/>
    <xf numFmtId="166" fontId="9" fillId="0" borderId="4" xfId="17" applyNumberFormat="1" applyFont="1" applyFill="1" applyBorder="1" applyAlignment="1">
      <alignment vertical="center"/>
    </xf>
    <xf numFmtId="175" fontId="5" fillId="0" borderId="4" xfId="17" applyNumberFormat="1" applyFont="1" applyFill="1" applyBorder="1" applyAlignment="1">
      <alignment horizontal="right" vertical="center"/>
    </xf>
    <xf numFmtId="166" fontId="9" fillId="0" borderId="0" xfId="17" applyNumberFormat="1" applyFont="1" applyFill="1" applyBorder="1" applyAlignment="1">
      <alignment vertical="center"/>
    </xf>
    <xf numFmtId="3" fontId="9" fillId="0" borderId="0" xfId="19" quotePrefix="1" applyNumberFormat="1" applyFont="1" applyFill="1" applyBorder="1" applyAlignment="1">
      <alignment horizontal="right" vertical="center"/>
    </xf>
    <xf numFmtId="1" fontId="9" fillId="0" borderId="0" xfId="0" applyNumberFormat="1" applyFont="1" applyFill="1" applyBorder="1" applyAlignment="1">
      <alignment vertical="center"/>
    </xf>
    <xf numFmtId="165" fontId="9" fillId="0" borderId="0" xfId="17" applyFont="1" applyFill="1" applyBorder="1" applyAlignment="1">
      <alignment horizontal="right" vertical="center"/>
    </xf>
    <xf numFmtId="2" fontId="10" fillId="0" borderId="0" xfId="0" applyNumberFormat="1" applyFont="1" applyFill="1" applyBorder="1" applyAlignment="1">
      <alignment vertical="center"/>
    </xf>
    <xf numFmtId="165" fontId="10" fillId="0" borderId="0" xfId="0" quotePrefix="1" applyNumberFormat="1" applyFont="1" applyFill="1" applyBorder="1" applyAlignment="1">
      <alignment horizontal="right" vertical="center"/>
    </xf>
    <xf numFmtId="0" fontId="9" fillId="0" borderId="0" xfId="19" applyNumberFormat="1" applyFont="1" applyFill="1" applyBorder="1" applyAlignment="1">
      <alignment horizontal="right"/>
    </xf>
    <xf numFmtId="0" fontId="9" fillId="0" borderId="0" xfId="19" applyNumberFormat="1" applyFont="1" applyFill="1" applyBorder="1" applyAlignment="1">
      <alignment horizontal="right" wrapText="1"/>
    </xf>
    <xf numFmtId="164" fontId="5" fillId="0" borderId="8" xfId="0" applyNumberFormat="1" applyFont="1" applyFill="1" applyBorder="1"/>
    <xf numFmtId="172" fontId="5" fillId="0" borderId="8" xfId="0" applyNumberFormat="1" applyFont="1" applyFill="1" applyBorder="1"/>
    <xf numFmtId="0" fontId="16" fillId="0" borderId="4" xfId="0" applyFont="1" applyFill="1" applyBorder="1" applyAlignment="1">
      <alignment vertical="center"/>
    </xf>
    <xf numFmtId="172" fontId="16" fillId="0" borderId="4" xfId="0" applyNumberFormat="1" applyFont="1" applyFill="1" applyBorder="1" applyAlignment="1">
      <alignment vertical="center"/>
    </xf>
    <xf numFmtId="0" fontId="16" fillId="0" borderId="0" xfId="0" applyFont="1" applyFill="1" applyBorder="1" applyAlignment="1">
      <alignment vertical="center"/>
    </xf>
    <xf numFmtId="2" fontId="16" fillId="0" borderId="0" xfId="0" applyNumberFormat="1" applyFont="1" applyFill="1" applyBorder="1" applyAlignment="1">
      <alignment vertical="center"/>
    </xf>
    <xf numFmtId="0" fontId="9" fillId="2" borderId="4" xfId="0" applyFont="1" applyFill="1" applyBorder="1" applyAlignment="1">
      <alignment vertical="center"/>
    </xf>
    <xf numFmtId="0" fontId="24" fillId="0" borderId="0" xfId="0" applyFont="1" applyFill="1" applyBorder="1"/>
    <xf numFmtId="0" fontId="0" fillId="0" borderId="0" xfId="0" applyFill="1"/>
    <xf numFmtId="0" fontId="4" fillId="0" borderId="0" xfId="0" applyFont="1" applyFill="1" applyAlignment="1">
      <alignment wrapText="1"/>
    </xf>
    <xf numFmtId="166" fontId="5" fillId="0" borderId="0" xfId="21" applyNumberFormat="1" applyFont="1" applyFill="1" applyBorder="1" applyAlignment="1">
      <alignment horizontal="right" wrapText="1"/>
    </xf>
    <xf numFmtId="166" fontId="9" fillId="0" borderId="0" xfId="21" applyNumberFormat="1" applyFont="1" applyFill="1" applyBorder="1" applyAlignment="1">
      <alignment horizontal="right" wrapText="1"/>
    </xf>
    <xf numFmtId="9" fontId="5" fillId="0" borderId="0" xfId="22" applyFont="1" applyFill="1" applyBorder="1"/>
    <xf numFmtId="166" fontId="9" fillId="0" borderId="0" xfId="21" applyNumberFormat="1" applyFont="1" applyFill="1" applyBorder="1" applyAlignment="1">
      <alignment horizontal="right" vertical="center" wrapText="1"/>
    </xf>
    <xf numFmtId="9" fontId="5" fillId="0" borderId="0" xfId="22" applyFont="1" applyFill="1" applyBorder="1" applyAlignment="1">
      <alignment vertical="center"/>
    </xf>
    <xf numFmtId="166" fontId="9" fillId="0" borderId="1" xfId="22" applyNumberFormat="1" applyFont="1" applyFill="1" applyBorder="1" applyAlignment="1">
      <alignment horizontal="right" vertical="center" wrapText="1"/>
    </xf>
    <xf numFmtId="9" fontId="5" fillId="0" borderId="0" xfId="22" applyFont="1" applyFill="1" applyBorder="1" applyAlignment="1">
      <alignment horizontal="right" wrapText="1"/>
    </xf>
    <xf numFmtId="9" fontId="5" fillId="0" borderId="0" xfId="22" applyFont="1" applyFill="1" applyAlignment="1">
      <alignment horizontal="right" wrapText="1"/>
    </xf>
    <xf numFmtId="168" fontId="11" fillId="0" borderId="3" xfId="22" applyNumberFormat="1" applyFont="1" applyFill="1" applyBorder="1" applyAlignment="1">
      <alignment horizontal="right" wrapText="1"/>
    </xf>
    <xf numFmtId="9" fontId="11" fillId="0" borderId="0" xfId="22" applyFont="1" applyFill="1" applyBorder="1" applyAlignment="1">
      <alignment horizontal="right" wrapText="1"/>
    </xf>
    <xf numFmtId="1" fontId="11" fillId="2" borderId="0" xfId="22" applyNumberFormat="1" applyFont="1" applyFill="1" applyBorder="1" applyAlignment="1">
      <alignment horizontal="right"/>
    </xf>
    <xf numFmtId="1" fontId="10" fillId="2" borderId="0" xfId="22" applyNumberFormat="1" applyFont="1" applyFill="1" applyBorder="1" applyAlignment="1">
      <alignment horizontal="right"/>
    </xf>
    <xf numFmtId="9" fontId="11" fillId="0" borderId="0" xfId="22" applyNumberFormat="1" applyFont="1" applyFill="1" applyBorder="1" applyAlignment="1">
      <alignment horizontal="right"/>
    </xf>
    <xf numFmtId="9" fontId="10" fillId="0" borderId="4" xfId="22" applyNumberFormat="1" applyFont="1" applyFill="1" applyBorder="1" applyAlignment="1">
      <alignment horizontal="right" vertical="center"/>
    </xf>
    <xf numFmtId="9" fontId="10" fillId="0" borderId="0" xfId="22" applyFont="1" applyFill="1" applyBorder="1" applyAlignment="1" applyProtection="1">
      <alignment horizontal="right"/>
      <protection locked="0"/>
    </xf>
    <xf numFmtId="164" fontId="9" fillId="0" borderId="0" xfId="21" applyNumberFormat="1" applyFont="1" applyFill="1" applyBorder="1" applyAlignment="1">
      <alignment vertical="center"/>
    </xf>
    <xf numFmtId="10" fontId="9" fillId="0" borderId="0" xfId="22" applyNumberFormat="1" applyFont="1" applyFill="1" applyBorder="1" applyAlignment="1">
      <alignment vertical="center"/>
    </xf>
    <xf numFmtId="168" fontId="5" fillId="2" borderId="3" xfId="22" applyNumberFormat="1" applyFont="1" applyFill="1" applyBorder="1" applyAlignment="1">
      <alignment vertical="center"/>
    </xf>
    <xf numFmtId="168" fontId="9" fillId="2" borderId="3" xfId="22" applyNumberFormat="1" applyFont="1" applyFill="1" applyBorder="1" applyAlignment="1">
      <alignment vertical="center"/>
    </xf>
    <xf numFmtId="3" fontId="10" fillId="0" borderId="0" xfId="0" applyNumberFormat="1" applyFont="1" applyFill="1" applyBorder="1"/>
    <xf numFmtId="9" fontId="5" fillId="0" borderId="0" xfId="22" applyFont="1" applyFill="1"/>
    <xf numFmtId="172" fontId="9" fillId="0" borderId="4" xfId="22" applyNumberFormat="1" applyFont="1" applyFill="1" applyBorder="1" applyAlignment="1">
      <alignment vertical="center"/>
    </xf>
    <xf numFmtId="9" fontId="10" fillId="0" borderId="0" xfId="22" applyFont="1" applyFill="1" applyBorder="1" applyAlignment="1">
      <alignment vertical="center"/>
    </xf>
    <xf numFmtId="166" fontId="5" fillId="0" borderId="8" xfId="21" applyNumberFormat="1" applyFont="1" applyFill="1" applyBorder="1"/>
    <xf numFmtId="166" fontId="9" fillId="0" borderId="8" xfId="21" applyNumberFormat="1" applyFont="1" applyFill="1" applyBorder="1"/>
    <xf numFmtId="166" fontId="5" fillId="0" borderId="0" xfId="21" applyNumberFormat="1" applyFont="1" applyFill="1" applyBorder="1"/>
    <xf numFmtId="166" fontId="9" fillId="0" borderId="0" xfId="21" applyNumberFormat="1" applyFont="1" applyFill="1" applyBorder="1"/>
    <xf numFmtId="166" fontId="16" fillId="0" borderId="4" xfId="21" applyNumberFormat="1" applyFont="1" applyFill="1" applyBorder="1" applyAlignment="1">
      <alignment vertical="center"/>
    </xf>
    <xf numFmtId="166" fontId="16" fillId="0" borderId="0" xfId="21" applyNumberFormat="1" applyFont="1" applyFill="1" applyBorder="1" applyAlignment="1">
      <alignment vertical="center"/>
    </xf>
    <xf numFmtId="9" fontId="16" fillId="0" borderId="0" xfId="22" applyNumberFormat="1" applyFont="1" applyFill="1" applyBorder="1" applyAlignment="1">
      <alignment vertical="center"/>
    </xf>
    <xf numFmtId="166" fontId="9" fillId="0" borderId="4" xfId="21" applyNumberFormat="1" applyFont="1" applyFill="1" applyBorder="1" applyAlignment="1">
      <alignment vertical="center"/>
    </xf>
    <xf numFmtId="166" fontId="9" fillId="0" borderId="3" xfId="21" applyNumberFormat="1" applyFont="1" applyFill="1" applyBorder="1"/>
    <xf numFmtId="166" fontId="9" fillId="0" borderId="1" xfId="21" applyNumberFormat="1" applyFont="1" applyFill="1" applyBorder="1" applyAlignment="1">
      <alignment horizontal="right" wrapText="1"/>
    </xf>
    <xf numFmtId="166" fontId="9" fillId="0" borderId="4" xfId="21" applyNumberFormat="1" applyFont="1" applyFill="1" applyBorder="1" applyAlignment="1">
      <alignment horizontal="right" vertical="center" wrapText="1"/>
    </xf>
    <xf numFmtId="9" fontId="10" fillId="0" borderId="2" xfId="22" applyFont="1" applyFill="1" applyBorder="1"/>
    <xf numFmtId="9" fontId="10" fillId="0" borderId="0" xfId="22" applyFont="1" applyFill="1" applyBorder="1"/>
    <xf numFmtId="166" fontId="9" fillId="0" borderId="3" xfId="21" applyNumberFormat="1" applyFont="1" applyFill="1" applyBorder="1" applyAlignment="1">
      <alignment vertical="center"/>
    </xf>
    <xf numFmtId="166" fontId="9" fillId="0" borderId="0" xfId="21" applyNumberFormat="1" applyFont="1" applyFill="1" applyBorder="1" applyAlignment="1">
      <alignment vertical="center"/>
    </xf>
    <xf numFmtId="9" fontId="10" fillId="0" borderId="4" xfId="22" applyFont="1" applyFill="1" applyBorder="1" applyAlignment="1">
      <alignment vertical="center"/>
    </xf>
    <xf numFmtId="9" fontId="9" fillId="0" borderId="0" xfId="22" applyFont="1" applyFill="1" applyBorder="1" applyAlignment="1">
      <alignment vertical="center"/>
    </xf>
    <xf numFmtId="168" fontId="11" fillId="0" borderId="1" xfId="22" applyNumberFormat="1" applyFont="1" applyFill="1" applyBorder="1"/>
    <xf numFmtId="9" fontId="10" fillId="0" borderId="1" xfId="22" applyNumberFormat="1" applyFont="1" applyFill="1" applyBorder="1"/>
    <xf numFmtId="9" fontId="11" fillId="0" borderId="1" xfId="22" applyNumberFormat="1" applyFont="1" applyFill="1" applyBorder="1"/>
    <xf numFmtId="9" fontId="11" fillId="0" borderId="3" xfId="22" applyFont="1" applyFill="1" applyBorder="1"/>
    <xf numFmtId="166" fontId="11" fillId="0" borderId="0" xfId="0" applyNumberFormat="1" applyFont="1" applyFill="1"/>
    <xf numFmtId="0" fontId="8" fillId="2" borderId="0" xfId="0" applyFont="1" applyFill="1" applyBorder="1" applyAlignment="1">
      <alignment horizontal="left" vertical="top" wrapText="1"/>
    </xf>
    <xf numFmtId="0" fontId="9" fillId="2" borderId="0" xfId="0" applyFont="1" applyFill="1" applyBorder="1" applyAlignment="1">
      <alignment horizontal="center" wrapText="1"/>
    </xf>
    <xf numFmtId="170" fontId="5" fillId="0" borderId="2" xfId="6" applyNumberFormat="1" applyFont="1" applyFill="1" applyBorder="1" applyAlignment="1"/>
    <xf numFmtId="170" fontId="9" fillId="0" borderId="4" xfId="6" applyNumberFormat="1" applyFont="1" applyFill="1" applyBorder="1" applyAlignment="1"/>
    <xf numFmtId="164" fontId="5" fillId="0" borderId="4" xfId="0" applyNumberFormat="1" applyFont="1" applyFill="1" applyBorder="1"/>
    <xf numFmtId="3" fontId="5" fillId="0" borderId="1" xfId="7" applyNumberFormat="1" applyFont="1" applyFill="1" applyBorder="1" applyAlignment="1">
      <alignment horizontal="right"/>
    </xf>
    <xf numFmtId="0" fontId="0" fillId="0" borderId="1" xfId="0" applyBorder="1"/>
    <xf numFmtId="0" fontId="5" fillId="2" borderId="2" xfId="0" applyNumberFormat="1" applyFont="1" applyFill="1" applyBorder="1"/>
    <xf numFmtId="3" fontId="5" fillId="2" borderId="2" xfId="0" applyNumberFormat="1" applyFont="1" applyFill="1" applyBorder="1" applyAlignment="1">
      <alignment horizontal="right"/>
    </xf>
    <xf numFmtId="168" fontId="11" fillId="2" borderId="2" xfId="2" quotePrefix="1" applyNumberFormat="1" applyFont="1" applyFill="1" applyBorder="1" applyAlignment="1">
      <alignment horizontal="right"/>
    </xf>
    <xf numFmtId="1" fontId="10" fillId="2" borderId="0" xfId="7" quotePrefix="1" applyNumberFormat="1" applyFont="1" applyFill="1" applyBorder="1" applyAlignment="1">
      <alignment horizontal="right"/>
    </xf>
    <xf numFmtId="3" fontId="9" fillId="2" borderId="2" xfId="0" applyNumberFormat="1" applyFont="1" applyFill="1" applyBorder="1" applyAlignment="1">
      <alignment horizontal="right"/>
    </xf>
    <xf numFmtId="3" fontId="5" fillId="2" borderId="2" xfId="7" applyNumberFormat="1" applyFont="1" applyFill="1" applyBorder="1" applyAlignment="1">
      <alignment horizontal="right"/>
    </xf>
    <xf numFmtId="3" fontId="9" fillId="2" borderId="2" xfId="0" quotePrefix="1" applyNumberFormat="1" applyFont="1" applyFill="1" applyBorder="1" applyAlignment="1">
      <alignment horizontal="right"/>
    </xf>
    <xf numFmtId="0" fontId="14" fillId="2" borderId="0" xfId="7" applyFont="1" applyFill="1" applyBorder="1" applyAlignment="1"/>
    <xf numFmtId="0" fontId="9" fillId="2" borderId="2" xfId="7" applyFont="1" applyFill="1" applyBorder="1" applyAlignment="1">
      <alignment horizontal="left" indent="1"/>
    </xf>
    <xf numFmtId="164" fontId="5" fillId="2" borderId="2" xfId="9" applyNumberFormat="1" applyFont="1" applyFill="1" applyBorder="1" applyAlignment="1">
      <alignment horizontal="right" wrapText="1"/>
    </xf>
    <xf numFmtId="0" fontId="9" fillId="2" borderId="2" xfId="0" applyFont="1" applyFill="1" applyBorder="1" applyAlignment="1">
      <alignment horizontal="right"/>
    </xf>
    <xf numFmtId="172" fontId="9" fillId="2" borderId="2" xfId="0" applyNumberFormat="1" applyFont="1" applyFill="1" applyBorder="1" applyAlignment="1">
      <alignment horizontal="right"/>
    </xf>
    <xf numFmtId="2" fontId="5" fillId="2" borderId="2" xfId="22" applyNumberFormat="1" applyFont="1" applyFill="1" applyBorder="1"/>
    <xf numFmtId="172" fontId="11" fillId="2" borderId="2" xfId="0" applyNumberFormat="1" applyFont="1" applyFill="1" applyBorder="1" applyAlignment="1">
      <alignment horizontal="right"/>
    </xf>
    <xf numFmtId="0" fontId="10" fillId="2" borderId="2" xfId="0" applyFont="1" applyFill="1" applyBorder="1" applyAlignment="1">
      <alignment horizontal="right"/>
    </xf>
    <xf numFmtId="172" fontId="10" fillId="2" borderId="2" xfId="0" applyNumberFormat="1" applyFont="1" applyFill="1" applyBorder="1" applyAlignment="1">
      <alignment horizontal="right"/>
    </xf>
    <xf numFmtId="166" fontId="5" fillId="0" borderId="2" xfId="21" applyNumberFormat="1" applyFont="1" applyFill="1" applyBorder="1"/>
    <xf numFmtId="0" fontId="25" fillId="0" borderId="0" xfId="0" applyFont="1"/>
    <xf numFmtId="0" fontId="9" fillId="2" borderId="0" xfId="7" applyFont="1" applyFill="1" applyBorder="1" applyAlignment="1">
      <alignment horizontal="left" wrapText="1"/>
    </xf>
    <xf numFmtId="172" fontId="9" fillId="0" borderId="0" xfId="5" applyNumberFormat="1" applyFont="1" applyFill="1" applyBorder="1" applyAlignment="1">
      <alignment horizontal="right" vertical="center" wrapText="1"/>
    </xf>
    <xf numFmtId="172" fontId="9" fillId="0" borderId="0" xfId="5" applyNumberFormat="1" applyFont="1" applyFill="1" applyBorder="1" applyAlignment="1">
      <alignment horizontal="right" wrapText="1"/>
    </xf>
    <xf numFmtId="172" fontId="9" fillId="0" borderId="1" xfId="5" applyNumberFormat="1" applyFont="1" applyFill="1" applyBorder="1" applyAlignment="1">
      <alignment horizontal="right" wrapText="1"/>
    </xf>
    <xf numFmtId="164" fontId="9" fillId="0" borderId="4" xfId="0" applyNumberFormat="1" applyFont="1" applyFill="1" applyBorder="1"/>
    <xf numFmtId="1" fontId="5" fillId="0" borderId="3" xfId="0" applyNumberFormat="1" applyFont="1" applyFill="1" applyBorder="1" applyAlignment="1">
      <alignment vertical="center"/>
    </xf>
    <xf numFmtId="1" fontId="5" fillId="2" borderId="2" xfId="9" applyNumberFormat="1" applyFont="1" applyFill="1" applyBorder="1" applyAlignment="1">
      <alignment horizontal="right" wrapText="1"/>
    </xf>
    <xf numFmtId="1" fontId="5" fillId="2" borderId="0" xfId="9" quotePrefix="1" applyNumberFormat="1" applyFont="1" applyFill="1" applyBorder="1" applyAlignment="1">
      <alignment horizontal="right" wrapText="1"/>
    </xf>
    <xf numFmtId="1" fontId="5" fillId="2" borderId="0" xfId="9" applyNumberFormat="1" applyFont="1" applyFill="1" applyBorder="1" applyAlignment="1">
      <alignment horizontal="right" wrapText="1"/>
    </xf>
    <xf numFmtId="1" fontId="9" fillId="2" borderId="4" xfId="7" applyNumberFormat="1" applyFont="1" applyFill="1" applyBorder="1" applyAlignment="1">
      <alignment horizontal="right" vertical="center"/>
    </xf>
    <xf numFmtId="1" fontId="5" fillId="2" borderId="2" xfId="0" applyNumberFormat="1" applyFont="1" applyFill="1" applyBorder="1" applyAlignment="1">
      <alignment horizontal="right"/>
    </xf>
    <xf numFmtId="1" fontId="5" fillId="2" borderId="0" xfId="0" applyNumberFormat="1" applyFont="1" applyFill="1" applyAlignment="1">
      <alignment horizontal="right"/>
    </xf>
    <xf numFmtId="1" fontId="9" fillId="2" borderId="2" xfId="1" applyNumberFormat="1" applyFont="1" applyFill="1" applyBorder="1" applyAlignment="1">
      <alignment horizontal="right" wrapText="1"/>
    </xf>
    <xf numFmtId="1" fontId="9" fillId="2" borderId="0" xfId="1" applyNumberFormat="1" applyFont="1" applyFill="1" applyBorder="1" applyAlignment="1">
      <alignment horizontal="right" wrapText="1"/>
    </xf>
    <xf numFmtId="1" fontId="9" fillId="2" borderId="0" xfId="1" applyNumberFormat="1" applyFont="1" applyFill="1" applyBorder="1" applyAlignment="1">
      <alignment horizontal="right"/>
    </xf>
    <xf numFmtId="1" fontId="9" fillId="2" borderId="4" xfId="1" applyNumberFormat="1" applyFont="1" applyFill="1" applyBorder="1" applyAlignment="1">
      <alignment horizontal="right" wrapText="1"/>
    </xf>
    <xf numFmtId="1" fontId="9" fillId="2" borderId="4" xfId="0" applyNumberFormat="1" applyFont="1" applyFill="1" applyBorder="1" applyAlignment="1">
      <alignment vertical="center"/>
    </xf>
    <xf numFmtId="1" fontId="9" fillId="2" borderId="2" xfId="9" applyNumberFormat="1" applyFont="1" applyFill="1" applyBorder="1" applyAlignment="1">
      <alignment horizontal="right" wrapText="1"/>
    </xf>
    <xf numFmtId="1" fontId="9" fillId="2" borderId="0" xfId="9" quotePrefix="1" applyNumberFormat="1" applyFont="1" applyFill="1" applyBorder="1" applyAlignment="1">
      <alignment horizontal="right" wrapText="1"/>
    </xf>
    <xf numFmtId="1" fontId="9" fillId="2" borderId="0" xfId="9" applyNumberFormat="1" applyFont="1" applyFill="1" applyBorder="1" applyAlignment="1">
      <alignment horizontal="right" wrapText="1"/>
    </xf>
    <xf numFmtId="1" fontId="9" fillId="0" borderId="4" xfId="1" applyNumberFormat="1" applyFont="1" applyFill="1" applyBorder="1" applyAlignment="1">
      <alignment horizontal="right" vertical="center"/>
    </xf>
    <xf numFmtId="1" fontId="9" fillId="0" borderId="4" xfId="1" applyNumberFormat="1" applyFont="1" applyFill="1" applyBorder="1" applyAlignment="1">
      <alignment horizontal="right" wrapText="1"/>
    </xf>
    <xf numFmtId="166" fontId="5" fillId="0" borderId="1" xfId="21" applyNumberFormat="1" applyFont="1" applyFill="1" applyBorder="1" applyAlignment="1">
      <alignment horizontal="right" wrapText="1"/>
    </xf>
    <xf numFmtId="3" fontId="8" fillId="0" borderId="4" xfId="0" applyNumberFormat="1" applyFont="1" applyFill="1" applyBorder="1" applyAlignment="1"/>
    <xf numFmtId="166" fontId="9" fillId="0" borderId="4" xfId="0" applyNumberFormat="1" applyFont="1" applyFill="1" applyBorder="1" applyAlignment="1">
      <alignment vertical="center"/>
    </xf>
    <xf numFmtId="1" fontId="9" fillId="0" borderId="3" xfId="0" applyNumberFormat="1" applyFont="1" applyFill="1" applyBorder="1"/>
    <xf numFmtId="49" fontId="9" fillId="0" borderId="0" xfId="7" applyNumberFormat="1" applyFont="1" applyFill="1" applyBorder="1" applyAlignment="1">
      <alignment horizontal="left" wrapText="1"/>
    </xf>
    <xf numFmtId="0" fontId="9" fillId="0" borderId="0" xfId="0" applyFont="1" applyFill="1" applyAlignment="1"/>
    <xf numFmtId="0" fontId="5" fillId="2" borderId="3" xfId="0" applyFont="1" applyFill="1" applyBorder="1"/>
    <xf numFmtId="0" fontId="5" fillId="2" borderId="0" xfId="0" applyFont="1" applyFill="1" applyAlignment="1">
      <alignment horizontal="left" vertical="top" wrapText="1"/>
    </xf>
    <xf numFmtId="172" fontId="5" fillId="0" borderId="2" xfId="0" applyNumberFormat="1" applyFont="1" applyFill="1" applyBorder="1" applyAlignment="1">
      <alignment horizontal="right"/>
    </xf>
    <xf numFmtId="172" fontId="5" fillId="0" borderId="0" xfId="0" applyNumberFormat="1" applyFont="1" applyFill="1" applyBorder="1" applyAlignment="1">
      <alignment horizontal="right"/>
    </xf>
    <xf numFmtId="0" fontId="22" fillId="0" borderId="1" xfId="0" applyFont="1" applyFill="1" applyBorder="1" applyAlignment="1"/>
    <xf numFmtId="0" fontId="9" fillId="0" borderId="5" xfId="4" applyFont="1" applyFill="1" applyBorder="1" applyAlignment="1">
      <alignment horizontal="center" wrapText="1"/>
    </xf>
    <xf numFmtId="164" fontId="16" fillId="0" borderId="4" xfId="0" applyNumberFormat="1" applyFont="1" applyFill="1" applyBorder="1" applyAlignment="1">
      <alignment vertical="center"/>
    </xf>
    <xf numFmtId="0" fontId="9" fillId="0" borderId="1" xfId="0" applyFont="1" applyFill="1" applyBorder="1" applyAlignment="1">
      <alignment horizontal="left" vertical="center"/>
    </xf>
    <xf numFmtId="164" fontId="5" fillId="4" borderId="0" xfId="0" applyNumberFormat="1" applyFont="1" applyFill="1" applyBorder="1" applyAlignment="1">
      <alignment horizontal="right"/>
    </xf>
    <xf numFmtId="0" fontId="8" fillId="2" borderId="0" xfId="0" applyFont="1" applyFill="1" applyBorder="1" applyAlignment="1">
      <alignment horizontal="left" vertical="center" wrapText="1"/>
    </xf>
    <xf numFmtId="0" fontId="8" fillId="2" borderId="0" xfId="0" applyFont="1" applyFill="1" applyAlignment="1">
      <alignment horizontal="left" vertical="center" wrapText="1"/>
    </xf>
    <xf numFmtId="0" fontId="27" fillId="2" borderId="1" xfId="0" applyFont="1" applyFill="1" applyBorder="1" applyAlignment="1">
      <alignment horizontal="center" wrapText="1"/>
    </xf>
    <xf numFmtId="0" fontId="5" fillId="2" borderId="2" xfId="0" applyFont="1" applyFill="1" applyBorder="1" applyAlignment="1">
      <alignment wrapText="1"/>
    </xf>
    <xf numFmtId="164" fontId="9" fillId="0" borderId="4" xfId="0" applyNumberFormat="1" applyFont="1" applyFill="1" applyBorder="1" applyAlignment="1">
      <alignment horizontal="right" vertical="center" wrapText="1"/>
    </xf>
    <xf numFmtId="0" fontId="0" fillId="0" borderId="3" xfId="0" applyBorder="1"/>
    <xf numFmtId="0" fontId="28" fillId="0" borderId="0" xfId="0" applyFont="1"/>
    <xf numFmtId="0" fontId="29" fillId="0" borderId="0" xfId="0" applyFont="1" applyFill="1" applyBorder="1" applyAlignment="1">
      <alignment vertical="center" wrapText="1"/>
    </xf>
    <xf numFmtId="0" fontId="0" fillId="0" borderId="0" xfId="0" applyFont="1"/>
    <xf numFmtId="0" fontId="30" fillId="0" borderId="0" xfId="0" applyFont="1" applyFill="1" applyBorder="1" applyAlignment="1">
      <alignment wrapText="1"/>
    </xf>
    <xf numFmtId="0" fontId="30" fillId="0" borderId="0" xfId="0" applyFont="1" applyFill="1" applyBorder="1" applyAlignment="1">
      <alignment horizontal="center"/>
    </xf>
    <xf numFmtId="0" fontId="31" fillId="0" borderId="0" xfId="0" applyFont="1" applyFill="1" applyBorder="1" applyAlignment="1">
      <alignment wrapText="1"/>
    </xf>
    <xf numFmtId="0" fontId="30" fillId="0" borderId="0" xfId="0" applyFont="1" applyFill="1" applyBorder="1" applyAlignment="1"/>
    <xf numFmtId="0" fontId="30" fillId="0" borderId="0" xfId="0" applyFont="1" applyFill="1" applyBorder="1" applyAlignment="1">
      <alignment horizontal="left"/>
    </xf>
    <xf numFmtId="0" fontId="32" fillId="0" borderId="0" xfId="0" applyFont="1" applyFill="1" applyBorder="1" applyAlignment="1">
      <alignment wrapText="1"/>
    </xf>
    <xf numFmtId="0" fontId="33" fillId="0" borderId="0" xfId="0" applyFont="1"/>
    <xf numFmtId="0" fontId="16" fillId="2" borderId="0" xfId="0" applyFont="1" applyFill="1" applyAlignment="1"/>
    <xf numFmtId="0" fontId="16" fillId="2" borderId="0" xfId="0" applyFont="1" applyFill="1" applyBorder="1" applyAlignment="1">
      <alignment horizontal="left" vertical="center"/>
    </xf>
    <xf numFmtId="0" fontId="16" fillId="0" borderId="0" xfId="0" applyFont="1" applyFill="1" applyAlignment="1"/>
    <xf numFmtId="0" fontId="34" fillId="0" borderId="0" xfId="0" applyFont="1" applyFill="1" applyAlignment="1">
      <alignment vertical="center"/>
    </xf>
    <xf numFmtId="0" fontId="34" fillId="0" borderId="0" xfId="0" applyFont="1" applyFill="1"/>
    <xf numFmtId="0" fontId="34" fillId="0" borderId="0" xfId="0" applyFont="1" applyFill="1" applyAlignment="1"/>
    <xf numFmtId="0" fontId="16" fillId="2" borderId="0" xfId="0" applyFont="1" applyFill="1" applyAlignment="1">
      <alignment horizontal="left" vertical="center"/>
    </xf>
    <xf numFmtId="0" fontId="34" fillId="2" borderId="0" xfId="0" applyFont="1" applyFill="1"/>
    <xf numFmtId="0" fontId="16" fillId="2" borderId="0" xfId="0" applyFont="1" applyFill="1"/>
    <xf numFmtId="0" fontId="34" fillId="2" borderId="0" xfId="0" applyFont="1" applyFill="1" applyAlignment="1"/>
    <xf numFmtId="0" fontId="34" fillId="2" borderId="0" xfId="0" applyFont="1" applyFill="1" applyAlignment="1">
      <alignment horizontal="right"/>
    </xf>
    <xf numFmtId="172" fontId="34" fillId="2" borderId="0" xfId="0" applyNumberFormat="1" applyFont="1" applyFill="1" applyAlignment="1"/>
    <xf numFmtId="0" fontId="16" fillId="0" borderId="0" xfId="5" applyFont="1" applyFill="1" applyBorder="1" applyAlignment="1">
      <alignment horizontal="left"/>
    </xf>
    <xf numFmtId="1" fontId="16" fillId="0" borderId="0" xfId="5" applyNumberFormat="1" applyFont="1" applyFill="1" applyBorder="1" applyAlignment="1">
      <alignment horizontal="right" wrapText="1"/>
    </xf>
    <xf numFmtId="0" fontId="16" fillId="0" borderId="0" xfId="5" applyFont="1" applyFill="1" applyBorder="1" applyAlignment="1">
      <alignment horizontal="right" wrapText="1"/>
    </xf>
    <xf numFmtId="0" fontId="35" fillId="0" borderId="0" xfId="0" applyFont="1" applyFill="1" applyAlignment="1">
      <alignment vertical="center"/>
    </xf>
    <xf numFmtId="0" fontId="35" fillId="0" borderId="0" xfId="0" applyFont="1" applyFill="1"/>
    <xf numFmtId="0" fontId="34" fillId="0" borderId="0" xfId="0" applyFont="1" applyFill="1" applyAlignment="1">
      <alignment horizontal="left" vertical="top" wrapText="1"/>
    </xf>
    <xf numFmtId="3" fontId="16" fillId="0" borderId="0" xfId="0" applyNumberFormat="1" applyFont="1" applyFill="1"/>
    <xf numFmtId="3" fontId="34" fillId="0" borderId="0" xfId="0" applyNumberFormat="1" applyFont="1" applyFill="1"/>
    <xf numFmtId="0" fontId="16" fillId="0" borderId="0" xfId="0" applyFont="1" applyFill="1" applyBorder="1" applyAlignment="1">
      <alignment horizontal="left" vertical="top" wrapText="1"/>
    </xf>
    <xf numFmtId="0" fontId="16" fillId="0" borderId="0" xfId="0" applyFont="1" applyFill="1" applyBorder="1"/>
    <xf numFmtId="0" fontId="1" fillId="0" borderId="0" xfId="0" applyFont="1" applyFill="1"/>
    <xf numFmtId="0" fontId="36" fillId="0" borderId="0" xfId="3" applyFont="1" applyFill="1" applyAlignment="1" applyProtection="1"/>
    <xf numFmtId="0" fontId="16" fillId="0" borderId="0" xfId="0" applyFont="1" applyFill="1"/>
    <xf numFmtId="0" fontId="16" fillId="0" borderId="0" xfId="3" applyFont="1" applyFill="1" applyAlignment="1" applyProtection="1">
      <protection locked="0"/>
    </xf>
    <xf numFmtId="0" fontId="16" fillId="0" borderId="0" xfId="0" applyNumberFormat="1" applyFont="1" applyFill="1" applyBorder="1" applyAlignment="1" applyProtection="1">
      <alignment horizontal="right"/>
      <protection locked="0"/>
    </xf>
    <xf numFmtId="0" fontId="34" fillId="0" borderId="0" xfId="0" applyFont="1" applyFill="1" applyBorder="1" applyProtection="1">
      <protection locked="0"/>
    </xf>
    <xf numFmtId="0" fontId="34" fillId="0" borderId="0" xfId="0" applyFont="1" applyFill="1" applyProtection="1">
      <protection locked="0"/>
    </xf>
    <xf numFmtId="9" fontId="37" fillId="0" borderId="0" xfId="22" applyFont="1" applyFill="1" applyBorder="1" applyAlignment="1" applyProtection="1">
      <alignment horizontal="right"/>
      <protection locked="0"/>
    </xf>
    <xf numFmtId="0" fontId="35" fillId="2" borderId="0" xfId="0" applyFont="1" applyFill="1" applyAlignment="1">
      <alignment vertical="center"/>
    </xf>
    <xf numFmtId="0" fontId="34" fillId="0" borderId="0" xfId="0" applyFont="1" applyFill="1" applyBorder="1"/>
    <xf numFmtId="0" fontId="16" fillId="0" borderId="0" xfId="0" applyFont="1" applyFill="1" applyBorder="1" applyAlignment="1">
      <alignment horizontal="left" vertical="center"/>
    </xf>
    <xf numFmtId="164" fontId="34" fillId="0" borderId="0" xfId="13" applyNumberFormat="1" applyFont="1" applyFill="1" applyBorder="1" applyAlignment="1">
      <alignment horizontal="right"/>
    </xf>
    <xf numFmtId="0" fontId="0" fillId="0" borderId="0" xfId="0" applyFont="1" applyAlignment="1"/>
    <xf numFmtId="164" fontId="34" fillId="0" borderId="0" xfId="0" applyNumberFormat="1" applyFont="1" applyFill="1" applyBorder="1" applyAlignment="1">
      <alignment vertical="center"/>
    </xf>
    <xf numFmtId="164" fontId="16" fillId="0" borderId="0" xfId="0" applyNumberFormat="1" applyFont="1" applyFill="1" applyBorder="1" applyAlignment="1">
      <alignment vertical="center"/>
    </xf>
    <xf numFmtId="164" fontId="16" fillId="0" borderId="0" xfId="21" applyNumberFormat="1" applyFont="1" applyFill="1" applyBorder="1" applyAlignment="1">
      <alignment vertical="center"/>
    </xf>
    <xf numFmtId="10" fontId="16" fillId="0" borderId="0" xfId="22" applyNumberFormat="1" applyFont="1" applyFill="1" applyBorder="1" applyAlignment="1">
      <alignment vertical="center"/>
    </xf>
    <xf numFmtId="0" fontId="16" fillId="2" borderId="0" xfId="0" applyFont="1" applyFill="1" applyBorder="1"/>
    <xf numFmtId="0" fontId="34" fillId="2" borderId="0" xfId="0" applyFont="1" applyFill="1" applyAlignment="1">
      <alignment vertical="top"/>
    </xf>
    <xf numFmtId="0" fontId="35" fillId="2" borderId="0" xfId="0" applyFont="1" applyFill="1"/>
    <xf numFmtId="0" fontId="34" fillId="2" borderId="0" xfId="0" applyFont="1" applyFill="1" applyAlignment="1">
      <alignment horizontal="left" vertical="top" wrapText="1"/>
    </xf>
    <xf numFmtId="0" fontId="34" fillId="2" borderId="0" xfId="0" applyFont="1" applyFill="1" applyAlignment="1">
      <alignment vertical="top" wrapText="1"/>
    </xf>
    <xf numFmtId="0" fontId="9" fillId="0" borderId="5" xfId="0" applyFont="1" applyFill="1" applyBorder="1" applyAlignment="1">
      <alignment horizontal="left" wrapText="1"/>
    </xf>
    <xf numFmtId="0" fontId="9" fillId="0" borderId="0" xfId="18" applyFont="1" applyFill="1" applyBorder="1" applyAlignment="1">
      <alignment horizontal="left" vertical="center" wrapText="1"/>
    </xf>
    <xf numFmtId="174" fontId="9" fillId="0" borderId="0" xfId="0" applyNumberFormat="1" applyFont="1" applyFill="1" applyBorder="1" applyAlignment="1">
      <alignment vertical="center"/>
    </xf>
    <xf numFmtId="0" fontId="9" fillId="0" borderId="3" xfId="0" applyFont="1" applyFill="1" applyBorder="1" applyAlignment="1">
      <alignment horizontal="left"/>
    </xf>
    <xf numFmtId="0" fontId="5" fillId="0" borderId="3" xfId="0" applyFont="1" applyFill="1" applyBorder="1"/>
    <xf numFmtId="166" fontId="5" fillId="4" borderId="0" xfId="17" applyNumberFormat="1" applyFont="1" applyFill="1" applyBorder="1" applyAlignment="1">
      <alignment horizontal="right"/>
    </xf>
    <xf numFmtId="166" fontId="5" fillId="4" borderId="4" xfId="17" applyNumberFormat="1" applyFont="1" applyFill="1" applyBorder="1" applyAlignment="1">
      <alignment horizontal="right"/>
    </xf>
    <xf numFmtId="166" fontId="5" fillId="0" borderId="0" xfId="0" applyNumberFormat="1" applyFont="1" applyFill="1" applyBorder="1"/>
    <xf numFmtId="164" fontId="0" fillId="0" borderId="0" xfId="0" applyNumberFormat="1"/>
    <xf numFmtId="0" fontId="39" fillId="0" borderId="0" xfId="0" applyFont="1" applyAlignment="1">
      <alignment vertical="center"/>
    </xf>
    <xf numFmtId="0" fontId="0" fillId="2" borderId="0" xfId="0" applyFill="1"/>
    <xf numFmtId="0" fontId="9" fillId="2" borderId="0" xfId="0" applyFont="1" applyFill="1" applyBorder="1" applyAlignment="1">
      <alignment horizontal="right"/>
    </xf>
    <xf numFmtId="0" fontId="34" fillId="0" borderId="0" xfId="0" applyFont="1" applyFill="1" applyAlignment="1">
      <alignment vertical="center" wrapText="1"/>
    </xf>
    <xf numFmtId="0" fontId="0" fillId="0" borderId="0" xfId="0" applyAlignment="1">
      <alignment vertical="center" wrapText="1"/>
    </xf>
    <xf numFmtId="0" fontId="16" fillId="0" borderId="0" xfId="5" applyFont="1" applyFill="1" applyBorder="1" applyAlignment="1">
      <alignment horizontal="left" vertical="center"/>
    </xf>
    <xf numFmtId="0" fontId="9" fillId="2" borderId="1" xfId="8" applyFont="1" applyFill="1" applyBorder="1" applyAlignment="1">
      <alignment horizontal="right" wrapText="1"/>
    </xf>
    <xf numFmtId="0" fontId="9" fillId="0" borderId="1" xfId="0" applyFont="1" applyFill="1" applyBorder="1" applyAlignment="1" applyProtection="1">
      <alignment horizontal="right"/>
      <protection locked="0"/>
    </xf>
    <xf numFmtId="0" fontId="34" fillId="0" borderId="0" xfId="0" applyFont="1" applyFill="1" applyAlignment="1">
      <alignment horizontal="left" vertical="center"/>
    </xf>
    <xf numFmtId="0" fontId="10" fillId="2" borderId="0" xfId="0" applyFont="1" applyFill="1" applyBorder="1" applyAlignment="1">
      <alignment vertical="center" wrapText="1"/>
    </xf>
    <xf numFmtId="0" fontId="9" fillId="2" borderId="0" xfId="0" applyFont="1" applyFill="1" applyBorder="1" applyAlignment="1">
      <alignment vertical="center" wrapText="1"/>
    </xf>
    <xf numFmtId="168" fontId="5" fillId="2" borderId="0" xfId="22" applyNumberFormat="1" applyFont="1" applyFill="1" applyBorder="1" applyAlignment="1">
      <alignment vertical="center"/>
    </xf>
    <xf numFmtId="168" fontId="9" fillId="2" borderId="0" xfId="22" applyNumberFormat="1" applyFont="1" applyFill="1" applyBorder="1" applyAlignment="1">
      <alignment vertical="center"/>
    </xf>
    <xf numFmtId="172" fontId="5" fillId="0" borderId="0" xfId="0" applyNumberFormat="1" applyFont="1" applyFill="1" applyBorder="1" applyAlignment="1">
      <alignment horizontal="right" vertical="center" wrapText="1"/>
    </xf>
    <xf numFmtId="0" fontId="36" fillId="2" borderId="0" xfId="3" applyFont="1" applyFill="1" applyAlignment="1" applyProtection="1">
      <alignment vertical="center" wrapText="1"/>
    </xf>
    <xf numFmtId="0" fontId="24" fillId="0" borderId="0" xfId="0" applyFont="1"/>
    <xf numFmtId="0" fontId="40" fillId="0" borderId="0" xfId="3" applyFont="1" applyFill="1" applyBorder="1" applyAlignment="1" applyProtection="1"/>
    <xf numFmtId="0" fontId="40" fillId="0" borderId="0" xfId="3" applyFont="1" applyFill="1" applyBorder="1" applyAlignment="1" applyProtection="1">
      <alignment horizontal="center"/>
    </xf>
    <xf numFmtId="0" fontId="40" fillId="0" borderId="0" xfId="3" applyFont="1" applyAlignment="1" applyProtection="1"/>
    <xf numFmtId="0" fontId="41" fillId="0" borderId="0" xfId="0" applyFont="1" applyFill="1" applyBorder="1" applyAlignment="1">
      <alignment vertical="center" wrapText="1"/>
    </xf>
    <xf numFmtId="0" fontId="41" fillId="0" borderId="0" xfId="0"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9" fillId="2" borderId="10" xfId="0" applyFont="1" applyFill="1" applyBorder="1" applyAlignment="1">
      <alignment horizontal="right"/>
    </xf>
    <xf numFmtId="0" fontId="9" fillId="2" borderId="11" xfId="0" applyNumberFormat="1" applyFont="1" applyFill="1" applyBorder="1"/>
    <xf numFmtId="164" fontId="5" fillId="0" borderId="0" xfId="0" applyNumberFormat="1" applyFont="1" applyFill="1" applyAlignment="1">
      <alignment horizontal="right"/>
    </xf>
    <xf numFmtId="0" fontId="5" fillId="0" borderId="6" xfId="5" applyNumberFormat="1" applyFont="1" applyFill="1" applyBorder="1" applyAlignment="1">
      <alignment horizontal="left"/>
    </xf>
    <xf numFmtId="0" fontId="5" fillId="0" borderId="0" xfId="5" applyNumberFormat="1" applyFont="1" applyFill="1" applyBorder="1" applyAlignment="1">
      <alignment horizontal="left"/>
    </xf>
    <xf numFmtId="0" fontId="5" fillId="0" borderId="2" xfId="5" applyFont="1" applyFill="1" applyBorder="1" applyAlignment="1">
      <alignment horizontal="left" wrapText="1"/>
    </xf>
    <xf numFmtId="0" fontId="5" fillId="0" borderId="0" xfId="5" applyFont="1" applyFill="1" applyBorder="1" applyAlignment="1">
      <alignment horizontal="left" vertical="center" wrapText="1"/>
    </xf>
    <xf numFmtId="0" fontId="5" fillId="0" borderId="6" xfId="5" applyFont="1" applyFill="1" applyBorder="1" applyAlignment="1">
      <alignment horizontal="left"/>
    </xf>
    <xf numFmtId="0" fontId="9" fillId="0" borderId="6" xfId="5" applyFont="1" applyFill="1" applyBorder="1" applyAlignment="1">
      <alignment horizontal="left"/>
    </xf>
    <xf numFmtId="4" fontId="5" fillId="2" borderId="0" xfId="0" applyNumberFormat="1" applyFont="1" applyFill="1" applyBorder="1" applyAlignment="1">
      <alignment horizontal="right"/>
    </xf>
    <xf numFmtId="4" fontId="9" fillId="2" borderId="0" xfId="0" applyNumberFormat="1" applyFont="1" applyFill="1" applyBorder="1" applyAlignment="1">
      <alignment horizontal="right"/>
    </xf>
    <xf numFmtId="0" fontId="42" fillId="0" borderId="0" xfId="0" applyFont="1"/>
    <xf numFmtId="164" fontId="9" fillId="2" borderId="2" xfId="9" applyNumberFormat="1" applyFont="1" applyFill="1" applyBorder="1" applyAlignment="1">
      <alignment horizontal="right" wrapText="1"/>
    </xf>
    <xf numFmtId="172" fontId="0" fillId="0" borderId="0" xfId="0" applyNumberFormat="1"/>
    <xf numFmtId="0" fontId="9" fillId="2" borderId="1" xfId="0" applyFont="1" applyFill="1" applyBorder="1" applyAlignment="1">
      <alignment horizontal="left"/>
    </xf>
    <xf numFmtId="1" fontId="10" fillId="2" borderId="11" xfId="0" applyNumberFormat="1" applyFont="1" applyFill="1" applyBorder="1" applyAlignment="1">
      <alignment horizontal="right"/>
    </xf>
    <xf numFmtId="1" fontId="10" fillId="2" borderId="14" xfId="0" applyNumberFormat="1" applyFont="1" applyFill="1" applyBorder="1" applyAlignment="1">
      <alignment horizontal="right"/>
    </xf>
    <xf numFmtId="0" fontId="14" fillId="0" borderId="12" xfId="0" applyFont="1" applyFill="1" applyBorder="1" applyAlignment="1">
      <alignment horizontal="right" wrapText="1"/>
    </xf>
    <xf numFmtId="164" fontId="5" fillId="0" borderId="11" xfId="0" applyNumberFormat="1" applyFont="1" applyFill="1" applyBorder="1"/>
    <xf numFmtId="164" fontId="14" fillId="0" borderId="13" xfId="0" applyNumberFormat="1" applyFont="1" applyFill="1" applyBorder="1" applyAlignment="1">
      <alignment vertical="center"/>
    </xf>
    <xf numFmtId="0" fontId="9" fillId="2" borderId="1" xfId="5" applyFont="1" applyFill="1" applyBorder="1" applyAlignment="1">
      <alignment horizontal="left"/>
    </xf>
    <xf numFmtId="0" fontId="9" fillId="2" borderId="1" xfId="5" applyFont="1" applyFill="1" applyBorder="1" applyAlignment="1">
      <alignment horizontal="right" wrapText="1"/>
    </xf>
    <xf numFmtId="0" fontId="9" fillId="2" borderId="1" xfId="18" applyFont="1" applyFill="1" applyBorder="1" applyAlignment="1">
      <alignment horizontal="right"/>
    </xf>
    <xf numFmtId="0" fontId="9" fillId="2" borderId="0" xfId="5" applyFont="1" applyFill="1" applyBorder="1" applyAlignment="1"/>
    <xf numFmtId="171" fontId="5" fillId="2" borderId="0" xfId="21" quotePrefix="1" applyNumberFormat="1" applyFont="1" applyFill="1" applyBorder="1" applyAlignment="1">
      <alignment horizontal="right"/>
    </xf>
    <xf numFmtId="166" fontId="9" fillId="2" borderId="0" xfId="21" applyNumberFormat="1" applyFont="1" applyFill="1" applyBorder="1"/>
    <xf numFmtId="166" fontId="9" fillId="2" borderId="4" xfId="21" applyNumberFormat="1" applyFont="1" applyFill="1" applyBorder="1" applyAlignment="1">
      <alignment vertical="center"/>
    </xf>
    <xf numFmtId="0" fontId="34" fillId="2" borderId="0" xfId="18" applyFont="1" applyFill="1"/>
    <xf numFmtId="0" fontId="9" fillId="0" borderId="1" xfId="5" applyFont="1" applyFill="1" applyBorder="1" applyAlignment="1">
      <alignment horizontal="left"/>
    </xf>
    <xf numFmtId="0" fontId="9" fillId="0" borderId="0" xfId="5" applyFont="1" applyFill="1" applyBorder="1" applyAlignment="1"/>
    <xf numFmtId="9" fontId="5" fillId="0" borderId="0" xfId="22" quotePrefix="1" applyFont="1" applyFill="1" applyBorder="1" applyAlignment="1">
      <alignment horizontal="right"/>
    </xf>
    <xf numFmtId="9" fontId="9" fillId="0" borderId="0" xfId="22" applyFont="1" applyFill="1" applyBorder="1"/>
    <xf numFmtId="0" fontId="9" fillId="0" borderId="4" xfId="18" applyFont="1" applyFill="1" applyBorder="1" applyAlignment="1">
      <alignment vertical="center"/>
    </xf>
    <xf numFmtId="9" fontId="9" fillId="0" borderId="4" xfId="22" applyFont="1" applyFill="1" applyBorder="1" applyAlignment="1">
      <alignment vertical="center"/>
    </xf>
    <xf numFmtId="3" fontId="9" fillId="0" borderId="16" xfId="0" applyNumberFormat="1" applyFont="1" applyFill="1" applyBorder="1" applyAlignment="1">
      <alignment horizontal="right" wrapText="1"/>
    </xf>
    <xf numFmtId="3" fontId="9" fillId="0" borderId="15" xfId="0" applyNumberFormat="1" applyFont="1" applyFill="1" applyBorder="1" applyAlignment="1">
      <alignment vertical="center"/>
    </xf>
    <xf numFmtId="173" fontId="5" fillId="0" borderId="0" xfId="0" applyNumberFormat="1" applyFont="1" applyFill="1" applyBorder="1" applyAlignment="1">
      <alignment vertical="center"/>
    </xf>
    <xf numFmtId="0" fontId="0" fillId="0" borderId="0" xfId="0" applyFont="1" applyAlignment="1">
      <alignment horizontal="left" wrapText="1"/>
    </xf>
    <xf numFmtId="0" fontId="0" fillId="0" borderId="0" xfId="0" applyAlignment="1">
      <alignment horizontal="left" wrapText="1"/>
    </xf>
    <xf numFmtId="0" fontId="8" fillId="2" borderId="0" xfId="0" applyFont="1" applyFill="1" applyAlignment="1">
      <alignment horizontal="left" vertical="center" wrapText="1"/>
    </xf>
    <xf numFmtId="0" fontId="19" fillId="2" borderId="10" xfId="0" applyFont="1" applyFill="1" applyBorder="1" applyAlignment="1">
      <alignment horizontal="right" wrapText="1"/>
    </xf>
    <xf numFmtId="0" fontId="9" fillId="2" borderId="11" xfId="0" applyFont="1" applyFill="1" applyBorder="1" applyAlignment="1"/>
    <xf numFmtId="0" fontId="19" fillId="2" borderId="17" xfId="0" applyFont="1" applyFill="1" applyBorder="1" applyAlignment="1">
      <alignment horizontal="right" wrapText="1"/>
    </xf>
    <xf numFmtId="0" fontId="19" fillId="2" borderId="0" xfId="0" applyFont="1" applyFill="1" applyBorder="1" applyAlignment="1">
      <alignment horizontal="right" vertical="center" wrapText="1"/>
    </xf>
    <xf numFmtId="0" fontId="34" fillId="2" borderId="0" xfId="0" applyFont="1" applyFill="1" applyAlignment="1">
      <alignment horizontal="left" vertical="top" wrapText="1"/>
    </xf>
    <xf numFmtId="0" fontId="8" fillId="2" borderId="0" xfId="0" applyFont="1" applyFill="1" applyAlignment="1">
      <alignment horizontal="left" vertical="top" wrapText="1"/>
    </xf>
    <xf numFmtId="0" fontId="36" fillId="2" borderId="0" xfId="3" applyFont="1" applyFill="1" applyAlignment="1" applyProtection="1">
      <alignment horizontal="left" vertical="center" wrapText="1"/>
    </xf>
    <xf numFmtId="4" fontId="5" fillId="2" borderId="0" xfId="0" applyNumberFormat="1" applyFont="1" applyFill="1" applyBorder="1"/>
    <xf numFmtId="176" fontId="0" fillId="0" borderId="0" xfId="0" applyNumberFormat="1"/>
    <xf numFmtId="168" fontId="0" fillId="0" borderId="0" xfId="0" applyNumberFormat="1"/>
    <xf numFmtId="168" fontId="0" fillId="0" borderId="0" xfId="0" applyNumberFormat="1" applyFill="1"/>
    <xf numFmtId="169" fontId="5" fillId="0" borderId="2" xfId="0" applyNumberFormat="1" applyFont="1" applyFill="1" applyBorder="1"/>
    <xf numFmtId="0" fontId="8" fillId="0" borderId="0" xfId="0" applyFont="1" applyFill="1" applyAlignment="1">
      <alignment horizontal="left" vertical="center"/>
    </xf>
    <xf numFmtId="0" fontId="34" fillId="0" borderId="0" xfId="0" applyFont="1" applyFill="1" applyAlignment="1">
      <alignment horizontal="left" vertical="top" wrapText="1"/>
    </xf>
    <xf numFmtId="0" fontId="8" fillId="0" borderId="0" xfId="0" applyFont="1" applyFill="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top" wrapText="1"/>
    </xf>
    <xf numFmtId="0" fontId="34" fillId="0" borderId="0" xfId="0" applyFont="1" applyFill="1" applyAlignment="1">
      <alignment horizontal="left" vertical="center" wrapText="1"/>
    </xf>
    <xf numFmtId="0" fontId="34" fillId="0" borderId="0" xfId="5" applyFont="1" applyFill="1" applyBorder="1" applyAlignment="1">
      <alignment horizontal="left" vertical="top" wrapText="1"/>
    </xf>
    <xf numFmtId="0" fontId="9" fillId="0" borderId="5" xfId="0" applyFont="1" applyFill="1" applyBorder="1" applyAlignment="1">
      <alignment horizontal="center" vertical="center" wrapText="1"/>
    </xf>
    <xf numFmtId="0" fontId="8" fillId="2" borderId="0" xfId="8" applyFont="1" applyFill="1" applyAlignment="1">
      <alignment horizontal="left" vertical="top" wrapText="1"/>
    </xf>
    <xf numFmtId="0" fontId="8" fillId="2" borderId="0" xfId="0" applyFont="1" applyFill="1" applyAlignment="1">
      <alignment horizontal="left" vertical="top" wrapText="1"/>
    </xf>
    <xf numFmtId="0" fontId="8" fillId="2" borderId="0" xfId="0" applyFont="1" applyFill="1" applyBorder="1" applyAlignment="1">
      <alignment horizontal="left" vertical="center"/>
    </xf>
    <xf numFmtId="0" fontId="9" fillId="2" borderId="0" xfId="0" applyFont="1" applyFill="1" applyBorder="1" applyAlignment="1">
      <alignment horizontal="center" wrapText="1"/>
    </xf>
    <xf numFmtId="0" fontId="9" fillId="2" borderId="1" xfId="0" applyFont="1" applyFill="1" applyBorder="1" applyAlignment="1">
      <alignment horizontal="center" wrapText="1"/>
    </xf>
    <xf numFmtId="0" fontId="0" fillId="2" borderId="0" xfId="0" applyFill="1" applyAlignment="1">
      <alignment horizontal="left" wrapText="1"/>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top" wrapText="1"/>
    </xf>
    <xf numFmtId="0" fontId="9" fillId="0" borderId="1" xfId="0" applyFont="1" applyFill="1" applyBorder="1" applyAlignment="1">
      <alignment horizontal="center" wrapText="1"/>
    </xf>
    <xf numFmtId="0" fontId="34" fillId="0" borderId="0" xfId="0" applyFont="1" applyFill="1" applyBorder="1" applyAlignment="1">
      <alignment horizontal="left" vertical="top" wrapText="1"/>
    </xf>
    <xf numFmtId="0" fontId="10" fillId="0" borderId="0" xfId="0" applyFont="1" applyFill="1" applyBorder="1" applyAlignment="1">
      <alignment wrapText="1"/>
    </xf>
    <xf numFmtId="168" fontId="11" fillId="0" borderId="0" xfId="22" applyNumberFormat="1" applyFont="1" applyFill="1" applyBorder="1" applyAlignment="1">
      <alignment horizontal="right" wrapText="1"/>
    </xf>
    <xf numFmtId="0" fontId="44" fillId="0" borderId="1" xfId="0" applyFont="1" applyFill="1" applyBorder="1" applyAlignment="1">
      <alignment wrapText="1"/>
    </xf>
    <xf numFmtId="0" fontId="45" fillId="0" borderId="1" xfId="0" applyFont="1" applyFill="1" applyBorder="1" applyAlignment="1">
      <alignment wrapText="1"/>
    </xf>
    <xf numFmtId="0" fontId="25" fillId="0" borderId="1" xfId="0" applyFont="1" applyBorder="1" applyAlignment="1">
      <alignment horizontal="right"/>
    </xf>
    <xf numFmtId="164" fontId="9" fillId="6" borderId="4" xfId="5" applyNumberFormat="1" applyFont="1" applyFill="1" applyBorder="1" applyAlignment="1">
      <alignment horizontal="right" vertical="center" wrapText="1"/>
    </xf>
    <xf numFmtId="164" fontId="5" fillId="6" borderId="0" xfId="6" applyNumberFormat="1" applyFont="1" applyFill="1" applyBorder="1" applyAlignment="1"/>
    <xf numFmtId="169" fontId="5" fillId="6" borderId="0" xfId="5" applyNumberFormat="1" applyFont="1" applyFill="1" applyBorder="1" applyAlignment="1">
      <alignment horizontal="right" wrapText="1"/>
    </xf>
    <xf numFmtId="169" fontId="5" fillId="6" borderId="2" xfId="5" applyNumberFormat="1" applyFont="1" applyFill="1" applyBorder="1" applyAlignment="1">
      <alignment horizontal="right" wrapText="1"/>
    </xf>
    <xf numFmtId="164" fontId="5" fillId="6" borderId="2" xfId="0" applyNumberFormat="1" applyFont="1" applyFill="1" applyBorder="1" applyAlignment="1">
      <alignment vertical="center"/>
    </xf>
    <xf numFmtId="164" fontId="5" fillId="6" borderId="2" xfId="6" applyNumberFormat="1" applyFont="1" applyFill="1" applyBorder="1" applyAlignment="1"/>
    <xf numFmtId="164" fontId="5" fillId="6" borderId="0" xfId="0" applyNumberFormat="1" applyFont="1" applyFill="1" applyAlignment="1">
      <alignment vertical="center"/>
    </xf>
    <xf numFmtId="166" fontId="5" fillId="0" borderId="1" xfId="21" applyNumberFormat="1" applyFont="1" applyFill="1" applyBorder="1"/>
    <xf numFmtId="170" fontId="5" fillId="6" borderId="2" xfId="6" applyNumberFormat="1" applyFont="1" applyFill="1" applyBorder="1" applyAlignment="1"/>
    <xf numFmtId="170" fontId="5" fillId="6" borderId="0" xfId="6" applyNumberFormat="1" applyFont="1" applyFill="1" applyBorder="1" applyAlignment="1"/>
    <xf numFmtId="164" fontId="9" fillId="6" borderId="4" xfId="0" applyNumberFormat="1" applyFont="1" applyFill="1" applyBorder="1" applyAlignment="1">
      <alignment horizontal="right" vertical="center"/>
    </xf>
    <xf numFmtId="3" fontId="14" fillId="0" borderId="0" xfId="5" applyNumberFormat="1" applyFont="1" applyFill="1" applyBorder="1" applyAlignment="1">
      <alignment horizontal="right" vertical="center" wrapText="1"/>
    </xf>
    <xf numFmtId="0" fontId="8" fillId="0" borderId="0" xfId="0" applyFont="1" applyFill="1" applyAlignment="1">
      <alignment vertical="center" wrapText="1"/>
    </xf>
    <xf numFmtId="0" fontId="8" fillId="0" borderId="0" xfId="0" applyFont="1" applyFill="1" applyAlignment="1">
      <alignment vertical="center"/>
    </xf>
    <xf numFmtId="0" fontId="8" fillId="0" borderId="0" xfId="0" applyFont="1" applyFill="1" applyBorder="1" applyAlignment="1">
      <alignment vertical="center"/>
    </xf>
    <xf numFmtId="0" fontId="14" fillId="0" borderId="0" xfId="5" applyFont="1" applyFill="1" applyBorder="1" applyAlignment="1">
      <alignment horizontal="left" wrapText="1"/>
    </xf>
    <xf numFmtId="0" fontId="43" fillId="0" borderId="0" xfId="0" applyFont="1" applyFill="1" applyAlignment="1">
      <alignment horizontal="left" vertical="center" wrapText="1"/>
    </xf>
    <xf numFmtId="0" fontId="8" fillId="0" borderId="1"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0" fillId="0" borderId="0" xfId="0" applyBorder="1"/>
    <xf numFmtId="166" fontId="25" fillId="0" borderId="0" xfId="0" applyNumberFormat="1" applyFont="1" applyBorder="1"/>
    <xf numFmtId="9" fontId="10" fillId="0" borderId="3" xfId="0" applyNumberFormat="1" applyFont="1" applyFill="1" applyBorder="1" applyAlignment="1">
      <alignment vertical="center"/>
    </xf>
    <xf numFmtId="166" fontId="9" fillId="0" borderId="1" xfId="21" applyNumberFormat="1" applyFont="1" applyFill="1" applyBorder="1"/>
    <xf numFmtId="9" fontId="10" fillId="0" borderId="1" xfId="22" applyFont="1" applyFill="1" applyBorder="1"/>
    <xf numFmtId="1" fontId="16" fillId="0" borderId="0" xfId="5" applyNumberFormat="1" applyFont="1" applyFill="1" applyBorder="1" applyAlignment="1">
      <alignment horizontal="right"/>
    </xf>
    <xf numFmtId="0" fontId="16" fillId="0" borderId="0" xfId="5" applyFont="1" applyFill="1" applyBorder="1" applyAlignment="1">
      <alignment horizontal="right"/>
    </xf>
    <xf numFmtId="1" fontId="16" fillId="0" borderId="0" xfId="0" applyNumberFormat="1" applyFont="1" applyFill="1" applyBorder="1" applyAlignment="1"/>
    <xf numFmtId="0" fontId="0" fillId="0" borderId="0" xfId="0" applyFont="1" applyAlignment="1">
      <alignment horizontal="left"/>
    </xf>
    <xf numFmtId="0" fontId="34" fillId="0" borderId="0" xfId="5" applyFont="1" applyFill="1" applyBorder="1" applyAlignment="1">
      <alignment horizontal="left" vertical="top"/>
    </xf>
    <xf numFmtId="0" fontId="35" fillId="0" borderId="0" xfId="0" applyFont="1" applyFill="1" applyAlignment="1"/>
    <xf numFmtId="0" fontId="34" fillId="0" borderId="0" xfId="0" applyFont="1" applyFill="1" applyAlignment="1">
      <alignment horizontal="left" vertical="top"/>
    </xf>
    <xf numFmtId="0" fontId="8" fillId="0" borderId="0" xfId="0" applyFont="1" applyFill="1" applyBorder="1" applyAlignment="1">
      <alignment horizontal="left" vertical="center"/>
    </xf>
    <xf numFmtId="0" fontId="0" fillId="0" borderId="0" xfId="0" applyAlignment="1"/>
    <xf numFmtId="0" fontId="14" fillId="0" borderId="0" xfId="0" applyFont="1" applyFill="1" applyBorder="1" applyAlignment="1">
      <alignment vertical="top"/>
    </xf>
    <xf numFmtId="164" fontId="5" fillId="0" borderId="1" xfId="0" applyNumberFormat="1" applyFont="1" applyFill="1" applyBorder="1"/>
    <xf numFmtId="164" fontId="5" fillId="6" borderId="0" xfId="0" applyNumberFormat="1" applyFont="1" applyFill="1"/>
    <xf numFmtId="171" fontId="9" fillId="6" borderId="4" xfId="21" applyNumberFormat="1" applyFont="1" applyFill="1" applyBorder="1" applyAlignment="1">
      <alignment vertical="center"/>
    </xf>
    <xf numFmtId="0" fontId="0" fillId="0" borderId="4" xfId="0" applyBorder="1"/>
    <xf numFmtId="170" fontId="9" fillId="6" borderId="0" xfId="6" applyNumberFormat="1" applyFont="1" applyFill="1" applyBorder="1" applyAlignment="1"/>
    <xf numFmtId="171" fontId="9" fillId="6" borderId="4" xfId="0" applyNumberFormat="1" applyFont="1" applyFill="1" applyBorder="1" applyAlignment="1">
      <alignment vertical="center"/>
    </xf>
    <xf numFmtId="0" fontId="9" fillId="0" borderId="0" xfId="5" applyNumberFormat="1" applyFont="1" applyFill="1" applyBorder="1" applyAlignment="1">
      <alignment horizontal="left" vertical="center"/>
    </xf>
    <xf numFmtId="166" fontId="9" fillId="0" borderId="0" xfId="0" applyNumberFormat="1" applyFont="1" applyFill="1" applyBorder="1" applyAlignment="1">
      <alignment vertical="center"/>
    </xf>
    <xf numFmtId="0" fontId="0" fillId="0" borderId="0" xfId="0" applyAlignment="1">
      <alignment horizontal="left" vertical="center"/>
    </xf>
    <xf numFmtId="0" fontId="8" fillId="0" borderId="0" xfId="0" applyFont="1" applyFill="1" applyBorder="1" applyAlignment="1">
      <alignment horizontal="left" vertical="top"/>
    </xf>
    <xf numFmtId="0" fontId="0" fillId="0" borderId="0" xfId="0" applyAlignment="1">
      <alignment wrapText="1"/>
    </xf>
    <xf numFmtId="3" fontId="16" fillId="0" borderId="0" xfId="0" applyNumberFormat="1" applyFont="1" applyFill="1" applyAlignment="1"/>
    <xf numFmtId="1" fontId="9" fillId="0" borderId="0" xfId="5" applyNumberFormat="1" applyFont="1" applyFill="1" applyBorder="1" applyAlignment="1">
      <alignment horizontal="right"/>
    </xf>
    <xf numFmtId="0" fontId="9" fillId="0" borderId="0" xfId="5" applyFont="1" applyFill="1" applyBorder="1" applyAlignment="1">
      <alignment horizontal="right"/>
    </xf>
    <xf numFmtId="1" fontId="9" fillId="0" borderId="0" xfId="0" applyNumberFormat="1" applyFont="1" applyFill="1" applyBorder="1" applyAlignment="1"/>
    <xf numFmtId="0" fontId="5" fillId="0" borderId="0" xfId="0" applyFont="1" applyFill="1" applyAlignment="1">
      <alignment horizontal="left"/>
    </xf>
    <xf numFmtId="0" fontId="39" fillId="0" borderId="0" xfId="0" applyFont="1" applyAlignment="1">
      <alignment horizontal="left" vertical="center"/>
    </xf>
    <xf numFmtId="0" fontId="34" fillId="0" borderId="0" xfId="0" applyFont="1" applyFill="1" applyAlignment="1">
      <alignment horizontal="left"/>
    </xf>
    <xf numFmtId="0" fontId="14" fillId="0" borderId="0" xfId="0" applyFont="1" applyFill="1" applyBorder="1" applyAlignment="1">
      <alignment horizontal="left" vertical="top"/>
    </xf>
    <xf numFmtId="0" fontId="9" fillId="0" borderId="22" xfId="0" applyFont="1" applyFill="1" applyBorder="1" applyAlignment="1">
      <alignment horizontal="right" vertical="center"/>
    </xf>
    <xf numFmtId="3" fontId="9" fillId="0" borderId="21" xfId="0" applyNumberFormat="1" applyFont="1" applyFill="1" applyBorder="1" applyAlignment="1">
      <alignment horizontal="right"/>
    </xf>
    <xf numFmtId="3" fontId="9" fillId="0" borderId="11" xfId="0" applyNumberFormat="1" applyFont="1" applyFill="1" applyBorder="1" applyAlignment="1">
      <alignment horizontal="right"/>
    </xf>
    <xf numFmtId="3" fontId="9" fillId="0" borderId="12" xfId="0" applyNumberFormat="1" applyFont="1" applyFill="1" applyBorder="1" applyAlignment="1">
      <alignment horizontal="right"/>
    </xf>
    <xf numFmtId="168" fontId="11" fillId="0" borderId="21" xfId="2" applyNumberFormat="1" applyFont="1" applyFill="1" applyBorder="1" applyAlignment="1">
      <alignment horizontal="right"/>
    </xf>
    <xf numFmtId="168" fontId="11" fillId="0" borderId="11" xfId="2" applyNumberFormat="1" applyFont="1" applyFill="1" applyBorder="1" applyAlignment="1">
      <alignment horizontal="right"/>
    </xf>
    <xf numFmtId="168" fontId="11" fillId="0" borderId="12" xfId="2" applyNumberFormat="1" applyFont="1" applyFill="1" applyBorder="1" applyAlignment="1">
      <alignment horizontal="right"/>
    </xf>
    <xf numFmtId="0" fontId="9" fillId="0" borderId="5" xfId="0" applyFont="1" applyFill="1" applyBorder="1" applyAlignment="1">
      <alignment horizontal="center" vertical="center"/>
    </xf>
    <xf numFmtId="0" fontId="9" fillId="0" borderId="5" xfId="0" applyFont="1" applyFill="1" applyBorder="1" applyAlignment="1">
      <alignment horizontal="center"/>
    </xf>
    <xf numFmtId="3" fontId="5" fillId="0" borderId="21" xfId="0" applyNumberFormat="1" applyFont="1" applyFill="1" applyBorder="1"/>
    <xf numFmtId="168" fontId="11" fillId="0" borderId="14" xfId="2" applyNumberFormat="1" applyFont="1" applyFill="1" applyBorder="1" applyAlignment="1">
      <alignment horizontal="right" wrapText="1"/>
    </xf>
    <xf numFmtId="3" fontId="9" fillId="0" borderId="20" xfId="0" applyNumberFormat="1" applyFont="1" applyFill="1" applyBorder="1" applyAlignment="1">
      <alignment horizontal="right"/>
    </xf>
    <xf numFmtId="3" fontId="9" fillId="0" borderId="18" xfId="0" applyNumberFormat="1" applyFont="1" applyFill="1" applyBorder="1" applyAlignment="1">
      <alignment horizontal="right"/>
    </xf>
    <xf numFmtId="3" fontId="9" fillId="0" borderId="23" xfId="0" applyNumberFormat="1" applyFont="1" applyFill="1" applyBorder="1" applyAlignment="1">
      <alignment horizontal="right"/>
    </xf>
    <xf numFmtId="168" fontId="11" fillId="0" borderId="20" xfId="2" applyNumberFormat="1" applyFont="1" applyFill="1" applyBorder="1" applyAlignment="1">
      <alignment horizontal="right"/>
    </xf>
    <xf numFmtId="168" fontId="11" fillId="0" borderId="18" xfId="2" applyNumberFormat="1" applyFont="1" applyFill="1" applyBorder="1" applyAlignment="1">
      <alignment horizontal="right"/>
    </xf>
    <xf numFmtId="168" fontId="11" fillId="0" borderId="23" xfId="2" applyNumberFormat="1" applyFont="1" applyFill="1" applyBorder="1" applyAlignment="1">
      <alignment horizontal="right"/>
    </xf>
    <xf numFmtId="3" fontId="5" fillId="0" borderId="20" xfId="0" applyNumberFormat="1" applyFont="1" applyFill="1" applyBorder="1"/>
    <xf numFmtId="168" fontId="11" fillId="0" borderId="19" xfId="2" applyNumberFormat="1" applyFont="1" applyFill="1" applyBorder="1" applyAlignment="1">
      <alignment horizontal="right" wrapText="1"/>
    </xf>
    <xf numFmtId="0" fontId="14" fillId="2" borderId="1" xfId="7" applyFont="1" applyFill="1" applyBorder="1" applyAlignment="1">
      <alignment horizontal="left"/>
    </xf>
    <xf numFmtId="1" fontId="25" fillId="2" borderId="0" xfId="0" applyNumberFormat="1" applyFont="1" applyFill="1"/>
    <xf numFmtId="1" fontId="25" fillId="2" borderId="2" xfId="0" applyNumberFormat="1" applyFont="1" applyFill="1" applyBorder="1"/>
    <xf numFmtId="0" fontId="9" fillId="2" borderId="5" xfId="0" applyFont="1" applyFill="1" applyBorder="1" applyAlignment="1">
      <alignment horizontal="right"/>
    </xf>
    <xf numFmtId="172" fontId="9" fillId="2" borderId="5" xfId="0" applyNumberFormat="1" applyFont="1" applyFill="1" applyBorder="1" applyAlignment="1">
      <alignment horizontal="right"/>
    </xf>
    <xf numFmtId="0" fontId="9" fillId="0" borderId="11" xfId="0" applyFont="1" applyFill="1" applyBorder="1" applyAlignment="1">
      <alignment horizontal="right" vertical="center"/>
    </xf>
    <xf numFmtId="164" fontId="9" fillId="0" borderId="13" xfId="0" applyNumberFormat="1" applyFont="1" applyFill="1" applyBorder="1"/>
    <xf numFmtId="164" fontId="9" fillId="0" borderId="11" xfId="0" applyNumberFormat="1" applyFont="1" applyFill="1" applyBorder="1"/>
    <xf numFmtId="164" fontId="5" fillId="0" borderId="2" xfId="0" applyNumberFormat="1" applyFont="1" applyFill="1" applyBorder="1"/>
    <xf numFmtId="164" fontId="9" fillId="0" borderId="21" xfId="0" applyNumberFormat="1" applyFont="1" applyFill="1" applyBorder="1"/>
    <xf numFmtId="0" fontId="9" fillId="2" borderId="10" xfId="10" applyFont="1" applyFill="1" applyBorder="1" applyAlignment="1">
      <alignment horizontal="right" vertical="center" wrapText="1"/>
    </xf>
    <xf numFmtId="168" fontId="11" fillId="2" borderId="11" xfId="2" quotePrefix="1" applyNumberFormat="1" applyFont="1" applyFill="1" applyBorder="1" applyAlignment="1"/>
    <xf numFmtId="168" fontId="11" fillId="2" borderId="13" xfId="2" quotePrefix="1" applyNumberFormat="1" applyFont="1" applyFill="1" applyBorder="1" applyAlignment="1">
      <alignment horizontal="right" vertical="center"/>
    </xf>
    <xf numFmtId="0" fontId="34" fillId="2" borderId="0" xfId="0" applyFont="1" applyFill="1" applyAlignment="1">
      <alignment vertical="center" wrapText="1"/>
    </xf>
    <xf numFmtId="0" fontId="5" fillId="0" borderId="0" xfId="0" applyFont="1" applyFill="1" applyBorder="1" applyAlignment="1">
      <alignment vertical="center" wrapText="1"/>
    </xf>
    <xf numFmtId="0" fontId="9" fillId="2" borderId="10" xfId="0" applyFont="1" applyFill="1" applyBorder="1" applyAlignment="1">
      <alignment horizontal="right" wrapText="1"/>
    </xf>
    <xf numFmtId="0" fontId="9" fillId="2" borderId="17" xfId="0" applyFont="1" applyFill="1" applyBorder="1" applyAlignment="1">
      <alignment horizontal="right" wrapText="1"/>
    </xf>
    <xf numFmtId="0" fontId="11" fillId="2" borderId="21" xfId="22" applyNumberFormat="1" applyFont="1" applyFill="1" applyBorder="1"/>
    <xf numFmtId="172" fontId="11" fillId="2" borderId="2" xfId="0" applyNumberFormat="1" applyFont="1" applyFill="1" applyBorder="1"/>
    <xf numFmtId="172" fontId="11" fillId="2" borderId="20" xfId="0" applyNumberFormat="1" applyFont="1" applyFill="1" applyBorder="1"/>
    <xf numFmtId="172" fontId="11" fillId="2" borderId="11" xfId="0" applyNumberFormat="1" applyFont="1" applyFill="1" applyBorder="1"/>
    <xf numFmtId="172" fontId="11" fillId="2" borderId="18" xfId="0" applyNumberFormat="1" applyFont="1" applyFill="1" applyBorder="1"/>
    <xf numFmtId="172" fontId="11" fillId="2" borderId="11" xfId="0" applyNumberFormat="1" applyFont="1" applyFill="1" applyBorder="1" applyAlignment="1"/>
    <xf numFmtId="172" fontId="11" fillId="2" borderId="18" xfId="0" applyNumberFormat="1" applyFont="1" applyFill="1" applyBorder="1" applyAlignment="1"/>
    <xf numFmtId="172" fontId="11" fillId="2" borderId="12" xfId="0" applyNumberFormat="1" applyFont="1" applyFill="1" applyBorder="1"/>
    <xf numFmtId="172" fontId="11" fillId="2" borderId="1" xfId="0" applyNumberFormat="1" applyFont="1" applyFill="1" applyBorder="1"/>
    <xf numFmtId="172" fontId="11" fillId="2" borderId="23" xfId="0" applyNumberFormat="1" applyFont="1" applyFill="1" applyBorder="1"/>
    <xf numFmtId="172" fontId="11" fillId="2" borderId="21" xfId="0" applyNumberFormat="1" applyFont="1" applyFill="1" applyBorder="1"/>
    <xf numFmtId="172" fontId="11" fillId="2" borderId="21" xfId="0" applyNumberFormat="1" applyFont="1" applyFill="1" applyBorder="1" applyAlignment="1">
      <alignment horizontal="right"/>
    </xf>
    <xf numFmtId="172" fontId="11" fillId="2" borderId="20" xfId="0" applyNumberFormat="1" applyFont="1" applyFill="1" applyBorder="1" applyAlignment="1">
      <alignment horizontal="right"/>
    </xf>
    <xf numFmtId="172" fontId="11" fillId="2" borderId="11" xfId="0" applyNumberFormat="1" applyFont="1" applyFill="1" applyBorder="1" applyAlignment="1">
      <alignment horizontal="right"/>
    </xf>
    <xf numFmtId="172" fontId="11" fillId="2" borderId="18" xfId="0" applyNumberFormat="1" applyFont="1" applyFill="1" applyBorder="1" applyAlignment="1">
      <alignment horizontal="right"/>
    </xf>
    <xf numFmtId="172" fontId="10" fillId="2" borderId="21" xfId="0" applyNumberFormat="1" applyFont="1" applyFill="1" applyBorder="1" applyAlignment="1">
      <alignment horizontal="right"/>
    </xf>
    <xf numFmtId="172" fontId="10" fillId="2" borderId="20" xfId="0" applyNumberFormat="1" applyFont="1" applyFill="1" applyBorder="1" applyAlignment="1">
      <alignment horizontal="right"/>
    </xf>
    <xf numFmtId="172" fontId="10" fillId="2" borderId="11" xfId="0" applyNumberFormat="1" applyFont="1" applyFill="1" applyBorder="1" applyAlignment="1">
      <alignment horizontal="right"/>
    </xf>
    <xf numFmtId="172" fontId="10" fillId="2" borderId="18" xfId="0" applyNumberFormat="1" applyFont="1" applyFill="1" applyBorder="1" applyAlignment="1">
      <alignment horizontal="right"/>
    </xf>
    <xf numFmtId="172" fontId="10" fillId="2" borderId="12" xfId="0" applyNumberFormat="1" applyFont="1" applyFill="1" applyBorder="1" applyAlignment="1">
      <alignment horizontal="right"/>
    </xf>
    <xf numFmtId="172" fontId="10" fillId="2" borderId="1" xfId="0" applyNumberFormat="1" applyFont="1" applyFill="1" applyBorder="1" applyAlignment="1">
      <alignment horizontal="right"/>
    </xf>
    <xf numFmtId="172" fontId="10" fillId="2" borderId="23" xfId="0" applyNumberFormat="1" applyFont="1" applyFill="1" applyBorder="1" applyAlignment="1">
      <alignment horizontal="right"/>
    </xf>
    <xf numFmtId="172" fontId="10" fillId="2" borderId="21" xfId="0" applyNumberFormat="1" applyFont="1" applyFill="1" applyBorder="1"/>
    <xf numFmtId="172" fontId="10" fillId="2" borderId="2" xfId="0" applyNumberFormat="1" applyFont="1" applyFill="1" applyBorder="1"/>
    <xf numFmtId="172" fontId="10" fillId="2" borderId="20" xfId="0" applyNumberFormat="1" applyFont="1" applyFill="1" applyBorder="1"/>
    <xf numFmtId="172" fontId="10" fillId="2" borderId="11" xfId="0" applyNumberFormat="1" applyFont="1" applyFill="1" applyBorder="1"/>
    <xf numFmtId="172" fontId="10" fillId="2" borderId="18" xfId="0" applyNumberFormat="1" applyFont="1" applyFill="1" applyBorder="1"/>
    <xf numFmtId="172" fontId="10" fillId="2" borderId="11" xfId="0" applyNumberFormat="1" applyFont="1" applyFill="1" applyBorder="1" applyAlignment="1"/>
    <xf numFmtId="172" fontId="10" fillId="2" borderId="18" xfId="0" applyNumberFormat="1" applyFont="1" applyFill="1" applyBorder="1" applyAlignment="1"/>
    <xf numFmtId="172" fontId="10" fillId="2" borderId="12" xfId="0" applyNumberFormat="1" applyFont="1" applyFill="1" applyBorder="1" applyAlignment="1"/>
    <xf numFmtId="172" fontId="10" fillId="2" borderId="1" xfId="0" applyNumberFormat="1" applyFont="1" applyFill="1" applyBorder="1" applyAlignment="1"/>
    <xf numFmtId="172" fontId="10" fillId="2" borderId="23" xfId="0" applyNumberFormat="1" applyFont="1" applyFill="1" applyBorder="1" applyAlignment="1"/>
    <xf numFmtId="0" fontId="9" fillId="2" borderId="5" xfId="7" applyFont="1" applyFill="1" applyBorder="1" applyAlignment="1">
      <alignment horizontal="right" wrapText="1"/>
    </xf>
    <xf numFmtId="0" fontId="25" fillId="0" borderId="4" xfId="0" applyFont="1" applyBorder="1"/>
    <xf numFmtId="0" fontId="25" fillId="0" borderId="0" xfId="0" applyFont="1" applyBorder="1"/>
    <xf numFmtId="0" fontId="25" fillId="0" borderId="1" xfId="0" applyFont="1" applyBorder="1" applyAlignment="1">
      <alignment wrapText="1"/>
    </xf>
    <xf numFmtId="0" fontId="47" fillId="0" borderId="0" xfId="0" applyFont="1"/>
    <xf numFmtId="172" fontId="11" fillId="2" borderId="1" xfId="0" applyNumberFormat="1" applyFont="1" applyFill="1" applyBorder="1" applyAlignment="1">
      <alignment horizontal="right"/>
    </xf>
    <xf numFmtId="0" fontId="3" fillId="0" borderId="0" xfId="3" applyAlignment="1" applyProtection="1"/>
    <xf numFmtId="0" fontId="8" fillId="0" borderId="0" xfId="0" applyFont="1" applyFill="1" applyAlignment="1">
      <alignment horizontal="left" vertical="center" wrapText="1"/>
    </xf>
    <xf numFmtId="0" fontId="43" fillId="0" borderId="0" xfId="0" applyFont="1" applyFill="1" applyAlignment="1">
      <alignment horizontal="left" vertical="center" wrapText="1"/>
    </xf>
    <xf numFmtId="0" fontId="8" fillId="2" borderId="0" xfId="0" applyFont="1" applyFill="1" applyAlignment="1">
      <alignment horizontal="left" vertical="top" wrapText="1"/>
    </xf>
    <xf numFmtId="0" fontId="8" fillId="2" borderId="0" xfId="0" applyFont="1" applyFill="1" applyBorder="1" applyAlignment="1">
      <alignment horizontal="left" vertical="top" wrapText="1"/>
    </xf>
    <xf numFmtId="0" fontId="8" fillId="2" borderId="0" xfId="0" applyFont="1" applyFill="1" applyAlignment="1">
      <alignment horizontal="left" vertical="center" wrapText="1"/>
    </xf>
    <xf numFmtId="0" fontId="8" fillId="0" borderId="0" xfId="11" applyFont="1" applyFill="1" applyBorder="1" applyAlignment="1">
      <alignment horizontal="left" vertical="center" wrapText="1"/>
    </xf>
    <xf numFmtId="0" fontId="5" fillId="0" borderId="2" xfId="5" applyFont="1" applyFill="1" applyBorder="1" applyAlignment="1">
      <alignment horizontal="left"/>
    </xf>
    <xf numFmtId="0" fontId="43" fillId="0" borderId="0" xfId="0" applyFont="1" applyFill="1" applyAlignment="1">
      <alignment horizontal="left" vertical="center" wrapText="1"/>
    </xf>
    <xf numFmtId="0" fontId="8" fillId="0" borderId="0" xfId="0" applyFont="1" applyFill="1" applyAlignment="1">
      <alignment horizontal="left" vertical="center"/>
    </xf>
    <xf numFmtId="0" fontId="8" fillId="2" borderId="0" xfId="0" applyFont="1" applyFill="1" applyBorder="1" applyAlignment="1">
      <alignment horizontal="left" vertical="top" wrapText="1"/>
    </xf>
    <xf numFmtId="0" fontId="8" fillId="2" borderId="0" xfId="0" applyFont="1" applyFill="1" applyAlignment="1">
      <alignment horizontal="left" vertical="center" wrapText="1"/>
    </xf>
    <xf numFmtId="0" fontId="8" fillId="0" borderId="0" xfId="11" applyFont="1" applyFill="1" applyBorder="1" applyAlignment="1">
      <alignment horizontal="left" vertical="center" wrapText="1"/>
    </xf>
    <xf numFmtId="0" fontId="22" fillId="2" borderId="1" xfId="0" applyFont="1" applyFill="1" applyBorder="1" applyAlignment="1">
      <alignment horizontal="right"/>
    </xf>
    <xf numFmtId="0" fontId="8" fillId="2" borderId="0" xfId="0" applyFont="1" applyFill="1" applyAlignment="1">
      <alignment horizontal="left" vertical="center"/>
    </xf>
    <xf numFmtId="164" fontId="5" fillId="0" borderId="0" xfId="0" applyNumberFormat="1" applyFont="1" applyFill="1"/>
    <xf numFmtId="164" fontId="9" fillId="0" borderId="0" xfId="0" applyNumberFormat="1" applyFont="1" applyFill="1"/>
    <xf numFmtId="0" fontId="25" fillId="0" borderId="1" xfId="0" applyFont="1" applyBorder="1" applyAlignment="1">
      <alignment horizontal="center" wrapText="1"/>
    </xf>
    <xf numFmtId="0" fontId="0" fillId="0" borderId="0" xfId="0" applyAlignment="1">
      <alignment horizontal="center"/>
    </xf>
    <xf numFmtId="0" fontId="9" fillId="2" borderId="0" xfId="7" applyFont="1" applyFill="1" applyBorder="1" applyAlignment="1">
      <alignment horizontal="center" wrapText="1"/>
    </xf>
    <xf numFmtId="0" fontId="9" fillId="2" borderId="0" xfId="0" applyNumberFormat="1" applyFont="1" applyFill="1" applyBorder="1"/>
    <xf numFmtId="0" fontId="5" fillId="2" borderId="3" xfId="0" quotePrefix="1" applyFont="1" applyFill="1" applyBorder="1" applyAlignment="1">
      <alignment horizontal="right"/>
    </xf>
    <xf numFmtId="0" fontId="9" fillId="2" borderId="3" xfId="0" applyNumberFormat="1" applyFont="1" applyFill="1" applyBorder="1"/>
    <xf numFmtId="0" fontId="14" fillId="0" borderId="1" xfId="5" applyFont="1" applyFill="1" applyBorder="1" applyAlignment="1">
      <alignment horizontal="left" wrapText="1"/>
    </xf>
    <xf numFmtId="14" fontId="9" fillId="0" borderId="5" xfId="0" applyNumberFormat="1" applyFont="1" applyFill="1" applyBorder="1" applyAlignment="1">
      <alignment horizontal="right" wrapText="1"/>
    </xf>
    <xf numFmtId="0" fontId="10" fillId="0" borderId="1" xfId="0" applyFont="1" applyFill="1" applyBorder="1" applyProtection="1">
      <protection locked="0"/>
    </xf>
    <xf numFmtId="14" fontId="9" fillId="0" borderId="10" xfId="0" applyNumberFormat="1" applyFont="1" applyFill="1" applyBorder="1" applyAlignment="1">
      <alignment horizontal="right" wrapText="1"/>
    </xf>
    <xf numFmtId="9" fontId="11" fillId="0" borderId="11" xfId="22" applyNumberFormat="1" applyFont="1" applyFill="1" applyBorder="1" applyAlignment="1">
      <alignment horizontal="right"/>
    </xf>
    <xf numFmtId="9" fontId="10" fillId="0" borderId="13" xfId="22" applyNumberFormat="1" applyFont="1" applyFill="1" applyBorder="1" applyAlignment="1">
      <alignment horizontal="right" vertical="center"/>
    </xf>
    <xf numFmtId="0" fontId="26" fillId="0" borderId="0" xfId="0" applyFont="1"/>
    <xf numFmtId="0" fontId="43" fillId="0" borderId="0" xfId="0" applyFont="1" applyFill="1" applyAlignment="1">
      <alignment vertical="center"/>
    </xf>
    <xf numFmtId="0" fontId="9" fillId="0" borderId="10" xfId="12" applyFont="1" applyFill="1" applyBorder="1" applyAlignment="1">
      <alignment horizontal="right" wrapText="1"/>
    </xf>
    <xf numFmtId="164" fontId="9" fillId="0" borderId="11" xfId="0" applyNumberFormat="1" applyFont="1" applyFill="1" applyBorder="1" applyAlignment="1">
      <alignment horizontal="right"/>
    </xf>
    <xf numFmtId="164" fontId="9" fillId="0" borderId="18" xfId="0" applyNumberFormat="1" applyFont="1" applyFill="1" applyBorder="1" applyAlignment="1">
      <alignment horizontal="right"/>
    </xf>
    <xf numFmtId="164" fontId="9" fillId="0" borderId="12" xfId="0" applyNumberFormat="1" applyFont="1" applyFill="1" applyBorder="1" applyAlignment="1">
      <alignment horizontal="right"/>
    </xf>
    <xf numFmtId="164" fontId="9" fillId="0" borderId="23" xfId="0" applyNumberFormat="1" applyFont="1" applyFill="1" applyBorder="1" applyAlignment="1">
      <alignment horizontal="right"/>
    </xf>
    <xf numFmtId="0" fontId="9" fillId="0" borderId="17" xfId="0" applyFont="1" applyFill="1" applyBorder="1" applyAlignment="1">
      <alignment horizontal="right" wrapText="1"/>
    </xf>
    <xf numFmtId="164" fontId="5" fillId="0" borderId="11" xfId="0" applyNumberFormat="1" applyFont="1" applyFill="1" applyBorder="1" applyAlignment="1">
      <alignment horizontal="right"/>
    </xf>
    <xf numFmtId="164" fontId="5" fillId="0" borderId="18" xfId="0" applyNumberFormat="1" applyFont="1" applyFill="1" applyBorder="1" applyAlignment="1">
      <alignment horizontal="right"/>
    </xf>
    <xf numFmtId="164" fontId="5" fillId="0" borderId="11" xfId="0" applyNumberFormat="1" applyFont="1" applyFill="1" applyBorder="1" applyAlignment="1">
      <alignment horizontal="right" vertical="center"/>
    </xf>
    <xf numFmtId="164" fontId="5" fillId="0" borderId="18" xfId="0" applyNumberFormat="1" applyFont="1" applyFill="1" applyBorder="1" applyAlignment="1">
      <alignment horizontal="right" vertical="center"/>
    </xf>
    <xf numFmtId="164" fontId="5" fillId="0" borderId="12" xfId="13" applyNumberFormat="1" applyFont="1" applyFill="1" applyBorder="1" applyAlignment="1">
      <alignment horizontal="right"/>
    </xf>
    <xf numFmtId="164" fontId="5" fillId="0" borderId="23" xfId="13" applyNumberFormat="1" applyFont="1" applyFill="1" applyBorder="1" applyAlignment="1">
      <alignment horizontal="right"/>
    </xf>
    <xf numFmtId="0" fontId="8" fillId="0" borderId="1" xfId="14" applyFont="1" applyFill="1" applyBorder="1" applyAlignment="1">
      <alignment horizontal="left" vertical="center" wrapText="1"/>
    </xf>
    <xf numFmtId="164" fontId="5" fillId="0" borderId="21" xfId="0" applyNumberFormat="1" applyFont="1" applyFill="1" applyBorder="1" applyAlignment="1">
      <alignment vertical="center"/>
    </xf>
    <xf numFmtId="164" fontId="5" fillId="0" borderId="20" xfId="0" applyNumberFormat="1" applyFont="1" applyFill="1" applyBorder="1" applyAlignment="1">
      <alignment vertical="center"/>
    </xf>
    <xf numFmtId="164" fontId="5" fillId="0" borderId="11" xfId="0" applyNumberFormat="1" applyFont="1" applyFill="1" applyBorder="1" applyAlignment="1">
      <alignment vertical="center"/>
    </xf>
    <xf numFmtId="164" fontId="5" fillId="0" borderId="18" xfId="0" applyNumberFormat="1" applyFont="1" applyFill="1" applyBorder="1" applyAlignment="1">
      <alignment vertical="center"/>
    </xf>
    <xf numFmtId="164" fontId="5" fillId="0" borderId="12" xfId="0" applyNumberFormat="1" applyFont="1" applyFill="1" applyBorder="1" applyAlignment="1">
      <alignment vertical="center"/>
    </xf>
    <xf numFmtId="164" fontId="5" fillId="0" borderId="23" xfId="0" applyNumberFormat="1" applyFont="1" applyFill="1" applyBorder="1" applyAlignment="1">
      <alignment vertical="center"/>
    </xf>
    <xf numFmtId="0" fontId="9" fillId="0" borderId="24" xfId="0" applyFont="1" applyFill="1" applyBorder="1" applyAlignment="1">
      <alignment horizontal="left"/>
    </xf>
    <xf numFmtId="0" fontId="9" fillId="0" borderId="15" xfId="0" applyFont="1" applyFill="1" applyBorder="1" applyAlignment="1">
      <alignment horizontal="left"/>
    </xf>
    <xf numFmtId="0" fontId="9" fillId="0" borderId="16" xfId="0" applyFont="1" applyFill="1" applyBorder="1" applyAlignment="1">
      <alignment horizontal="left" vertical="center"/>
    </xf>
    <xf numFmtId="164" fontId="9" fillId="0" borderId="21" xfId="0" applyNumberFormat="1" applyFont="1" applyFill="1" applyBorder="1" applyAlignment="1">
      <alignment vertical="center"/>
    </xf>
    <xf numFmtId="164" fontId="9" fillId="0" borderId="11" xfId="0" applyNumberFormat="1" applyFont="1" applyFill="1" applyBorder="1" applyAlignment="1">
      <alignment vertical="center"/>
    </xf>
    <xf numFmtId="164" fontId="9" fillId="0" borderId="12" xfId="0" applyNumberFormat="1" applyFont="1" applyFill="1" applyBorder="1" applyAlignment="1">
      <alignment vertical="center"/>
    </xf>
    <xf numFmtId="0" fontId="8" fillId="2" borderId="0" xfId="0" applyFont="1" applyFill="1" applyBorder="1" applyAlignment="1">
      <alignment vertical="center"/>
    </xf>
    <xf numFmtId="0" fontId="34" fillId="2" borderId="0" xfId="0" applyFont="1" applyFill="1" applyBorder="1" applyAlignment="1">
      <alignment horizontal="left" vertical="top"/>
    </xf>
    <xf numFmtId="0" fontId="9" fillId="0" borderId="1" xfId="12" applyFont="1" applyFill="1" applyBorder="1" applyAlignment="1">
      <alignment horizontal="right" wrapText="1"/>
    </xf>
    <xf numFmtId="3" fontId="10" fillId="2" borderId="0" xfId="0" applyNumberFormat="1" applyFont="1" applyFill="1" applyBorder="1"/>
    <xf numFmtId="173" fontId="11" fillId="2" borderId="0" xfId="0" applyNumberFormat="1" applyFont="1" applyFill="1" applyBorder="1"/>
    <xf numFmtId="0" fontId="0" fillId="0" borderId="1" xfId="0" applyBorder="1" applyAlignment="1">
      <alignment wrapText="1"/>
    </xf>
    <xf numFmtId="0" fontId="0" fillId="0" borderId="10" xfId="0" applyBorder="1" applyAlignment="1">
      <alignment wrapText="1"/>
    </xf>
    <xf numFmtId="0" fontId="0" fillId="0" borderId="5" xfId="0" applyBorder="1" applyAlignment="1">
      <alignment wrapText="1"/>
    </xf>
    <xf numFmtId="168" fontId="0" fillId="0" borderId="3" xfId="0" applyNumberFormat="1" applyBorder="1"/>
    <xf numFmtId="3" fontId="5" fillId="2" borderId="3" xfId="0" applyNumberFormat="1" applyFont="1" applyFill="1" applyBorder="1" applyAlignment="1">
      <alignment horizontal="right"/>
    </xf>
    <xf numFmtId="3" fontId="5" fillId="2" borderId="11" xfId="0" applyNumberFormat="1" applyFont="1" applyFill="1" applyBorder="1" applyAlignment="1">
      <alignment horizontal="right"/>
    </xf>
    <xf numFmtId="3" fontId="5" fillId="2" borderId="14" xfId="0" applyNumberFormat="1" applyFont="1" applyFill="1" applyBorder="1" applyAlignment="1">
      <alignment horizontal="right"/>
    </xf>
    <xf numFmtId="3" fontId="5" fillId="4" borderId="0" xfId="0" applyNumberFormat="1" applyFont="1" applyFill="1" applyBorder="1" applyAlignment="1">
      <alignment horizontal="right"/>
    </xf>
    <xf numFmtId="3" fontId="5" fillId="4" borderId="21" xfId="0" applyNumberFormat="1" applyFont="1" applyFill="1" applyBorder="1" applyAlignment="1">
      <alignment horizontal="right"/>
    </xf>
    <xf numFmtId="3" fontId="5" fillId="4" borderId="11" xfId="0" applyNumberFormat="1" applyFont="1" applyFill="1" applyBorder="1" applyAlignment="1">
      <alignment horizontal="right"/>
    </xf>
    <xf numFmtId="3" fontId="5" fillId="4" borderId="18" xfId="0" applyNumberFormat="1" applyFont="1" applyFill="1" applyBorder="1" applyAlignment="1">
      <alignment horizontal="right"/>
    </xf>
    <xf numFmtId="3" fontId="5" fillId="2" borderId="18" xfId="0" applyNumberFormat="1" applyFont="1" applyFill="1" applyBorder="1" applyAlignment="1">
      <alignment horizontal="right"/>
    </xf>
    <xf numFmtId="3" fontId="5" fillId="2" borderId="19" xfId="0" applyNumberFormat="1" applyFont="1" applyFill="1" applyBorder="1" applyAlignment="1">
      <alignment horizontal="right"/>
    </xf>
    <xf numFmtId="0" fontId="0" fillId="0" borderId="12" xfId="0" applyBorder="1" applyAlignment="1">
      <alignment wrapText="1"/>
    </xf>
    <xf numFmtId="0" fontId="0" fillId="0" borderId="1" xfId="0" applyBorder="1" applyAlignment="1">
      <alignment horizontal="center"/>
    </xf>
    <xf numFmtId="168" fontId="0" fillId="4" borderId="0" xfId="0" applyNumberFormat="1" applyFill="1"/>
    <xf numFmtId="0" fontId="8" fillId="2" borderId="0" xfId="0" applyFont="1" applyFill="1" applyBorder="1" applyAlignment="1">
      <alignment horizontal="left" vertical="top" wrapText="1"/>
    </xf>
    <xf numFmtId="0" fontId="8" fillId="0" borderId="0" xfId="11" applyFont="1" applyFill="1" applyBorder="1" applyAlignment="1">
      <alignment vertical="center"/>
    </xf>
    <xf numFmtId="0" fontId="48" fillId="0" borderId="0" xfId="0" applyFont="1" applyBorder="1"/>
    <xf numFmtId="0" fontId="25" fillId="0" borderId="3" xfId="0" applyFont="1" applyBorder="1"/>
    <xf numFmtId="0" fontId="25" fillId="0" borderId="1" xfId="0" applyFont="1" applyBorder="1"/>
    <xf numFmtId="0" fontId="25" fillId="0" borderId="1" xfId="0" applyFont="1" applyBorder="1" applyAlignment="1">
      <alignment horizontal="center"/>
    </xf>
    <xf numFmtId="0" fontId="25" fillId="0" borderId="0" xfId="0" applyFont="1" applyAlignment="1">
      <alignment horizontal="center"/>
    </xf>
    <xf numFmtId="0" fontId="48" fillId="0" borderId="0" xfId="0" applyFont="1"/>
    <xf numFmtId="0" fontId="48" fillId="0" borderId="0" xfId="0" applyFont="1" applyAlignment="1">
      <alignment horizontal="center"/>
    </xf>
    <xf numFmtId="3" fontId="9" fillId="0" borderId="21" xfId="0" applyNumberFormat="1" applyFont="1" applyFill="1" applyBorder="1" applyAlignment="1">
      <alignment horizontal="right" wrapText="1"/>
    </xf>
    <xf numFmtId="172" fontId="0" fillId="0" borderId="11" xfId="0" applyNumberFormat="1" applyBorder="1"/>
    <xf numFmtId="3" fontId="9" fillId="0" borderId="10" xfId="0" applyNumberFormat="1" applyFont="1" applyFill="1" applyBorder="1" applyAlignment="1">
      <alignment horizontal="right" wrapText="1"/>
    </xf>
    <xf numFmtId="3" fontId="9" fillId="0" borderId="25" xfId="0" applyNumberFormat="1" applyFont="1" applyFill="1" applyBorder="1" applyAlignment="1">
      <alignment horizontal="right" wrapText="1"/>
    </xf>
    <xf numFmtId="172" fontId="9" fillId="0" borderId="13" xfId="0" applyNumberFormat="1" applyFont="1" applyFill="1" applyBorder="1" applyAlignment="1">
      <alignment horizontal="right" vertical="center"/>
    </xf>
    <xf numFmtId="3" fontId="9" fillId="0" borderId="12" xfId="0" applyNumberFormat="1" applyFont="1" applyFill="1" applyBorder="1" applyAlignment="1">
      <alignment horizontal="right" wrapText="1"/>
    </xf>
    <xf numFmtId="164" fontId="5" fillId="4" borderId="11" xfId="0" applyNumberFormat="1" applyFont="1" applyFill="1" applyBorder="1" applyAlignment="1">
      <alignment horizontal="right"/>
    </xf>
    <xf numFmtId="4" fontId="5" fillId="2" borderId="11" xfId="0" applyNumberFormat="1" applyFont="1" applyFill="1" applyBorder="1"/>
    <xf numFmtId="0" fontId="14" fillId="0" borderId="12" xfId="0" applyFont="1" applyFill="1" applyBorder="1" applyAlignment="1">
      <alignment horizontal="right"/>
    </xf>
    <xf numFmtId="3" fontId="9" fillId="0" borderId="11" xfId="0" applyNumberFormat="1" applyFont="1" applyFill="1" applyBorder="1" applyAlignment="1">
      <alignment horizontal="right" wrapText="1"/>
    </xf>
    <xf numFmtId="3" fontId="5" fillId="0" borderId="21" xfId="16" applyNumberFormat="1" applyFont="1" applyFill="1" applyBorder="1" applyAlignment="1"/>
    <xf numFmtId="3" fontId="5" fillId="0" borderId="11" xfId="16" applyNumberFormat="1" applyFont="1" applyFill="1" applyBorder="1" applyAlignment="1"/>
    <xf numFmtId="3" fontId="9" fillId="0" borderId="13" xfId="16" applyNumberFormat="1" applyFont="1" applyFill="1" applyBorder="1" applyAlignment="1">
      <alignment vertical="center"/>
    </xf>
    <xf numFmtId="172" fontId="5" fillId="0" borderId="21" xfId="0" applyNumberFormat="1" applyFont="1" applyFill="1" applyBorder="1" applyAlignment="1">
      <alignment horizontal="right"/>
    </xf>
    <xf numFmtId="172" fontId="5" fillId="0" borderId="11" xfId="0" applyNumberFormat="1" applyFont="1" applyFill="1" applyBorder="1" applyAlignment="1">
      <alignment horizontal="right" wrapText="1"/>
    </xf>
    <xf numFmtId="3" fontId="9" fillId="0" borderId="22" xfId="0" applyNumberFormat="1" applyFont="1" applyFill="1" applyBorder="1" applyAlignment="1">
      <alignment horizontal="right" wrapText="1"/>
    </xf>
    <xf numFmtId="172" fontId="0" fillId="0" borderId="15" xfId="0" applyNumberFormat="1" applyBorder="1"/>
    <xf numFmtId="2" fontId="9" fillId="0" borderId="4" xfId="0" applyNumberFormat="1" applyFont="1" applyFill="1" applyBorder="1" applyAlignment="1">
      <alignment horizontal="right" vertical="center"/>
    </xf>
    <xf numFmtId="2" fontId="9" fillId="0" borderId="13" xfId="0" applyNumberFormat="1" applyFont="1" applyFill="1" applyBorder="1" applyAlignment="1">
      <alignment horizontal="right" vertical="center"/>
    </xf>
    <xf numFmtId="2" fontId="9" fillId="0" borderId="26" xfId="0" applyNumberFormat="1" applyFont="1" applyFill="1" applyBorder="1" applyAlignment="1">
      <alignment horizontal="right" vertical="center"/>
    </xf>
    <xf numFmtId="3" fontId="5" fillId="0" borderId="3" xfId="0" applyNumberFormat="1" applyFont="1" applyFill="1" applyBorder="1"/>
    <xf numFmtId="3" fontId="5" fillId="0" borderId="3" xfId="0" applyNumberFormat="1" applyFont="1" applyFill="1" applyBorder="1" applyAlignment="1">
      <alignment horizontal="right"/>
    </xf>
    <xf numFmtId="3" fontId="9" fillId="0" borderId="3" xfId="0" applyNumberFormat="1" applyFont="1" applyFill="1" applyBorder="1" applyAlignment="1">
      <alignment horizontal="right"/>
    </xf>
    <xf numFmtId="0" fontId="9" fillId="0" borderId="5" xfId="12" applyFont="1" applyFill="1" applyBorder="1" applyAlignment="1">
      <alignment horizontal="center" wrapText="1"/>
    </xf>
    <xf numFmtId="3" fontId="25" fillId="0" borderId="0" xfId="0" applyNumberFormat="1" applyFont="1"/>
    <xf numFmtId="3" fontId="25" fillId="0" borderId="3" xfId="0" applyNumberFormat="1" applyFont="1" applyBorder="1"/>
    <xf numFmtId="3" fontId="5" fillId="0" borderId="3" xfId="0" applyNumberFormat="1" applyFont="1" applyFill="1" applyBorder="1" applyAlignment="1">
      <alignment horizontal="right" wrapText="1"/>
    </xf>
    <xf numFmtId="0" fontId="25" fillId="0" borderId="0" xfId="0" applyFont="1" applyAlignment="1">
      <alignment horizontal="left" indent="1"/>
    </xf>
    <xf numFmtId="0" fontId="14" fillId="0" borderId="3" xfId="0" applyFont="1" applyFill="1" applyBorder="1" applyAlignment="1">
      <alignment horizontal="left" vertical="center"/>
    </xf>
    <xf numFmtId="0" fontId="25" fillId="0" borderId="0" xfId="0" applyFont="1" applyBorder="1" applyAlignment="1">
      <alignment horizontal="left"/>
    </xf>
    <xf numFmtId="0" fontId="25" fillId="0" borderId="1" xfId="0" applyFont="1" applyBorder="1" applyAlignment="1">
      <alignment horizontal="left"/>
    </xf>
    <xf numFmtId="0" fontId="9" fillId="0" borderId="10" xfId="4" applyFont="1" applyFill="1" applyBorder="1" applyAlignment="1">
      <alignment horizontal="center" wrapText="1"/>
    </xf>
    <xf numFmtId="175" fontId="5" fillId="0" borderId="11" xfId="17" applyNumberFormat="1" applyFont="1" applyFill="1" applyBorder="1" applyAlignment="1">
      <alignment horizontal="right"/>
    </xf>
    <xf numFmtId="175" fontId="5" fillId="0" borderId="13" xfId="17" applyNumberFormat="1" applyFont="1" applyFill="1" applyBorder="1" applyAlignment="1">
      <alignment horizontal="right" vertical="center"/>
    </xf>
    <xf numFmtId="0" fontId="10" fillId="0" borderId="16" xfId="4" applyFont="1" applyFill="1" applyBorder="1" applyAlignment="1">
      <alignment horizontal="center" wrapText="1"/>
    </xf>
    <xf numFmtId="172" fontId="11" fillId="0" borderId="15" xfId="0" quotePrefix="1" applyNumberFormat="1" applyFont="1" applyFill="1" applyBorder="1" applyAlignment="1">
      <alignment horizontal="right"/>
    </xf>
    <xf numFmtId="172" fontId="9" fillId="0" borderId="26" xfId="22" applyNumberFormat="1" applyFont="1" applyFill="1" applyBorder="1" applyAlignment="1">
      <alignment vertical="center"/>
    </xf>
    <xf numFmtId="0" fontId="9" fillId="0" borderId="12" xfId="19" applyFont="1" applyFill="1" applyBorder="1" applyAlignment="1">
      <alignment horizontal="right"/>
    </xf>
    <xf numFmtId="169" fontId="5" fillId="0" borderId="11" xfId="17" applyNumberFormat="1" applyFont="1" applyFill="1" applyBorder="1" applyAlignment="1">
      <alignment horizontal="right"/>
    </xf>
    <xf numFmtId="166" fontId="9" fillId="0" borderId="13" xfId="17" applyNumberFormat="1" applyFont="1" applyFill="1" applyBorder="1" applyAlignment="1">
      <alignment vertical="center"/>
    </xf>
    <xf numFmtId="0" fontId="10" fillId="0" borderId="12" xfId="4" applyFont="1" applyFill="1" applyBorder="1" applyAlignment="1">
      <alignment horizontal="center" wrapText="1"/>
    </xf>
    <xf numFmtId="172" fontId="11" fillId="0" borderId="11" xfId="0" quotePrefix="1" applyNumberFormat="1" applyFont="1" applyFill="1" applyBorder="1" applyAlignment="1">
      <alignment horizontal="right"/>
    </xf>
    <xf numFmtId="172" fontId="11" fillId="0" borderId="12" xfId="0" quotePrefix="1" applyNumberFormat="1" applyFont="1" applyFill="1" applyBorder="1" applyAlignment="1">
      <alignment horizontal="right"/>
    </xf>
    <xf numFmtId="172" fontId="5" fillId="0" borderId="11" xfId="0" applyNumberFormat="1" applyFont="1" applyFill="1" applyBorder="1"/>
    <xf numFmtId="172" fontId="5" fillId="0" borderId="12" xfId="0" applyNumberFormat="1" applyFont="1" applyFill="1" applyBorder="1"/>
    <xf numFmtId="0" fontId="9" fillId="0" borderId="1" xfId="4" applyFont="1" applyFill="1" applyBorder="1"/>
    <xf numFmtId="0" fontId="10" fillId="0" borderId="28" xfId="4" applyFont="1" applyFill="1" applyBorder="1" applyAlignment="1">
      <alignment horizontal="center" wrapText="1"/>
    </xf>
    <xf numFmtId="0" fontId="9" fillId="0" borderId="29" xfId="4" applyFont="1" applyFill="1" applyBorder="1" applyAlignment="1">
      <alignment horizontal="center" wrapText="1"/>
    </xf>
    <xf numFmtId="168" fontId="5" fillId="0" borderId="30" xfId="22" applyNumberFormat="1" applyFont="1" applyFill="1" applyBorder="1"/>
    <xf numFmtId="168" fontId="5" fillId="0" borderId="15" xfId="22" applyNumberFormat="1" applyFont="1" applyFill="1" applyBorder="1"/>
    <xf numFmtId="168" fontId="16" fillId="0" borderId="26" xfId="22" applyNumberFormat="1" applyFont="1" applyFill="1" applyBorder="1" applyAlignment="1">
      <alignment vertical="center"/>
    </xf>
    <xf numFmtId="0" fontId="14" fillId="2" borderId="0" xfId="0" applyFont="1" applyFill="1" applyBorder="1" applyAlignment="1">
      <alignment vertical="center"/>
    </xf>
    <xf numFmtId="0" fontId="19" fillId="2" borderId="1" xfId="0" applyFont="1" applyFill="1" applyBorder="1" applyAlignment="1">
      <alignment horizontal="left"/>
    </xf>
    <xf numFmtId="0" fontId="5" fillId="2" borderId="21" xfId="0" applyFont="1" applyFill="1" applyBorder="1" applyAlignment="1"/>
    <xf numFmtId="2" fontId="5" fillId="3" borderId="11" xfId="0" applyNumberFormat="1" applyFont="1" applyFill="1" applyBorder="1" applyAlignment="1">
      <alignment horizontal="right"/>
    </xf>
    <xf numFmtId="0" fontId="5" fillId="2" borderId="11" xfId="0" applyFont="1" applyFill="1" applyBorder="1" applyAlignment="1">
      <alignment horizontal="right"/>
    </xf>
    <xf numFmtId="0" fontId="5" fillId="2" borderId="14" xfId="0" applyFont="1" applyFill="1" applyBorder="1"/>
    <xf numFmtId="3" fontId="5" fillId="2" borderId="21" xfId="0" applyNumberFormat="1" applyFont="1" applyFill="1" applyBorder="1" applyAlignment="1"/>
    <xf numFmtId="3" fontId="5" fillId="2" borderId="11" xfId="0" applyNumberFormat="1" applyFont="1" applyFill="1" applyBorder="1"/>
    <xf numFmtId="0" fontId="5" fillId="2" borderId="11" xfId="0" applyFont="1" applyFill="1" applyBorder="1"/>
    <xf numFmtId="0" fontId="0" fillId="0" borderId="14" xfId="0" applyBorder="1"/>
    <xf numFmtId="0" fontId="9" fillId="2" borderId="14" xfId="0" applyFont="1" applyFill="1" applyBorder="1"/>
    <xf numFmtId="0" fontId="14" fillId="2" borderId="21" xfId="0" applyFont="1" applyFill="1" applyBorder="1" applyAlignment="1">
      <alignment vertical="center"/>
    </xf>
    <xf numFmtId="0" fontId="19" fillId="2" borderId="22" xfId="0" applyFont="1" applyFill="1" applyBorder="1" applyAlignment="1">
      <alignment horizontal="right" wrapText="1"/>
    </xf>
    <xf numFmtId="0" fontId="19" fillId="2" borderId="22" xfId="0" applyFont="1" applyFill="1" applyBorder="1" applyAlignment="1">
      <alignment horizontal="right" vertical="center" wrapText="1"/>
    </xf>
    <xf numFmtId="0" fontId="27" fillId="2" borderId="17" xfId="0" applyFont="1" applyFill="1" applyBorder="1" applyAlignment="1">
      <alignment horizontal="center" wrapText="1"/>
    </xf>
    <xf numFmtId="164" fontId="5" fillId="5" borderId="15" xfId="0" applyNumberFormat="1" applyFont="1" applyFill="1" applyBorder="1" applyAlignment="1">
      <alignment horizontal="right"/>
    </xf>
    <xf numFmtId="0" fontId="5" fillId="2" borderId="27" xfId="0" applyFont="1" applyFill="1" applyBorder="1"/>
    <xf numFmtId="0" fontId="9" fillId="2" borderId="21" xfId="0" applyFont="1" applyFill="1" applyBorder="1" applyAlignment="1"/>
    <xf numFmtId="164" fontId="5" fillId="5" borderId="11" xfId="0" applyNumberFormat="1" applyFont="1" applyFill="1" applyBorder="1" applyAlignment="1">
      <alignment horizontal="right"/>
    </xf>
    <xf numFmtId="164" fontId="5" fillId="5" borderId="24" xfId="0" applyNumberFormat="1" applyFont="1" applyFill="1" applyBorder="1" applyAlignment="1">
      <alignment horizontal="right"/>
    </xf>
    <xf numFmtId="0" fontId="19" fillId="2" borderId="16" xfId="0" applyFont="1" applyFill="1" applyBorder="1" applyAlignment="1">
      <alignment horizontal="right" wrapText="1"/>
    </xf>
    <xf numFmtId="3" fontId="9" fillId="2" borderId="24" xfId="0" applyNumberFormat="1" applyFont="1" applyFill="1" applyBorder="1" applyAlignment="1">
      <alignment horizontal="right"/>
    </xf>
    <xf numFmtId="3" fontId="9" fillId="2" borderId="15" xfId="0" applyNumberFormat="1" applyFont="1" applyFill="1" applyBorder="1" applyAlignment="1">
      <alignment horizontal="right"/>
    </xf>
    <xf numFmtId="3" fontId="9" fillId="2" borderId="27" xfId="0" applyNumberFormat="1" applyFont="1" applyFill="1" applyBorder="1" applyAlignment="1">
      <alignment horizontal="right"/>
    </xf>
    <xf numFmtId="0" fontId="25" fillId="0" borderId="0" xfId="0" applyFont="1" applyAlignment="1"/>
    <xf numFmtId="0" fontId="34" fillId="0" borderId="3" xfId="0" applyFont="1" applyFill="1" applyBorder="1"/>
    <xf numFmtId="0" fontId="22" fillId="0" borderId="0" xfId="0" applyFont="1" applyFill="1" applyAlignment="1">
      <alignment horizontal="right"/>
    </xf>
    <xf numFmtId="3" fontId="9" fillId="0" borderId="5" xfId="0" applyNumberFormat="1" applyFont="1" applyFill="1" applyBorder="1" applyAlignment="1">
      <alignment horizontal="right" wrapText="1"/>
    </xf>
    <xf numFmtId="0" fontId="30" fillId="0" borderId="0" xfId="0" applyFont="1" applyFill="1" applyBorder="1" applyAlignment="1">
      <alignment horizontal="left" vertical="center" wrapText="1"/>
    </xf>
    <xf numFmtId="0" fontId="0" fillId="0" borderId="0" xfId="0" applyAlignment="1">
      <alignment horizontal="left" wrapText="1"/>
    </xf>
    <xf numFmtId="0" fontId="8" fillId="0" borderId="0" xfId="0" applyFont="1" applyFill="1" applyBorder="1" applyAlignment="1">
      <alignment horizontal="left" vertical="center" wrapText="1"/>
    </xf>
    <xf numFmtId="0" fontId="8" fillId="2" borderId="0" xfId="0" applyFont="1" applyFill="1" applyBorder="1" applyAlignment="1">
      <alignment horizontal="left" vertical="center"/>
    </xf>
    <xf numFmtId="0" fontId="34" fillId="2" borderId="0" xfId="0" applyFont="1" applyFill="1" applyAlignment="1">
      <alignment horizontal="left" vertical="top" wrapText="1"/>
    </xf>
    <xf numFmtId="0" fontId="34" fillId="2" borderId="0" xfId="0" applyFont="1" applyFill="1" applyAlignment="1">
      <alignment horizontal="left" wrapText="1"/>
    </xf>
    <xf numFmtId="0" fontId="30" fillId="0" borderId="0" xfId="0" applyFont="1" applyFill="1" applyBorder="1" applyAlignment="1">
      <alignment horizontal="left" vertical="center"/>
    </xf>
    <xf numFmtId="0" fontId="46" fillId="0" borderId="0" xfId="0" applyFont="1"/>
    <xf numFmtId="0" fontId="9" fillId="6" borderId="11" xfId="0" applyFont="1" applyFill="1" applyBorder="1" applyAlignment="1"/>
    <xf numFmtId="0" fontId="5" fillId="6" borderId="0" xfId="0" applyFont="1" applyFill="1" applyBorder="1"/>
    <xf numFmtId="0" fontId="35" fillId="0" borderId="0" xfId="0" quotePrefix="1" applyFont="1" applyFill="1" applyAlignment="1">
      <alignment vertical="center"/>
    </xf>
    <xf numFmtId="9" fontId="10" fillId="0" borderId="3" xfId="22" applyNumberFormat="1" applyFont="1" applyFill="1" applyBorder="1"/>
    <xf numFmtId="0" fontId="34" fillId="0" borderId="0" xfId="5" applyFont="1" applyFill="1" applyBorder="1" applyAlignment="1">
      <alignment horizontal="left"/>
    </xf>
    <xf numFmtId="0" fontId="34" fillId="0" borderId="0" xfId="0" applyFont="1" applyFill="1" applyBorder="1" applyAlignment="1">
      <alignment vertical="center" wrapText="1"/>
    </xf>
    <xf numFmtId="0" fontId="3" fillId="0" borderId="0" xfId="3" applyAlignment="1" applyProtection="1">
      <alignment vertical="center"/>
    </xf>
    <xf numFmtId="0" fontId="0" fillId="0" borderId="0" xfId="0" applyFont="1" applyFill="1" applyBorder="1"/>
    <xf numFmtId="0" fontId="8" fillId="0" borderId="0" xfId="0" applyFont="1" applyFill="1" applyAlignment="1">
      <alignment horizontal="left" vertical="center" wrapText="1"/>
    </xf>
    <xf numFmtId="0" fontId="10" fillId="0" borderId="1" xfId="0" applyFont="1" applyFill="1" applyBorder="1" applyAlignment="1">
      <alignment horizontal="left" wrapText="1"/>
    </xf>
    <xf numFmtId="0" fontId="31" fillId="0" borderId="0" xfId="0" quotePrefix="1" applyFont="1" applyFill="1" applyBorder="1" applyAlignment="1">
      <alignment horizontal="center"/>
    </xf>
    <xf numFmtId="0" fontId="0" fillId="7" borderId="0" xfId="0" applyFill="1"/>
    <xf numFmtId="0" fontId="10" fillId="0" borderId="0" xfId="0" applyFont="1" applyFill="1" applyBorder="1" applyAlignment="1">
      <alignment horizontal="left" wrapText="1"/>
    </xf>
    <xf numFmtId="0" fontId="43" fillId="0" borderId="0" xfId="0" applyFont="1" applyFill="1" applyAlignment="1">
      <alignment horizontal="left" vertical="center" wrapText="1"/>
    </xf>
    <xf numFmtId="0" fontId="8" fillId="2"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left" vertical="top" wrapText="1"/>
    </xf>
    <xf numFmtId="0" fontId="8" fillId="0" borderId="0" xfId="11" applyFont="1" applyFill="1" applyBorder="1" applyAlignment="1">
      <alignment horizontal="left" vertical="center" wrapText="1"/>
    </xf>
    <xf numFmtId="0" fontId="0" fillId="7" borderId="0" xfId="0" applyFill="1" applyAlignment="1">
      <alignment horizontal="left"/>
    </xf>
    <xf numFmtId="1" fontId="5" fillId="2" borderId="0" xfId="17" applyNumberFormat="1" applyFont="1" applyFill="1" applyBorder="1"/>
    <xf numFmtId="166" fontId="0" fillId="0" borderId="0" xfId="0" applyNumberFormat="1"/>
    <xf numFmtId="164" fontId="8" fillId="0" borderId="0" xfId="11" applyNumberFormat="1" applyFont="1" applyFill="1" applyBorder="1" applyAlignment="1">
      <alignment horizontal="left" vertical="center" wrapText="1"/>
    </xf>
    <xf numFmtId="168" fontId="8" fillId="0" borderId="0" xfId="2" applyNumberFormat="1" applyFont="1" applyFill="1" applyBorder="1" applyAlignment="1">
      <alignment horizontal="left" vertical="center" wrapText="1"/>
    </xf>
    <xf numFmtId="168" fontId="0" fillId="0" borderId="0" xfId="2" applyNumberFormat="1" applyFont="1"/>
    <xf numFmtId="0" fontId="8" fillId="2" borderId="0" xfId="0" applyFont="1" applyFill="1" applyAlignment="1">
      <alignment horizontal="left" vertical="center" wrapText="1"/>
    </xf>
    <xf numFmtId="0" fontId="34" fillId="0" borderId="0" xfId="0" applyFont="1" applyFill="1" applyBorder="1" applyAlignment="1" applyProtection="1">
      <alignment horizontal="left" wrapText="1"/>
      <protection locked="0"/>
    </xf>
    <xf numFmtId="0" fontId="8" fillId="0" borderId="0" xfId="0" applyFont="1" applyFill="1" applyBorder="1" applyAlignment="1">
      <alignment horizontal="left" vertical="center" wrapText="1"/>
    </xf>
    <xf numFmtId="0" fontId="34" fillId="0" borderId="0" xfId="0" applyFont="1" applyFill="1" applyAlignment="1">
      <alignment horizontal="left" vertical="center" wrapText="1"/>
    </xf>
    <xf numFmtId="0" fontId="8" fillId="0" borderId="0" xfId="0" applyFont="1" applyFill="1" applyAlignment="1">
      <alignment horizontal="left" vertical="center"/>
    </xf>
    <xf numFmtId="0" fontId="0" fillId="2" borderId="0" xfId="0" applyFill="1" applyAlignment="1">
      <alignment horizontal="left" wrapText="1"/>
    </xf>
    <xf numFmtId="0" fontId="34" fillId="0" borderId="0" xfId="0" applyFont="1" applyFill="1" applyAlignment="1">
      <alignment horizontal="left" wrapText="1"/>
    </xf>
    <xf numFmtId="0" fontId="9" fillId="0" borderId="1" xfId="0" applyFont="1" applyFill="1" applyBorder="1" applyAlignment="1">
      <alignment horizontal="center" wrapText="1"/>
    </xf>
    <xf numFmtId="0" fontId="43" fillId="0" borderId="0" xfId="0" applyFont="1" applyFill="1" applyAlignment="1">
      <alignment horizontal="left" vertical="center" wrapText="1"/>
    </xf>
    <xf numFmtId="0" fontId="8" fillId="2" borderId="0" xfId="0" applyFont="1" applyFill="1" applyAlignment="1">
      <alignment horizontal="left" vertical="center" wrapText="1"/>
    </xf>
    <xf numFmtId="0" fontId="49" fillId="0" borderId="0" xfId="0" applyFont="1"/>
    <xf numFmtId="0" fontId="50" fillId="0" borderId="0" xfId="0" applyFont="1"/>
    <xf numFmtId="0" fontId="0" fillId="0" borderId="23" xfId="0" applyBorder="1" applyAlignment="1">
      <alignment wrapText="1"/>
    </xf>
    <xf numFmtId="0" fontId="0" fillId="0" borderId="22" xfId="0" applyBorder="1" applyAlignment="1">
      <alignment wrapText="1"/>
    </xf>
    <xf numFmtId="0" fontId="0" fillId="0" borderId="17" xfId="0" applyBorder="1" applyAlignment="1">
      <alignment wrapText="1"/>
    </xf>
    <xf numFmtId="0" fontId="0" fillId="0" borderId="5" xfId="0" applyFill="1" applyBorder="1" applyAlignment="1">
      <alignment wrapText="1"/>
    </xf>
    <xf numFmtId="0" fontId="0" fillId="0" borderId="11" xfId="0" applyBorder="1"/>
    <xf numFmtId="0" fontId="0" fillId="0" borderId="22" xfId="0" applyFont="1" applyBorder="1" applyAlignment="1">
      <alignment wrapText="1"/>
    </xf>
    <xf numFmtId="0" fontId="25" fillId="7" borderId="0" xfId="0" applyFont="1" applyFill="1"/>
    <xf numFmtId="0" fontId="25" fillId="7" borderId="0" xfId="0" quotePrefix="1" applyFont="1" applyFill="1"/>
    <xf numFmtId="0" fontId="5" fillId="0" borderId="3" xfId="0" applyFont="1" applyFill="1" applyBorder="1" applyAlignment="1">
      <alignment horizontal="right"/>
    </xf>
    <xf numFmtId="0" fontId="9" fillId="0" borderId="11" xfId="0" applyNumberFormat="1" applyFont="1" applyFill="1" applyBorder="1"/>
    <xf numFmtId="0" fontId="9" fillId="0" borderId="14" xfId="0" applyNumberFormat="1" applyFont="1" applyFill="1" applyBorder="1"/>
    <xf numFmtId="0" fontId="10" fillId="0" borderId="1" xfId="0" applyFont="1" applyFill="1" applyBorder="1" applyAlignment="1">
      <alignment horizontal="right"/>
    </xf>
    <xf numFmtId="0" fontId="9" fillId="2" borderId="3" xfId="0" applyFont="1" applyFill="1" applyBorder="1" applyAlignment="1">
      <alignment horizontal="right"/>
    </xf>
    <xf numFmtId="0" fontId="0" fillId="0" borderId="0" xfId="0" applyAlignment="1">
      <alignment horizontal="right"/>
    </xf>
    <xf numFmtId="0" fontId="43" fillId="0" borderId="0" xfId="0" applyFont="1" applyFill="1" applyAlignment="1">
      <alignment horizontal="right" vertical="center" wrapText="1"/>
    </xf>
    <xf numFmtId="0" fontId="25" fillId="0" borderId="0" xfId="0" applyFont="1" applyAlignment="1">
      <alignment horizontal="right"/>
    </xf>
    <xf numFmtId="0" fontId="51" fillId="0" borderId="0" xfId="0" applyFont="1"/>
    <xf numFmtId="0" fontId="23" fillId="0" borderId="0" xfId="0" applyFont="1" applyAlignment="1">
      <alignment horizontal="right"/>
    </xf>
    <xf numFmtId="0" fontId="51" fillId="0" borderId="0" xfId="0" applyFont="1" applyAlignment="1">
      <alignment horizontal="right"/>
    </xf>
    <xf numFmtId="0" fontId="51" fillId="0" borderId="23" xfId="0" applyFont="1" applyBorder="1"/>
    <xf numFmtId="0" fontId="51" fillId="0" borderId="10" xfId="0" applyFont="1" applyBorder="1" applyAlignment="1">
      <alignment horizontal="right"/>
    </xf>
    <xf numFmtId="0" fontId="51" fillId="0" borderId="5" xfId="0" applyFont="1" applyBorder="1" applyAlignment="1">
      <alignment horizontal="right"/>
    </xf>
    <xf numFmtId="0" fontId="51" fillId="0" borderId="17" xfId="0" applyFont="1" applyBorder="1" applyAlignment="1">
      <alignment horizontal="right"/>
    </xf>
    <xf numFmtId="0" fontId="25" fillId="0" borderId="22" xfId="0" applyFont="1" applyBorder="1" applyAlignment="1">
      <alignment wrapText="1"/>
    </xf>
    <xf numFmtId="0" fontId="0" fillId="0" borderId="3" xfId="0" applyFont="1" applyBorder="1"/>
    <xf numFmtId="0" fontId="0" fillId="0" borderId="3" xfId="0" applyFill="1" applyBorder="1"/>
    <xf numFmtId="0" fontId="0" fillId="0" borderId="0" xfId="0" applyFill="1" applyAlignment="1"/>
    <xf numFmtId="0" fontId="3" fillId="0" borderId="0" xfId="3" applyFill="1" applyAlignment="1" applyProtection="1"/>
    <xf numFmtId="0" fontId="0" fillId="0" borderId="0" xfId="0" applyFill="1" applyAlignment="1">
      <alignment wrapText="1"/>
    </xf>
    <xf numFmtId="166" fontId="5" fillId="0" borderId="3" xfId="21" applyNumberFormat="1" applyFont="1" applyFill="1" applyBorder="1" applyAlignment="1">
      <alignment horizontal="right" wrapText="1"/>
    </xf>
    <xf numFmtId="166" fontId="9" fillId="0" borderId="3" xfId="22" applyNumberFormat="1" applyFont="1" applyFill="1" applyBorder="1" applyAlignment="1">
      <alignment horizontal="right" vertical="center" wrapText="1"/>
    </xf>
    <xf numFmtId="0" fontId="43" fillId="0" borderId="0" xfId="0" applyFont="1" applyFill="1" applyAlignment="1">
      <alignment vertical="center" wrapText="1"/>
    </xf>
    <xf numFmtId="0" fontId="0" fillId="0" borderId="0" xfId="0" applyFont="1" applyFill="1"/>
    <xf numFmtId="0" fontId="14" fillId="0" borderId="0" xfId="0" applyFont="1" applyFill="1" applyBorder="1" applyAlignment="1">
      <alignment wrapText="1"/>
    </xf>
    <xf numFmtId="166" fontId="9" fillId="0" borderId="3" xfId="21" applyNumberFormat="1" applyFont="1" applyFill="1" applyBorder="1" applyAlignment="1">
      <alignment horizontal="right" wrapText="1"/>
    </xf>
    <xf numFmtId="0" fontId="34" fillId="0" borderId="0" xfId="0" applyFont="1" applyFill="1" applyAlignment="1">
      <alignment wrapText="1"/>
    </xf>
    <xf numFmtId="172" fontId="11" fillId="0" borderId="0" xfId="0" applyNumberFormat="1" applyFont="1" applyFill="1" applyBorder="1"/>
    <xf numFmtId="0" fontId="9" fillId="0" borderId="0" xfId="7" applyFont="1" applyFill="1" applyBorder="1" applyAlignment="1">
      <alignment horizontal="right" wrapText="1"/>
    </xf>
    <xf numFmtId="0" fontId="43" fillId="0" borderId="0" xfId="0" applyFont="1" applyFill="1" applyAlignment="1">
      <alignment horizontal="left" vertical="center" wrapText="1"/>
    </xf>
    <xf numFmtId="0" fontId="8" fillId="0" borderId="0" xfId="0" applyFont="1" applyFill="1" applyAlignment="1">
      <alignment horizontal="left" vertical="center" wrapText="1"/>
    </xf>
    <xf numFmtId="0" fontId="8" fillId="0" borderId="0" xfId="0" applyFont="1" applyFill="1" applyBorder="1" applyAlignment="1">
      <alignment horizontal="left" vertical="center" wrapText="1"/>
    </xf>
    <xf numFmtId="0" fontId="8" fillId="0" borderId="0" xfId="11" applyFont="1" applyFill="1" applyBorder="1" applyAlignment="1">
      <alignment horizontal="left" vertical="center" wrapText="1"/>
    </xf>
    <xf numFmtId="166" fontId="5" fillId="0" borderId="0" xfId="21" applyNumberFormat="1" applyFont="1" applyFill="1" applyBorder="1" applyAlignment="1">
      <alignment horizontal="right" vertical="center" wrapText="1"/>
    </xf>
    <xf numFmtId="0" fontId="46" fillId="0" borderId="0" xfId="0" applyFont="1" applyFill="1"/>
    <xf numFmtId="0" fontId="9" fillId="0" borderId="2" xfId="0" applyFont="1" applyFill="1" applyBorder="1" applyAlignment="1">
      <alignment horizontal="center" wrapText="1"/>
    </xf>
    <xf numFmtId="164" fontId="5" fillId="0" borderId="0" xfId="0" applyNumberFormat="1" applyFont="1" applyFill="1" applyBorder="1" applyAlignment="1">
      <alignment horizontal="right" vertical="center"/>
    </xf>
    <xf numFmtId="164" fontId="5" fillId="0" borderId="2" xfId="0" applyNumberFormat="1" applyFont="1" applyFill="1" applyBorder="1" applyAlignment="1">
      <alignment horizontal="right" vertical="center"/>
    </xf>
    <xf numFmtId="3" fontId="5" fillId="0" borderId="2" xfId="0" applyNumberFormat="1" applyFont="1" applyFill="1" applyBorder="1" applyAlignment="1">
      <alignment horizontal="right"/>
    </xf>
    <xf numFmtId="0" fontId="52" fillId="0" borderId="0" xfId="0" applyFont="1"/>
    <xf numFmtId="0" fontId="8" fillId="2" borderId="0" xfId="0" applyFont="1" applyFill="1" applyAlignment="1">
      <alignment horizontal="left" vertical="center" wrapText="1"/>
    </xf>
    <xf numFmtId="0" fontId="8" fillId="0" borderId="0" xfId="11" applyFont="1" applyFill="1" applyBorder="1" applyAlignment="1">
      <alignment horizontal="left" vertical="center" wrapText="1"/>
    </xf>
    <xf numFmtId="1" fontId="25" fillId="0" borderId="0" xfId="0" applyNumberFormat="1" applyFont="1" applyBorder="1"/>
    <xf numFmtId="0" fontId="25" fillId="0" borderId="0" xfId="0" applyFont="1" applyFill="1"/>
    <xf numFmtId="0" fontId="25" fillId="0" borderId="4" xfId="0" applyFont="1" applyFill="1" applyBorder="1"/>
    <xf numFmtId="0" fontId="34" fillId="0" borderId="17" xfId="0" applyFont="1" applyFill="1" applyBorder="1" applyAlignment="1">
      <alignment wrapText="1"/>
    </xf>
    <xf numFmtId="0" fontId="34" fillId="0" borderId="20" xfId="0" applyFont="1" applyFill="1" applyBorder="1"/>
    <xf numFmtId="0" fontId="34" fillId="0" borderId="18" xfId="0" applyFont="1" applyFill="1" applyBorder="1"/>
    <xf numFmtId="168" fontId="34" fillId="0" borderId="18" xfId="0" applyNumberFormat="1" applyFont="1" applyFill="1" applyBorder="1"/>
    <xf numFmtId="168" fontId="34" fillId="0" borderId="19" xfId="0" applyNumberFormat="1" applyFont="1" applyFill="1" applyBorder="1"/>
    <xf numFmtId="0" fontId="0" fillId="0" borderId="1" xfId="0" applyFill="1" applyBorder="1"/>
    <xf numFmtId="0" fontId="0" fillId="0" borderId="0" xfId="0" applyAlignment="1">
      <alignment horizontal="center" vertical="center"/>
    </xf>
    <xf numFmtId="0" fontId="0" fillId="0" borderId="2" xfId="0" applyBorder="1"/>
    <xf numFmtId="168" fontId="0" fillId="0" borderId="2" xfId="2" applyNumberFormat="1" applyFont="1" applyBorder="1"/>
    <xf numFmtId="168" fontId="0" fillId="0" borderId="0" xfId="2" applyNumberFormat="1" applyFont="1" applyBorder="1"/>
    <xf numFmtId="168" fontId="0" fillId="0" borderId="1" xfId="2" applyNumberFormat="1" applyFont="1" applyBorder="1"/>
    <xf numFmtId="0" fontId="25" fillId="8" borderId="0" xfId="0" applyFont="1" applyFill="1"/>
    <xf numFmtId="0" fontId="0" fillId="8" borderId="0" xfId="0" applyFill="1"/>
    <xf numFmtId="0" fontId="0" fillId="8" borderId="0" xfId="0" applyFill="1" applyAlignment="1">
      <alignment horizontal="left"/>
    </xf>
    <xf numFmtId="0" fontId="0" fillId="8" borderId="0" xfId="0" applyNumberFormat="1" applyFill="1"/>
    <xf numFmtId="10" fontId="0" fillId="0" borderId="0" xfId="0" applyNumberFormat="1"/>
    <xf numFmtId="10" fontId="0" fillId="0" borderId="3" xfId="0" applyNumberFormat="1" applyBorder="1"/>
    <xf numFmtId="173" fontId="5" fillId="2" borderId="0" xfId="0" applyNumberFormat="1" applyFont="1" applyFill="1" applyBorder="1" applyAlignment="1">
      <alignment horizontal="right"/>
    </xf>
    <xf numFmtId="173" fontId="5" fillId="2" borderId="3" xfId="0" applyNumberFormat="1" applyFont="1" applyFill="1" applyBorder="1" applyAlignment="1">
      <alignment horizontal="right"/>
    </xf>
    <xf numFmtId="172" fontId="11" fillId="0" borderId="2" xfId="0" applyNumberFormat="1" applyFont="1" applyFill="1" applyBorder="1" applyAlignment="1">
      <alignment horizontal="right"/>
    </xf>
    <xf numFmtId="172" fontId="10" fillId="0" borderId="2" xfId="0" applyNumberFormat="1" applyFont="1" applyFill="1" applyBorder="1" applyAlignment="1">
      <alignment horizontal="right"/>
    </xf>
    <xf numFmtId="172" fontId="11" fillId="0" borderId="0" xfId="0" applyNumberFormat="1" applyFont="1" applyFill="1" applyBorder="1" applyAlignment="1">
      <alignment horizontal="right"/>
    </xf>
    <xf numFmtId="172" fontId="10" fillId="0" borderId="0" xfId="0" applyNumberFormat="1" applyFont="1" applyFill="1" applyBorder="1" applyAlignment="1">
      <alignment horizontal="right"/>
    </xf>
    <xf numFmtId="172" fontId="11" fillId="0" borderId="1" xfId="0" applyNumberFormat="1" applyFont="1" applyFill="1" applyBorder="1" applyAlignment="1">
      <alignment horizontal="right"/>
    </xf>
    <xf numFmtId="172" fontId="10" fillId="0" borderId="1" xfId="0" applyNumberFormat="1" applyFont="1" applyFill="1" applyBorder="1" applyAlignment="1">
      <alignment horizontal="right"/>
    </xf>
    <xf numFmtId="0" fontId="9" fillId="0" borderId="2" xfId="0" applyFont="1" applyFill="1" applyBorder="1" applyAlignment="1">
      <alignment horizontal="left"/>
    </xf>
    <xf numFmtId="166" fontId="25" fillId="0" borderId="2" xfId="0" applyNumberFormat="1" applyFont="1" applyBorder="1"/>
    <xf numFmtId="1" fontId="25" fillId="0" borderId="2" xfId="0" applyNumberFormat="1" applyFont="1" applyBorder="1"/>
    <xf numFmtId="0" fontId="16" fillId="0" borderId="0" xfId="0" applyFont="1" applyFill="1" applyAlignment="1">
      <alignment horizontal="center" vertical="top" wrapText="1"/>
    </xf>
    <xf numFmtId="0" fontId="0" fillId="9" borderId="31" xfId="0" applyFill="1" applyBorder="1" applyAlignment="1"/>
    <xf numFmtId="0" fontId="0" fillId="0" borderId="31" xfId="0" applyBorder="1" applyAlignment="1">
      <alignment vertical="top"/>
    </xf>
    <xf numFmtId="0" fontId="0" fillId="0" borderId="0" xfId="0" applyAlignment="1">
      <alignment horizontal="left"/>
    </xf>
    <xf numFmtId="0" fontId="0" fillId="0" borderId="31" xfId="0" applyBorder="1" applyAlignment="1"/>
    <xf numFmtId="16" fontId="0" fillId="9" borderId="31" xfId="0" applyNumberFormat="1" applyFill="1" applyBorder="1" applyAlignment="1"/>
    <xf numFmtId="0" fontId="0" fillId="0" borderId="31" xfId="0" applyNumberFormat="1" applyBorder="1" applyAlignment="1">
      <alignment vertical="top"/>
    </xf>
    <xf numFmtId="0" fontId="30" fillId="0" borderId="0" xfId="0" applyFont="1" applyFill="1" applyBorder="1" applyAlignment="1">
      <alignment horizontal="left" vertical="center" wrapText="1"/>
    </xf>
    <xf numFmtId="0" fontId="24" fillId="0" borderId="0" xfId="0" applyFont="1" applyAlignment="1">
      <alignment horizontal="left"/>
    </xf>
    <xf numFmtId="0" fontId="30" fillId="0" borderId="0" xfId="0" applyFont="1" applyFill="1" applyBorder="1" applyAlignment="1">
      <alignment horizontal="left" wrapText="1"/>
    </xf>
    <xf numFmtId="0" fontId="0" fillId="0" borderId="0" xfId="0" applyAlignment="1">
      <alignment horizontal="left" vertical="center" wrapText="1"/>
    </xf>
    <xf numFmtId="0" fontId="0" fillId="0" borderId="0" xfId="0" applyAlignment="1">
      <alignment horizontal="left" wrapText="1"/>
    </xf>
    <xf numFmtId="0" fontId="43" fillId="0" borderId="0" xfId="0" applyFont="1" applyFill="1" applyAlignment="1">
      <alignment horizontal="left" vertical="center" wrapText="1"/>
    </xf>
    <xf numFmtId="0" fontId="8" fillId="2" borderId="0" xfId="0" applyFont="1" applyFill="1" applyAlignment="1">
      <alignment horizontal="left" vertical="center" wrapText="1"/>
    </xf>
    <xf numFmtId="0" fontId="34" fillId="0" borderId="0" xfId="0" applyFont="1" applyFill="1" applyBorder="1" applyAlignment="1" applyProtection="1">
      <alignment horizontal="left" wrapText="1"/>
      <protection locked="0"/>
    </xf>
    <xf numFmtId="0" fontId="34" fillId="2" borderId="0" xfId="0" applyFont="1" applyFill="1" applyAlignment="1">
      <alignment horizontal="left" wrapText="1"/>
    </xf>
    <xf numFmtId="0" fontId="25" fillId="0" borderId="20" xfId="0" applyFont="1" applyBorder="1" applyAlignment="1">
      <alignment horizontal="center"/>
    </xf>
    <xf numFmtId="0" fontId="25" fillId="0" borderId="23" xfId="0" applyFont="1" applyBorder="1" applyAlignment="1">
      <alignment horizontal="center"/>
    </xf>
    <xf numFmtId="0" fontId="0" fillId="0" borderId="10" xfId="0" applyFont="1" applyBorder="1" applyAlignment="1">
      <alignment horizontal="center"/>
    </xf>
    <xf numFmtId="0" fontId="0" fillId="0" borderId="5" xfId="0" applyFont="1" applyBorder="1" applyAlignment="1">
      <alignment horizontal="center"/>
    </xf>
    <xf numFmtId="0" fontId="0" fillId="0" borderId="17" xfId="0" applyFont="1" applyBorder="1" applyAlignment="1">
      <alignment horizontal="center"/>
    </xf>
    <xf numFmtId="0" fontId="0" fillId="0" borderId="22" xfId="0" applyBorder="1" applyAlignment="1">
      <alignment horizontal="center"/>
    </xf>
    <xf numFmtId="0" fontId="8" fillId="2" borderId="0" xfId="0" applyFont="1" applyFill="1" applyBorder="1" applyAlignment="1">
      <alignment horizontal="left" vertical="center" wrapText="1"/>
    </xf>
    <xf numFmtId="0" fontId="0" fillId="0" borderId="0" xfId="0" applyFill="1" applyAlignment="1">
      <alignment horizontal="left" wrapText="1"/>
    </xf>
    <xf numFmtId="0" fontId="34" fillId="0" borderId="0" xfId="0" applyFont="1" applyFill="1" applyBorder="1" applyAlignment="1">
      <alignment horizontal="left" wrapText="1"/>
    </xf>
    <xf numFmtId="0" fontId="10" fillId="0" borderId="1" xfId="0" applyFont="1" applyFill="1" applyBorder="1" applyAlignment="1">
      <alignment horizontal="left" wrapText="1"/>
    </xf>
    <xf numFmtId="0" fontId="8" fillId="0" borderId="0" xfId="0" applyFont="1" applyFill="1" applyAlignment="1">
      <alignment horizontal="left" vertical="center" wrapText="1"/>
    </xf>
    <xf numFmtId="0" fontId="0" fillId="0" borderId="0" xfId="0" quotePrefix="1" applyAlignment="1">
      <alignment horizontal="left" wrapText="1"/>
    </xf>
    <xf numFmtId="0" fontId="35" fillId="0" borderId="0" xfId="0" applyFont="1" applyFill="1" applyAlignment="1">
      <alignment horizontal="left" vertical="center" wrapText="1"/>
    </xf>
    <xf numFmtId="0" fontId="8" fillId="0" borderId="0" xfId="0" applyFont="1" applyFill="1" applyBorder="1" applyAlignment="1">
      <alignment horizontal="left" vertical="center" wrapText="1"/>
    </xf>
    <xf numFmtId="0" fontId="34" fillId="0" borderId="0" xfId="0" applyFont="1" applyFill="1" applyAlignment="1">
      <alignment horizontal="left" vertical="center" wrapText="1"/>
    </xf>
    <xf numFmtId="0" fontId="34" fillId="0" borderId="0" xfId="0" applyFont="1" applyFill="1" applyAlignment="1">
      <alignment horizontal="left" wrapText="1"/>
    </xf>
    <xf numFmtId="0" fontId="0" fillId="0" borderId="0" xfId="0" applyFont="1" applyAlignment="1">
      <alignment horizontal="left" wrapText="1"/>
    </xf>
    <xf numFmtId="0" fontId="9" fillId="0" borderId="22"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22" xfId="7" applyFont="1" applyFill="1" applyBorder="1" applyAlignment="1">
      <alignment horizontal="center" vertical="center" wrapText="1"/>
    </xf>
    <xf numFmtId="0" fontId="8" fillId="0" borderId="0" xfId="0" applyFont="1" applyFill="1" applyAlignment="1">
      <alignment horizontal="left" vertical="center"/>
    </xf>
    <xf numFmtId="0" fontId="9" fillId="0" borderId="10" xfId="7" applyFont="1" applyFill="1" applyBorder="1" applyAlignment="1">
      <alignment horizontal="center" vertical="center" wrapText="1"/>
    </xf>
    <xf numFmtId="0" fontId="9" fillId="0" borderId="17" xfId="7" applyFont="1" applyFill="1" applyBorder="1" applyAlignment="1">
      <alignment horizontal="center" vertical="center" wrapText="1"/>
    </xf>
    <xf numFmtId="0" fontId="8" fillId="2" borderId="0" xfId="0" applyFont="1" applyFill="1" applyAlignment="1">
      <alignment horizontal="left" vertical="top" wrapText="1"/>
    </xf>
    <xf numFmtId="0" fontId="8" fillId="2" borderId="0" xfId="8" applyFont="1" applyFill="1" applyAlignment="1">
      <alignment horizontal="left" vertical="top" wrapText="1"/>
    </xf>
    <xf numFmtId="0" fontId="34" fillId="2" borderId="0" xfId="0" applyFont="1" applyFill="1" applyAlignment="1">
      <alignment horizontal="left" vertical="top" wrapText="1"/>
    </xf>
    <xf numFmtId="0" fontId="34" fillId="2" borderId="0" xfId="0" applyFont="1" applyFill="1" applyAlignment="1">
      <alignment horizontal="left" vertical="center" wrapText="1"/>
    </xf>
    <xf numFmtId="0" fontId="0" fillId="0" borderId="0" xfId="0" applyFont="1" applyFill="1" applyAlignment="1">
      <alignment wrapText="1"/>
    </xf>
    <xf numFmtId="0" fontId="8" fillId="2" borderId="0" xfId="0" applyFont="1" applyFill="1" applyBorder="1" applyAlignment="1">
      <alignment horizontal="left" vertical="center"/>
    </xf>
    <xf numFmtId="0" fontId="9" fillId="2" borderId="22" xfId="0" applyFont="1" applyFill="1" applyBorder="1" applyAlignment="1">
      <alignment horizontal="center" wrapText="1"/>
    </xf>
    <xf numFmtId="0" fontId="9" fillId="0" borderId="22" xfId="0" applyFont="1" applyFill="1" applyBorder="1" applyAlignment="1">
      <alignment horizontal="center" wrapText="1"/>
    </xf>
    <xf numFmtId="0" fontId="0" fillId="2" borderId="0" xfId="0" applyFill="1" applyAlignment="1">
      <alignment horizontal="left" wrapText="1"/>
    </xf>
    <xf numFmtId="0" fontId="8" fillId="2" borderId="0" xfId="0" applyFont="1" applyFill="1" applyBorder="1" applyAlignment="1">
      <alignment horizontal="left" vertical="top" wrapText="1"/>
    </xf>
    <xf numFmtId="0" fontId="34" fillId="0" borderId="0" xfId="0" applyFont="1" applyFill="1" applyBorder="1" applyAlignment="1">
      <alignment horizontal="left" vertical="center" wrapText="1"/>
    </xf>
    <xf numFmtId="0" fontId="8" fillId="0" borderId="0" xfId="11" applyFont="1" applyFill="1" applyBorder="1" applyAlignment="1">
      <alignment horizontal="left" vertical="center" wrapText="1"/>
    </xf>
    <xf numFmtId="0" fontId="14" fillId="0" borderId="1" xfId="0" applyFont="1" applyFill="1" applyBorder="1" applyAlignment="1">
      <alignment horizontal="center"/>
    </xf>
    <xf numFmtId="0" fontId="9" fillId="2" borderId="21" xfId="12" applyFont="1" applyFill="1" applyBorder="1" applyAlignment="1">
      <alignment horizontal="center" wrapText="1"/>
    </xf>
    <xf numFmtId="0" fontId="9" fillId="2" borderId="20" xfId="12" applyFont="1" applyFill="1" applyBorder="1" applyAlignment="1">
      <alignment horizontal="center" wrapText="1"/>
    </xf>
    <xf numFmtId="0" fontId="9" fillId="0" borderId="21" xfId="12" applyFont="1" applyFill="1" applyBorder="1" applyAlignment="1">
      <alignment horizontal="center" wrapText="1"/>
    </xf>
    <xf numFmtId="0" fontId="9" fillId="0" borderId="20" xfId="12" applyFont="1" applyFill="1" applyBorder="1" applyAlignment="1">
      <alignment horizontal="center" wrapText="1"/>
    </xf>
    <xf numFmtId="0" fontId="9" fillId="0" borderId="21" xfId="0" applyFont="1" applyFill="1" applyBorder="1" applyAlignment="1">
      <alignment horizontal="center" wrapText="1"/>
    </xf>
    <xf numFmtId="0" fontId="9" fillId="0" borderId="20" xfId="0" applyFont="1" applyFill="1" applyBorder="1" applyAlignment="1">
      <alignment horizontal="center" wrapText="1"/>
    </xf>
    <xf numFmtId="0" fontId="0" fillId="0" borderId="0" xfId="0" applyFont="1" applyAlignment="1">
      <alignment horizontal="left" vertical="center" wrapText="1"/>
    </xf>
    <xf numFmtId="0" fontId="14" fillId="0" borderId="9" xfId="14" applyFont="1" applyFill="1" applyBorder="1" applyAlignment="1">
      <alignment horizontal="center"/>
    </xf>
    <xf numFmtId="0" fontId="8" fillId="0" borderId="0" xfId="0" applyFont="1" applyFill="1" applyAlignment="1">
      <alignment horizontal="left" vertical="top" wrapText="1"/>
    </xf>
    <xf numFmtId="0" fontId="9" fillId="2" borderId="0" xfId="0" applyFont="1" applyFill="1" applyBorder="1" applyAlignment="1">
      <alignment horizontal="right"/>
    </xf>
    <xf numFmtId="0" fontId="10" fillId="2" borderId="0" xfId="0" applyFont="1" applyFill="1" applyBorder="1" applyAlignment="1">
      <alignment horizontal="left" wrapText="1"/>
    </xf>
    <xf numFmtId="0" fontId="0" fillId="0" borderId="1" xfId="0" applyBorder="1" applyAlignment="1">
      <alignment horizontal="center" vertical="center" wrapText="1"/>
    </xf>
    <xf numFmtId="0" fontId="0" fillId="0" borderId="1" xfId="0" applyBorder="1" applyAlignment="1">
      <alignment horizontal="center" wrapText="1"/>
    </xf>
    <xf numFmtId="0" fontId="22" fillId="0" borderId="1" xfId="0" applyFont="1" applyFill="1" applyBorder="1" applyAlignment="1">
      <alignment horizontal="right" wrapText="1"/>
    </xf>
    <xf numFmtId="0" fontId="34" fillId="2" borderId="0" xfId="0" quotePrefix="1" applyFont="1" applyFill="1" applyAlignment="1">
      <alignment horizontal="left" vertical="top" wrapText="1"/>
    </xf>
    <xf numFmtId="0" fontId="16" fillId="0" borderId="0" xfId="18" applyFont="1" applyFill="1" applyAlignment="1">
      <alignment horizontal="left" vertical="top" wrapText="1"/>
    </xf>
    <xf numFmtId="0" fontId="9" fillId="0" borderId="1" xfId="0" applyFont="1" applyFill="1" applyBorder="1" applyAlignment="1">
      <alignment horizontal="center" wrapText="1"/>
    </xf>
    <xf numFmtId="0" fontId="9" fillId="0" borderId="1" xfId="4" applyFont="1" applyFill="1" applyBorder="1" applyAlignment="1">
      <alignment horizontal="right"/>
    </xf>
    <xf numFmtId="0" fontId="9" fillId="0" borderId="1" xfId="0" applyFont="1" applyFill="1" applyBorder="1" applyAlignment="1">
      <alignment horizontal="center"/>
    </xf>
    <xf numFmtId="0" fontId="9" fillId="0" borderId="12" xfId="0" applyFont="1" applyFill="1" applyBorder="1" applyAlignment="1">
      <alignment horizontal="center"/>
    </xf>
    <xf numFmtId="0" fontId="9" fillId="0" borderId="1" xfId="4" applyFont="1" applyFill="1" applyBorder="1" applyAlignment="1">
      <alignment horizontal="center"/>
    </xf>
    <xf numFmtId="14" fontId="0" fillId="0" borderId="0" xfId="0" applyNumberFormat="1" applyAlignment="1">
      <alignment horizontal="left"/>
    </xf>
    <xf numFmtId="0" fontId="0" fillId="0" borderId="0" xfId="0" applyAlignment="1">
      <alignment horizontal="left"/>
    </xf>
  </cellXfs>
  <cellStyles count="23">
    <cellStyle name="Comma" xfId="1" builtinId="3"/>
    <cellStyle name="Comma 2" xfId="21"/>
    <cellStyle name="Comma 2 3" xfId="17"/>
    <cellStyle name="Heading 1 2" xfId="11"/>
    <cellStyle name="Heading 2 2" xfId="14"/>
    <cellStyle name="Hyperlink" xfId="3" builtinId="8"/>
    <cellStyle name="Normal" xfId="0" builtinId="0"/>
    <cellStyle name="Normal 16" xfId="18"/>
    <cellStyle name="Normal 2" xfId="20"/>
    <cellStyle name="Normal 2 2 3" xfId="4"/>
    <cellStyle name="Normal 3 2" xfId="16"/>
    <cellStyle name="Normal 4" xfId="6"/>
    <cellStyle name="Normal_Attacks Scotland" xfId="13"/>
    <cellStyle name="Normal_Ethnicity" xfId="10"/>
    <cellStyle name="Normal_new attacks" xfId="12"/>
    <cellStyle name="Normal_Sheet1" xfId="5"/>
    <cellStyle name="Normal_Sheet2" xfId="7"/>
    <cellStyle name="Normal_Sheet7" xfId="19"/>
    <cellStyle name="Normal_Table 2a" xfId="9"/>
    <cellStyle name="Percent" xfId="2" builtinId="5"/>
    <cellStyle name="Percent 2" xfId="15"/>
    <cellStyle name="Percent 3" xfId="22"/>
    <cellStyle name="Title 2" xfId="8"/>
  </cellStyles>
  <dxfs count="48">
    <dxf>
      <numFmt numFmtId="0" formatCode="General"/>
    </dxf>
    <dxf>
      <fill>
        <patternFill patternType="solid">
          <bgColor theme="7" tint="-0.249977111117893"/>
        </patternFill>
      </fill>
    </dxf>
    <dxf>
      <fill>
        <patternFill patternType="solid">
          <bgColor theme="7" tint="-0.249977111117893"/>
        </patternFill>
      </fill>
    </dxf>
    <dxf>
      <fill>
        <patternFill patternType="solid">
          <bgColor theme="7" tint="-0.249977111117893"/>
        </patternFill>
      </fill>
    </dxf>
    <dxf>
      <fill>
        <patternFill patternType="solid">
          <bgColor theme="7" tint="-0.249977111117893"/>
        </patternFill>
      </fill>
    </dxf>
    <dxf>
      <fill>
        <patternFill patternType="solid">
          <bgColor theme="7" tint="-0.249977111117893"/>
        </patternFill>
      </fill>
    </dxf>
    <dxf>
      <fill>
        <patternFill patternType="solid">
          <bgColor theme="7" tint="-0.249977111117893"/>
        </patternFill>
      </fill>
    </dxf>
    <dxf>
      <fill>
        <patternFill patternType="solid">
          <bgColor theme="7" tint="-0.249977111117893"/>
        </patternFill>
      </fill>
    </dxf>
    <dxf>
      <fill>
        <patternFill patternType="solid">
          <bgColor theme="7" tint="-0.249977111117893"/>
        </patternFill>
      </fill>
    </dxf>
    <dxf>
      <fill>
        <patternFill patternType="solid">
          <bgColor theme="7" tint="-0.249977111117893"/>
        </patternFill>
      </fill>
    </dxf>
    <dxf>
      <fill>
        <patternFill patternType="solid">
          <bgColor theme="7" tint="-0.249977111117893"/>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s>
  <tableStyles count="0" defaultTableStyle="TableStyleMedium2" defaultPivotStyle="PivotStyleLight16"/>
  <colors>
    <mruColors>
      <color rgb="FF86C45C"/>
      <color rgb="FFD06800"/>
      <color rgb="FFEE9F00"/>
      <color rgb="FF74B943"/>
      <color rgb="FF81C1B0"/>
      <color rgb="FF4E7AB0"/>
      <color rgb="FF8486B4"/>
      <color rgb="FF99252E"/>
      <color rgb="FFFFAFF0"/>
      <color rgb="FFCF9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microsoft.com/office/2007/relationships/slicerCache" Target="slicerCaches/slicerCache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pivotCacheDefinition" Target="pivotCache/pivotCacheDefinition7.xml"/><Relationship Id="rId216" Type="http://schemas.openxmlformats.org/officeDocument/2006/relationships/pivotCacheDefinition" Target="pivotCache/pivotCacheDefinition42.xml"/><Relationship Id="rId237" Type="http://schemas.microsoft.com/office/2007/relationships/slicerCache" Target="slicerCaches/slicerCache18.xml"/><Relationship Id="rId258" Type="http://schemas.microsoft.com/office/2007/relationships/slicerCache" Target="slicerCaches/slicerCache3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pivotCacheDefinition" Target="pivotCache/pivotCacheDefinition18.xml"/><Relationship Id="rId206" Type="http://schemas.openxmlformats.org/officeDocument/2006/relationships/pivotCacheDefinition" Target="pivotCache/pivotCacheDefinition32.xml"/><Relationship Id="rId227" Type="http://schemas.microsoft.com/office/2007/relationships/slicerCache" Target="slicerCaches/slicerCache8.xml"/><Relationship Id="rId248" Type="http://schemas.microsoft.com/office/2007/relationships/slicerCache" Target="slicerCaches/slicerCache2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pivotCacheDefinition" Target="pivotCache/pivotCacheDefinition8.xml"/><Relationship Id="rId217" Type="http://schemas.openxmlformats.org/officeDocument/2006/relationships/pivotCacheDefinition" Target="pivotCache/pivotCacheDefinition43.xml"/><Relationship Id="rId6" Type="http://schemas.openxmlformats.org/officeDocument/2006/relationships/worksheet" Target="worksheets/sheet6.xml"/><Relationship Id="rId238" Type="http://schemas.microsoft.com/office/2007/relationships/slicerCache" Target="slicerCaches/slicerCache19.xml"/><Relationship Id="rId259"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pivotCacheDefinition" Target="pivotCache/pivotCacheDefinition19.xml"/><Relationship Id="rId207" Type="http://schemas.openxmlformats.org/officeDocument/2006/relationships/pivotCacheDefinition" Target="pivotCache/pivotCacheDefinition33.xml"/><Relationship Id="rId228" Type="http://schemas.microsoft.com/office/2007/relationships/slicerCache" Target="slicerCaches/slicerCache9.xml"/><Relationship Id="rId249" Type="http://schemas.microsoft.com/office/2007/relationships/slicerCache" Target="slicerCaches/slicerCache30.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styles" Target="style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pivotCacheDefinition" Target="pivotCache/pivotCacheDefinition9.xml"/><Relationship Id="rId218" Type="http://schemas.openxmlformats.org/officeDocument/2006/relationships/pivotCacheDefinition" Target="pivotCache/pivotCacheDefinition44.xml"/><Relationship Id="rId239" Type="http://schemas.microsoft.com/office/2007/relationships/slicerCache" Target="slicerCaches/slicerCache20.xml"/><Relationship Id="rId250" Type="http://schemas.microsoft.com/office/2007/relationships/slicerCache" Target="slicerCaches/slicerCache3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externalLink" Target="externalLinks/externalLink1.xml"/><Relationship Id="rId194" Type="http://schemas.openxmlformats.org/officeDocument/2006/relationships/pivotCacheDefinition" Target="pivotCache/pivotCacheDefinition20.xml"/><Relationship Id="rId208" Type="http://schemas.openxmlformats.org/officeDocument/2006/relationships/pivotCacheDefinition" Target="pivotCache/pivotCacheDefinition34.xml"/><Relationship Id="rId229" Type="http://schemas.microsoft.com/office/2007/relationships/slicerCache" Target="slicerCaches/slicerCache10.xml"/><Relationship Id="rId240" Type="http://schemas.microsoft.com/office/2007/relationships/slicerCache" Target="slicerCaches/slicerCache21.xml"/><Relationship Id="rId261"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pivotCacheDefinition" Target="pivotCache/pivotCacheDefinition10.xml"/><Relationship Id="rId219" Type="http://schemas.openxmlformats.org/officeDocument/2006/relationships/pivotCacheDefinition" Target="pivotCache/pivotCacheDefinition45.xml"/><Relationship Id="rId230" Type="http://schemas.microsoft.com/office/2007/relationships/slicerCache" Target="slicerCaches/slicerCache11.xml"/><Relationship Id="rId251" Type="http://schemas.microsoft.com/office/2007/relationships/slicerCache" Target="slicerCaches/slicerCache3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2.xml"/><Relationship Id="rId195" Type="http://schemas.openxmlformats.org/officeDocument/2006/relationships/pivotCacheDefinition" Target="pivotCache/pivotCacheDefinition21.xml"/><Relationship Id="rId209" Type="http://schemas.openxmlformats.org/officeDocument/2006/relationships/pivotCacheDefinition" Target="pivotCache/pivotCacheDefinition35.xml"/><Relationship Id="rId220" Type="http://schemas.microsoft.com/office/2007/relationships/slicerCache" Target="slicerCaches/slicerCache1.xml"/><Relationship Id="rId241" Type="http://schemas.microsoft.com/office/2007/relationships/slicerCache" Target="slicerCaches/slicerCache2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calcChain" Target="calcChain.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pivotCacheDefinition" Target="pivotCache/pivotCacheDefinition11.xml"/><Relationship Id="rId9" Type="http://schemas.openxmlformats.org/officeDocument/2006/relationships/worksheet" Target="worksheets/sheet9.xml"/><Relationship Id="rId210" Type="http://schemas.openxmlformats.org/officeDocument/2006/relationships/pivotCacheDefinition" Target="pivotCache/pivotCacheDefinition36.xml"/><Relationship Id="rId26" Type="http://schemas.openxmlformats.org/officeDocument/2006/relationships/worksheet" Target="worksheets/sheet26.xml"/><Relationship Id="rId231" Type="http://schemas.microsoft.com/office/2007/relationships/slicerCache" Target="slicerCaches/slicerCache12.xml"/><Relationship Id="rId252" Type="http://schemas.microsoft.com/office/2007/relationships/slicerCache" Target="slicerCaches/slicerCache3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pivotCacheDefinition" Target="pivotCache/pivotCacheDefinition1.xml"/><Relationship Id="rId196" Type="http://schemas.openxmlformats.org/officeDocument/2006/relationships/pivotCacheDefinition" Target="pivotCache/pivotCacheDefinition22.xml"/><Relationship Id="rId200" Type="http://schemas.openxmlformats.org/officeDocument/2006/relationships/pivotCacheDefinition" Target="pivotCache/pivotCacheDefinition26.xml"/><Relationship Id="rId16" Type="http://schemas.openxmlformats.org/officeDocument/2006/relationships/worksheet" Target="worksheets/sheet16.xml"/><Relationship Id="rId221" Type="http://schemas.microsoft.com/office/2007/relationships/slicerCache" Target="slicerCaches/slicerCache2.xml"/><Relationship Id="rId242" Type="http://schemas.microsoft.com/office/2007/relationships/slicerCache" Target="slicerCaches/slicerCache23.xml"/><Relationship Id="rId263" Type="http://schemas.openxmlformats.org/officeDocument/2006/relationships/customXml" Target="../customXml/item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pivotCacheDefinition" Target="pivotCache/pivotCacheDefinition12.xml"/><Relationship Id="rId211" Type="http://schemas.openxmlformats.org/officeDocument/2006/relationships/pivotCacheDefinition" Target="pivotCache/pivotCacheDefinition37.xml"/><Relationship Id="rId232" Type="http://schemas.microsoft.com/office/2007/relationships/slicerCache" Target="slicerCaches/slicerCache13.xml"/><Relationship Id="rId253" Type="http://schemas.microsoft.com/office/2007/relationships/slicerCache" Target="slicerCaches/slicerCache3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pivotCacheDefinition" Target="pivotCache/pivotCacheDefinition2.xml"/><Relationship Id="rId197" Type="http://schemas.openxmlformats.org/officeDocument/2006/relationships/pivotCacheDefinition" Target="pivotCache/pivotCacheDefinition23.xml"/><Relationship Id="rId201" Type="http://schemas.openxmlformats.org/officeDocument/2006/relationships/pivotCacheDefinition" Target="pivotCache/pivotCacheDefinition27.xml"/><Relationship Id="rId222" Type="http://schemas.microsoft.com/office/2007/relationships/slicerCache" Target="slicerCaches/slicerCache3.xml"/><Relationship Id="rId243" Type="http://schemas.microsoft.com/office/2007/relationships/slicerCache" Target="slicerCaches/slicerCache24.xml"/><Relationship Id="rId264"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pivotCacheDefinition" Target="pivotCache/pivotCacheDefinition13.xml"/><Relationship Id="rId1" Type="http://schemas.openxmlformats.org/officeDocument/2006/relationships/worksheet" Target="worksheets/sheet1.xml"/><Relationship Id="rId212" Type="http://schemas.openxmlformats.org/officeDocument/2006/relationships/pivotCacheDefinition" Target="pivotCache/pivotCacheDefinition38.xml"/><Relationship Id="rId233" Type="http://schemas.microsoft.com/office/2007/relationships/slicerCache" Target="slicerCaches/slicerCache14.xml"/><Relationship Id="rId254" Type="http://schemas.microsoft.com/office/2007/relationships/slicerCache" Target="slicerCaches/slicerCache35.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pivotCacheDefinition" Target="pivotCache/pivotCacheDefinition3.xml"/><Relationship Id="rId198" Type="http://schemas.openxmlformats.org/officeDocument/2006/relationships/pivotCacheDefinition" Target="pivotCache/pivotCacheDefinition24.xml"/><Relationship Id="rId202" Type="http://schemas.openxmlformats.org/officeDocument/2006/relationships/pivotCacheDefinition" Target="pivotCache/pivotCacheDefinition28.xml"/><Relationship Id="rId223" Type="http://schemas.microsoft.com/office/2007/relationships/slicerCache" Target="slicerCaches/slicerCache4.xml"/><Relationship Id="rId244" Type="http://schemas.microsoft.com/office/2007/relationships/slicerCache" Target="slicerCaches/slicerCache25.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customXml" Target="../customXml/item3.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pivotCacheDefinition" Target="pivotCache/pivotCacheDefinition1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pivotCacheDefinition" Target="pivotCache/pivotCacheDefinition39.xml"/><Relationship Id="rId234" Type="http://schemas.microsoft.com/office/2007/relationships/slicerCache" Target="slicerCaches/slicerCache15.xml"/><Relationship Id="rId2" Type="http://schemas.openxmlformats.org/officeDocument/2006/relationships/worksheet" Target="worksheets/sheet2.xml"/><Relationship Id="rId29" Type="http://schemas.openxmlformats.org/officeDocument/2006/relationships/worksheet" Target="worksheets/sheet29.xml"/><Relationship Id="rId255" Type="http://schemas.microsoft.com/office/2007/relationships/slicerCache" Target="slicerCaches/slicerCache3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pivotCacheDefinition" Target="pivotCache/pivotCacheDefinition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pivotCacheDefinition" Target="pivotCache/pivotCacheDefinition25.xml"/><Relationship Id="rId203" Type="http://schemas.openxmlformats.org/officeDocument/2006/relationships/pivotCacheDefinition" Target="pivotCache/pivotCacheDefinition29.xml"/><Relationship Id="rId19" Type="http://schemas.openxmlformats.org/officeDocument/2006/relationships/worksheet" Target="worksheets/sheet19.xml"/><Relationship Id="rId224" Type="http://schemas.microsoft.com/office/2007/relationships/slicerCache" Target="slicerCaches/slicerCache5.xml"/><Relationship Id="rId245" Type="http://schemas.microsoft.com/office/2007/relationships/slicerCache" Target="slicerCaches/slicerCache26.xml"/><Relationship Id="rId266" Type="http://schemas.openxmlformats.org/officeDocument/2006/relationships/customXml" Target="../customXml/item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pivotCacheDefinition" Target="pivotCache/pivotCacheDefinition15.xml"/><Relationship Id="rId3" Type="http://schemas.openxmlformats.org/officeDocument/2006/relationships/worksheet" Target="worksheets/sheet3.xml"/><Relationship Id="rId214" Type="http://schemas.openxmlformats.org/officeDocument/2006/relationships/pivotCacheDefinition" Target="pivotCache/pivotCacheDefinition40.xml"/><Relationship Id="rId235" Type="http://schemas.microsoft.com/office/2007/relationships/slicerCache" Target="slicerCaches/slicerCache16.xml"/><Relationship Id="rId256" Type="http://schemas.microsoft.com/office/2007/relationships/slicerCache" Target="slicerCaches/slicerCache3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pivotCacheDefinition" Target="pivotCache/pivotCacheDefinition5.xml"/><Relationship Id="rId190" Type="http://schemas.openxmlformats.org/officeDocument/2006/relationships/pivotCacheDefinition" Target="pivotCache/pivotCacheDefinition16.xml"/><Relationship Id="rId204" Type="http://schemas.openxmlformats.org/officeDocument/2006/relationships/pivotCacheDefinition" Target="pivotCache/pivotCacheDefinition30.xml"/><Relationship Id="rId225" Type="http://schemas.microsoft.com/office/2007/relationships/slicerCache" Target="slicerCaches/slicerCache6.xml"/><Relationship Id="rId246" Type="http://schemas.microsoft.com/office/2007/relationships/slicerCache" Target="slicerCaches/slicerCache2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pivotCacheDefinition" Target="pivotCache/pivotCacheDefinition6.xml"/><Relationship Id="rId215" Type="http://schemas.openxmlformats.org/officeDocument/2006/relationships/pivotCacheDefinition" Target="pivotCache/pivotCacheDefinition41.xml"/><Relationship Id="rId236" Type="http://schemas.microsoft.com/office/2007/relationships/slicerCache" Target="slicerCaches/slicerCache17.xml"/><Relationship Id="rId257" Type="http://schemas.microsoft.com/office/2007/relationships/slicerCache" Target="slicerCaches/slicerCache3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pivotCacheDefinition" Target="pivotCache/pivotCacheDefinition17.xml"/><Relationship Id="rId205" Type="http://schemas.openxmlformats.org/officeDocument/2006/relationships/pivotCacheDefinition" Target="pivotCache/pivotCacheDefinition31.xml"/><Relationship Id="rId247" Type="http://schemas.microsoft.com/office/2007/relationships/slicerCache" Target="slicerCaches/slicerCache2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0"/>
          <c:spPr>
            <a:ln>
              <a:noFill/>
            </a:ln>
          </c:spPr>
          <c:dPt>
            <c:idx val="0"/>
            <c:bubble3D val="0"/>
            <c:spPr>
              <a:solidFill>
                <a:srgbClr val="99252E"/>
              </a:solidFill>
              <a:ln w="19050">
                <a:noFill/>
              </a:ln>
              <a:effectLst/>
            </c:spPr>
            <c:extLst>
              <c:ext xmlns:c16="http://schemas.microsoft.com/office/drawing/2014/chart" uri="{C3380CC4-5D6E-409C-BE32-E72D297353CC}">
                <c16:uniqueId val="{00000001-DDDC-438F-A318-2E500B89A386}"/>
              </c:ext>
            </c:extLst>
          </c:dPt>
          <c:dPt>
            <c:idx val="1"/>
            <c:bubble3D val="0"/>
            <c:spPr>
              <a:solidFill>
                <a:srgbClr val="4E7AB0"/>
              </a:solidFill>
              <a:ln w="19050">
                <a:noFill/>
              </a:ln>
              <a:effectLst/>
            </c:spPr>
            <c:extLst>
              <c:ext xmlns:c16="http://schemas.microsoft.com/office/drawing/2014/chart" uri="{C3380CC4-5D6E-409C-BE32-E72D297353CC}">
                <c16:uniqueId val="{00000003-DDDC-438F-A318-2E500B89A386}"/>
              </c:ext>
            </c:extLst>
          </c:dPt>
          <c:dPt>
            <c:idx val="2"/>
            <c:bubble3D val="0"/>
            <c:spPr>
              <a:solidFill>
                <a:srgbClr val="8486B4"/>
              </a:solidFill>
              <a:ln w="19050">
                <a:noFill/>
              </a:ln>
              <a:effectLst/>
            </c:spPr>
            <c:extLst>
              <c:ext xmlns:c16="http://schemas.microsoft.com/office/drawing/2014/chart" uri="{C3380CC4-5D6E-409C-BE32-E72D297353CC}">
                <c16:uniqueId val="{00000005-DDDC-438F-A318-2E500B89A386}"/>
              </c:ext>
            </c:extLst>
          </c:dPt>
          <c:dPt>
            <c:idx val="3"/>
            <c:bubble3D val="0"/>
            <c:spPr>
              <a:solidFill>
                <a:schemeClr val="accent4"/>
              </a:solidFill>
              <a:ln w="19050">
                <a:noFill/>
              </a:ln>
              <a:effectLst/>
            </c:spPr>
            <c:extLst>
              <c:ext xmlns:c16="http://schemas.microsoft.com/office/drawing/2014/chart" uri="{C3380CC4-5D6E-409C-BE32-E72D297353CC}">
                <c16:uniqueId val="{00000007-DDDC-438F-A318-2E500B89A386}"/>
              </c:ext>
            </c:extLst>
          </c:dPt>
          <c:dPt>
            <c:idx val="4"/>
            <c:bubble3D val="0"/>
            <c:spPr>
              <a:solidFill>
                <a:schemeClr val="accent5"/>
              </a:solidFill>
              <a:ln w="19050">
                <a:noFill/>
              </a:ln>
              <a:effectLst/>
            </c:spPr>
            <c:extLst>
              <c:ext xmlns:c16="http://schemas.microsoft.com/office/drawing/2014/chart" uri="{C3380CC4-5D6E-409C-BE32-E72D297353CC}">
                <c16:uniqueId val="{00000009-DDDC-438F-A318-2E500B89A386}"/>
              </c:ext>
            </c:extLst>
          </c:dPt>
          <c:cat>
            <c:strRef>
              <c:f>'Chart - Station Type'!$B$6:$B$10</c:f>
              <c:strCache>
                <c:ptCount val="5"/>
                <c:pt idx="0">
                  <c:v>Wholetime</c:v>
                </c:pt>
                <c:pt idx="1">
                  <c:v>Wholetime and Day</c:v>
                </c:pt>
                <c:pt idx="2">
                  <c:v>Wholetime and Retained</c:v>
                </c:pt>
                <c:pt idx="3">
                  <c:v>Retained</c:v>
                </c:pt>
                <c:pt idx="4">
                  <c:v>Volunteer</c:v>
                </c:pt>
              </c:strCache>
            </c:strRef>
          </c:cat>
          <c:val>
            <c:numRef>
              <c:f>'Chart - Station Type'!$F$6:$F$10</c:f>
              <c:numCache>
                <c:formatCode>General</c:formatCode>
                <c:ptCount val="5"/>
                <c:pt idx="0">
                  <c:v>74</c:v>
                </c:pt>
                <c:pt idx="1">
                  <c:v>240</c:v>
                </c:pt>
                <c:pt idx="2">
                  <c:v>42</c:v>
                </c:pt>
              </c:numCache>
            </c:numRef>
          </c:val>
          <c:extLst>
            <c:ext xmlns:c16="http://schemas.microsoft.com/office/drawing/2014/chart" uri="{C3380CC4-5D6E-409C-BE32-E72D297353CC}">
              <c16:uniqueId val="{0000000A-DDDC-438F-A318-2E500B89A386}"/>
            </c:ext>
          </c:extLst>
        </c:ser>
        <c:ser>
          <c:idx val="0"/>
          <c:order val="1"/>
          <c:spPr>
            <a:ln>
              <a:noFill/>
            </a:ln>
          </c:spPr>
          <c:dPt>
            <c:idx val="0"/>
            <c:bubble3D val="0"/>
            <c:spPr>
              <a:solidFill>
                <a:srgbClr val="99252E"/>
              </a:solidFill>
              <a:ln w="19050">
                <a:noFill/>
              </a:ln>
              <a:effectLst/>
            </c:spPr>
            <c:extLst>
              <c:ext xmlns:c16="http://schemas.microsoft.com/office/drawing/2014/chart" uri="{C3380CC4-5D6E-409C-BE32-E72D297353CC}">
                <c16:uniqueId val="{0000000C-DDDC-438F-A318-2E500B89A386}"/>
              </c:ext>
            </c:extLst>
          </c:dPt>
          <c:dPt>
            <c:idx val="1"/>
            <c:bubble3D val="0"/>
            <c:spPr>
              <a:solidFill>
                <a:srgbClr val="FFFF00"/>
              </a:solidFill>
              <a:ln w="19050">
                <a:noFill/>
              </a:ln>
              <a:effectLst/>
            </c:spPr>
            <c:extLst>
              <c:ext xmlns:c16="http://schemas.microsoft.com/office/drawing/2014/chart" uri="{C3380CC4-5D6E-409C-BE32-E72D297353CC}">
                <c16:uniqueId val="{0000000E-DDDC-438F-A318-2E500B89A386}"/>
              </c:ext>
            </c:extLst>
          </c:dPt>
          <c:dPt>
            <c:idx val="2"/>
            <c:bubble3D val="0"/>
            <c:spPr>
              <a:solidFill>
                <a:srgbClr val="81C1B0"/>
              </a:solidFill>
              <a:ln w="19050">
                <a:noFill/>
              </a:ln>
              <a:effectLst/>
            </c:spPr>
            <c:extLst>
              <c:ext xmlns:c16="http://schemas.microsoft.com/office/drawing/2014/chart" uri="{C3380CC4-5D6E-409C-BE32-E72D297353CC}">
                <c16:uniqueId val="{00000010-DDDC-438F-A318-2E500B89A386}"/>
              </c:ext>
            </c:extLst>
          </c:dPt>
          <c:dPt>
            <c:idx val="3"/>
            <c:bubble3D val="0"/>
            <c:spPr>
              <a:noFill/>
              <a:ln w="19050">
                <a:noFill/>
              </a:ln>
              <a:effectLst/>
            </c:spPr>
            <c:extLst>
              <c:ext xmlns:c16="http://schemas.microsoft.com/office/drawing/2014/chart" uri="{C3380CC4-5D6E-409C-BE32-E72D297353CC}">
                <c16:uniqueId val="{00000012-DDDC-438F-A318-2E500B89A386}"/>
              </c:ext>
            </c:extLst>
          </c:dPt>
          <c:dPt>
            <c:idx val="4"/>
            <c:bubble3D val="0"/>
            <c:spPr>
              <a:noFill/>
              <a:ln w="19050">
                <a:noFill/>
              </a:ln>
              <a:effectLst/>
            </c:spPr>
            <c:extLst>
              <c:ext xmlns:c16="http://schemas.microsoft.com/office/drawing/2014/chart" uri="{C3380CC4-5D6E-409C-BE32-E72D297353CC}">
                <c16:uniqueId val="{00000014-DDDC-438F-A318-2E500B89A386}"/>
              </c:ext>
            </c:extLst>
          </c:dPt>
          <c:dLbls>
            <c:dLbl>
              <c:idx val="0"/>
              <c:layout>
                <c:manualLayout>
                  <c:x val="0.11258278145695372"/>
                  <c:y val="-7.11974110032362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DDC-438F-A318-2E500B89A386}"/>
                </c:ext>
              </c:extLst>
            </c:dLbl>
            <c:dLbl>
              <c:idx val="1"/>
              <c:layout>
                <c:manualLayout>
                  <c:x val="0.14348785871964681"/>
                  <c:y val="-4.53074433656958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DDC-438F-A318-2E500B89A386}"/>
                </c:ext>
              </c:extLst>
            </c:dLbl>
            <c:dLbl>
              <c:idx val="2"/>
              <c:layout>
                <c:manualLayout>
                  <c:x val="0.141280353200883"/>
                  <c:y val="6.47249190938511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DDC-438F-A318-2E500B89A3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'Chart - Station Type'!$B$6:$B$10</c:f>
              <c:strCache>
                <c:ptCount val="5"/>
                <c:pt idx="0">
                  <c:v>Wholetime</c:v>
                </c:pt>
                <c:pt idx="1">
                  <c:v>Wholetime and Day</c:v>
                </c:pt>
                <c:pt idx="2">
                  <c:v>Wholetime and Retained</c:v>
                </c:pt>
                <c:pt idx="3">
                  <c:v>Retained</c:v>
                </c:pt>
                <c:pt idx="4">
                  <c:v>Volunteer</c:v>
                </c:pt>
              </c:strCache>
            </c:strRef>
          </c:cat>
          <c:val>
            <c:numRef>
              <c:f>'Chart - Station Type'!$C$6:$C$10</c:f>
              <c:numCache>
                <c:formatCode>General</c:formatCode>
                <c:ptCount val="5"/>
                <c:pt idx="0">
                  <c:v>50</c:v>
                </c:pt>
                <c:pt idx="1">
                  <c:v>1</c:v>
                </c:pt>
                <c:pt idx="2">
                  <c:v>23</c:v>
                </c:pt>
                <c:pt idx="3">
                  <c:v>240</c:v>
                </c:pt>
                <c:pt idx="4">
                  <c:v>43</c:v>
                </c:pt>
              </c:numCache>
            </c:numRef>
          </c:val>
          <c:extLst>
            <c:ext xmlns:c16="http://schemas.microsoft.com/office/drawing/2014/chart" uri="{C3380CC4-5D6E-409C-BE32-E72D297353CC}">
              <c16:uniqueId val="{00000015-DDDC-438F-A318-2E500B89A38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'T10'!$D$4</c:f>
              <c:strCache>
                <c:ptCount val="1"/>
                <c:pt idx="0">
                  <c:v>WT</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'T10'!$D$21:$D$29</c:f>
              <c:numCache>
                <c:formatCode>General</c:formatCode>
                <c:ptCount val="9"/>
                <c:pt idx="0">
                  <c:v>1</c:v>
                </c:pt>
                <c:pt idx="1">
                  <c:v>0</c:v>
                </c:pt>
                <c:pt idx="2">
                  <c:v>0</c:v>
                </c:pt>
                <c:pt idx="3">
                  <c:v>0</c:v>
                </c:pt>
                <c:pt idx="4">
                  <c:v>38</c:v>
                </c:pt>
                <c:pt idx="5">
                  <c:v>145</c:v>
                </c:pt>
                <c:pt idx="6">
                  <c:v>438</c:v>
                </c:pt>
                <c:pt idx="7">
                  <c:v>667</c:v>
                </c:pt>
                <c:pt idx="8">
                  <c:v>752</c:v>
                </c:pt>
              </c:numCache>
            </c:numRef>
          </c:val>
          <c:extLst>
            <c:ext xmlns:c15="http://schemas.microsoft.com/office/drawing/2012/chart" uri="{02D57815-91ED-43cb-92C2-25804820EDAC}">
              <c15:filteredCategoryTitle>
                <c15:cat>
                  <c:strRef>
                    <c:extLst>
                      <c:ext uri="{02D57815-91ED-43cb-92C2-25804820EDAC}">
                        <c15:formulaRef>
                          <c15:sqref>T23c!$A$4:$A$12</c15:sqref>
                        </c15:formulaRef>
                      </c:ext>
                    </c:extLst>
                    <c:strCache>
                      <c:ptCount val="9"/>
                      <c:pt idx="0">
                        <c:v>FisYr</c:v>
                      </c:pt>
                      <c:pt idx="1">
                        <c:v>2014-15</c:v>
                      </c:pt>
                      <c:pt idx="2">
                        <c:v>2014-15</c:v>
                      </c:pt>
                      <c:pt idx="3">
                        <c:v>2014-15</c:v>
                      </c:pt>
                      <c:pt idx="4">
                        <c:v>2014-15</c:v>
                      </c:pt>
                      <c:pt idx="5">
                        <c:v>2014-15</c:v>
                      </c:pt>
                      <c:pt idx="6">
                        <c:v>2014-15</c:v>
                      </c:pt>
                      <c:pt idx="7">
                        <c:v>2014-15</c:v>
                      </c:pt>
                      <c:pt idx="8">
                        <c:v>2014-15</c:v>
                      </c:pt>
                    </c:strCache>
                  </c:strRef>
                </c15:cat>
              </c15:filteredCategoryTitle>
            </c:ext>
            <c:ext xmlns:c16="http://schemas.microsoft.com/office/drawing/2014/chart" uri="{C3380CC4-5D6E-409C-BE32-E72D297353CC}">
              <c16:uniqueId val="{00000000-2ABC-4D39-97B7-1354C45C4C24}"/>
            </c:ext>
          </c:extLst>
        </c:ser>
        <c:dLbls>
          <c:showLegendKey val="0"/>
          <c:showVal val="0"/>
          <c:showCatName val="0"/>
          <c:showSerName val="0"/>
          <c:showPercent val="0"/>
          <c:showBubbleSize val="0"/>
        </c:dLbls>
        <c:gapWidth val="25"/>
        <c:axId val="194914600"/>
        <c:axId val="391544656"/>
      </c:barChart>
      <c:catAx>
        <c:axId val="194914600"/>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391544656"/>
        <c:crosses val="autoZero"/>
        <c:auto val="1"/>
        <c:lblAlgn val="ctr"/>
        <c:lblOffset val="100"/>
        <c:noMultiLvlLbl val="0"/>
      </c:catAx>
      <c:valAx>
        <c:axId val="391544656"/>
        <c:scaling>
          <c:orientation val="minMax"/>
          <c:min val="0"/>
        </c:scaling>
        <c:delete val="1"/>
        <c:axPos val="l"/>
        <c:numFmt formatCode="General" sourceLinked="1"/>
        <c:majorTickMark val="out"/>
        <c:minorTickMark val="none"/>
        <c:tickLblPos val="nextTo"/>
        <c:crossAx val="1949146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'T10'!$G$4</c:f>
              <c:strCache>
                <c:ptCount val="1"/>
                <c:pt idx="0">
                  <c:v>Support</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'T10'!$G$21:$G$29</c:f>
              <c:numCache>
                <c:formatCode>General</c:formatCode>
                <c:ptCount val="9"/>
                <c:pt idx="0">
                  <c:v>93</c:v>
                </c:pt>
                <c:pt idx="1">
                  <c:v>17</c:v>
                </c:pt>
                <c:pt idx="2">
                  <c:v>6</c:v>
                </c:pt>
                <c:pt idx="3">
                  <c:v>0</c:v>
                </c:pt>
                <c:pt idx="4">
                  <c:v>20</c:v>
                </c:pt>
                <c:pt idx="5">
                  <c:v>45</c:v>
                </c:pt>
                <c:pt idx="6">
                  <c:v>64</c:v>
                </c:pt>
                <c:pt idx="7">
                  <c:v>73</c:v>
                </c:pt>
                <c:pt idx="8">
                  <c:v>102</c:v>
                </c:pt>
              </c:numCache>
            </c:numRef>
          </c:val>
          <c:extLst>
            <c:ext xmlns:c15="http://schemas.microsoft.com/office/drawing/2012/chart" uri="{02D57815-91ED-43cb-92C2-25804820EDAC}">
              <c15:filteredCategoryTitle>
                <c15:cat>
                  <c:strRef>
                    <c:extLst>
                      <c:ext uri="{02D57815-91ED-43cb-92C2-25804820EDAC}">
                        <c15:formulaRef>
                          <c15:sqref>T23c!$A$4:$A$12</c15:sqref>
                        </c15:formulaRef>
                      </c:ext>
                    </c:extLst>
                    <c:strCache>
                      <c:ptCount val="9"/>
                      <c:pt idx="0">
                        <c:v>FisYr</c:v>
                      </c:pt>
                      <c:pt idx="1">
                        <c:v>2014-15</c:v>
                      </c:pt>
                      <c:pt idx="2">
                        <c:v>2014-15</c:v>
                      </c:pt>
                      <c:pt idx="3">
                        <c:v>2014-15</c:v>
                      </c:pt>
                      <c:pt idx="4">
                        <c:v>2014-15</c:v>
                      </c:pt>
                      <c:pt idx="5">
                        <c:v>2014-15</c:v>
                      </c:pt>
                      <c:pt idx="6">
                        <c:v>2014-15</c:v>
                      </c:pt>
                      <c:pt idx="7">
                        <c:v>2014-15</c:v>
                      </c:pt>
                      <c:pt idx="8">
                        <c:v>2014-15</c:v>
                      </c:pt>
                    </c:strCache>
                  </c:strRef>
                </c15:cat>
              </c15:filteredCategoryTitle>
            </c:ext>
            <c:ext xmlns:c16="http://schemas.microsoft.com/office/drawing/2014/chart" uri="{C3380CC4-5D6E-409C-BE32-E72D297353CC}">
              <c16:uniqueId val="{00000000-C827-4BCC-A801-1AC8A291A7FB}"/>
            </c:ext>
          </c:extLst>
        </c:ser>
        <c:dLbls>
          <c:showLegendKey val="0"/>
          <c:showVal val="0"/>
          <c:showCatName val="0"/>
          <c:showSerName val="0"/>
          <c:showPercent val="0"/>
          <c:showBubbleSize val="0"/>
        </c:dLbls>
        <c:gapWidth val="25"/>
        <c:axId val="391545440"/>
        <c:axId val="391545832"/>
      </c:barChart>
      <c:catAx>
        <c:axId val="391545440"/>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391545832"/>
        <c:crosses val="autoZero"/>
        <c:auto val="1"/>
        <c:lblAlgn val="ctr"/>
        <c:lblOffset val="100"/>
        <c:noMultiLvlLbl val="0"/>
      </c:catAx>
      <c:valAx>
        <c:axId val="391545832"/>
        <c:scaling>
          <c:orientation val="minMax"/>
          <c:min val="0"/>
        </c:scaling>
        <c:delete val="1"/>
        <c:axPos val="l"/>
        <c:numFmt formatCode="General" sourceLinked="1"/>
        <c:majorTickMark val="out"/>
        <c:minorTickMark val="none"/>
        <c:tickLblPos val="nextTo"/>
        <c:crossAx val="391545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'T10'!$F$4</c:f>
              <c:strCache>
                <c:ptCount val="1"/>
                <c:pt idx="0">
                  <c:v>Control</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'T10'!$F$21:$F$29</c:f>
              <c:numCache>
                <c:formatCode>General</c:formatCode>
                <c:ptCount val="9"/>
                <c:pt idx="0">
                  <c:v>4</c:v>
                </c:pt>
                <c:pt idx="1">
                  <c:v>0</c:v>
                </c:pt>
                <c:pt idx="2">
                  <c:v>0</c:v>
                </c:pt>
                <c:pt idx="3">
                  <c:v>0</c:v>
                </c:pt>
                <c:pt idx="4">
                  <c:v>5</c:v>
                </c:pt>
                <c:pt idx="5">
                  <c:v>14</c:v>
                </c:pt>
                <c:pt idx="6">
                  <c:v>15</c:v>
                </c:pt>
                <c:pt idx="7">
                  <c:v>23</c:v>
                </c:pt>
                <c:pt idx="8">
                  <c:v>29</c:v>
                </c:pt>
              </c:numCache>
            </c:numRef>
          </c:val>
          <c:extLst>
            <c:ext xmlns:c15="http://schemas.microsoft.com/office/drawing/2012/chart" uri="{02D57815-91ED-43cb-92C2-25804820EDAC}">
              <c15:filteredCategoryTitle>
                <c15:cat>
                  <c:strRef>
                    <c:extLst>
                      <c:ext uri="{02D57815-91ED-43cb-92C2-25804820EDAC}">
                        <c15:formulaRef>
                          <c15:sqref>T23c!$A$4:$A$12</c15:sqref>
                        </c15:formulaRef>
                      </c:ext>
                    </c:extLst>
                    <c:strCache>
                      <c:ptCount val="9"/>
                      <c:pt idx="0">
                        <c:v>FisYr</c:v>
                      </c:pt>
                      <c:pt idx="1">
                        <c:v>2014-15</c:v>
                      </c:pt>
                      <c:pt idx="2">
                        <c:v>2014-15</c:v>
                      </c:pt>
                      <c:pt idx="3">
                        <c:v>2014-15</c:v>
                      </c:pt>
                      <c:pt idx="4">
                        <c:v>2014-15</c:v>
                      </c:pt>
                      <c:pt idx="5">
                        <c:v>2014-15</c:v>
                      </c:pt>
                      <c:pt idx="6">
                        <c:v>2014-15</c:v>
                      </c:pt>
                      <c:pt idx="7">
                        <c:v>2014-15</c:v>
                      </c:pt>
                      <c:pt idx="8">
                        <c:v>2014-15</c:v>
                      </c:pt>
                    </c:strCache>
                  </c:strRef>
                </c15:cat>
              </c15:filteredCategoryTitle>
            </c:ext>
            <c:ext xmlns:c16="http://schemas.microsoft.com/office/drawing/2014/chart" uri="{C3380CC4-5D6E-409C-BE32-E72D297353CC}">
              <c16:uniqueId val="{00000000-449C-4739-B411-C18B2834B336}"/>
            </c:ext>
          </c:extLst>
        </c:ser>
        <c:dLbls>
          <c:showLegendKey val="0"/>
          <c:showVal val="0"/>
          <c:showCatName val="0"/>
          <c:showSerName val="0"/>
          <c:showPercent val="0"/>
          <c:showBubbleSize val="0"/>
        </c:dLbls>
        <c:gapWidth val="25"/>
        <c:axId val="391546616"/>
        <c:axId val="391547008"/>
      </c:barChart>
      <c:catAx>
        <c:axId val="391546616"/>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391547008"/>
        <c:crosses val="autoZero"/>
        <c:auto val="1"/>
        <c:lblAlgn val="ctr"/>
        <c:lblOffset val="100"/>
        <c:noMultiLvlLbl val="0"/>
      </c:catAx>
      <c:valAx>
        <c:axId val="391547008"/>
        <c:scaling>
          <c:orientation val="minMax"/>
          <c:min val="0"/>
        </c:scaling>
        <c:delete val="1"/>
        <c:axPos val="l"/>
        <c:numFmt formatCode="General" sourceLinked="1"/>
        <c:majorTickMark val="out"/>
        <c:minorTickMark val="none"/>
        <c:tickLblPos val="nextTo"/>
        <c:crossAx val="3915466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'T10'!$C$4</c:f>
              <c:strCache>
                <c:ptCount val="1"/>
                <c:pt idx="0">
                  <c:v>Total</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'T10'!$C$21:$C$29</c:f>
              <c:numCache>
                <c:formatCode>General</c:formatCode>
                <c:ptCount val="9"/>
                <c:pt idx="0">
                  <c:v>178</c:v>
                </c:pt>
                <c:pt idx="1">
                  <c:v>20</c:v>
                </c:pt>
                <c:pt idx="2">
                  <c:v>6</c:v>
                </c:pt>
                <c:pt idx="3">
                  <c:v>28</c:v>
                </c:pt>
                <c:pt idx="4">
                  <c:v>258</c:v>
                </c:pt>
                <c:pt idx="5">
                  <c:v>507</c:v>
                </c:pt>
                <c:pt idx="6">
                  <c:v>879</c:v>
                </c:pt>
                <c:pt idx="7">
                  <c:v>1145</c:v>
                </c:pt>
                <c:pt idx="8">
                  <c:v>1387</c:v>
                </c:pt>
              </c:numCache>
            </c:numRef>
          </c:val>
          <c:extLst>
            <c:ext xmlns:c15="http://schemas.microsoft.com/office/drawing/2012/chart" uri="{02D57815-91ED-43cb-92C2-25804820EDAC}">
              <c15:filteredCategoryTitle>
                <c15:cat>
                  <c:strRef>
                    <c:extLst>
                      <c:ext uri="{02D57815-91ED-43cb-92C2-25804820EDAC}">
                        <c15:formulaRef>
                          <c15:sqref>T23c!$A$4:$A$12</c15:sqref>
                        </c15:formulaRef>
                      </c:ext>
                    </c:extLst>
                    <c:strCache>
                      <c:ptCount val="9"/>
                      <c:pt idx="0">
                        <c:v>FisYr</c:v>
                      </c:pt>
                      <c:pt idx="1">
                        <c:v>2014-15</c:v>
                      </c:pt>
                      <c:pt idx="2">
                        <c:v>2014-15</c:v>
                      </c:pt>
                      <c:pt idx="3">
                        <c:v>2014-15</c:v>
                      </c:pt>
                      <c:pt idx="4">
                        <c:v>2014-15</c:v>
                      </c:pt>
                      <c:pt idx="5">
                        <c:v>2014-15</c:v>
                      </c:pt>
                      <c:pt idx="6">
                        <c:v>2014-15</c:v>
                      </c:pt>
                      <c:pt idx="7">
                        <c:v>2014-15</c:v>
                      </c:pt>
                      <c:pt idx="8">
                        <c:v>2014-15</c:v>
                      </c:pt>
                    </c:strCache>
                  </c:strRef>
                </c15:cat>
              </c15:filteredCategoryTitle>
            </c:ext>
            <c:ext xmlns:c16="http://schemas.microsoft.com/office/drawing/2014/chart" uri="{C3380CC4-5D6E-409C-BE32-E72D297353CC}">
              <c16:uniqueId val="{00000000-195E-4371-80F0-24CC3F870492}"/>
            </c:ext>
          </c:extLst>
        </c:ser>
        <c:dLbls>
          <c:showLegendKey val="0"/>
          <c:showVal val="0"/>
          <c:showCatName val="0"/>
          <c:showSerName val="0"/>
          <c:showPercent val="0"/>
          <c:showBubbleSize val="0"/>
        </c:dLbls>
        <c:gapWidth val="25"/>
        <c:axId val="391547792"/>
        <c:axId val="391548184"/>
      </c:barChart>
      <c:catAx>
        <c:axId val="391547792"/>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391548184"/>
        <c:crosses val="autoZero"/>
        <c:auto val="1"/>
        <c:lblAlgn val="ctr"/>
        <c:lblOffset val="100"/>
        <c:noMultiLvlLbl val="0"/>
      </c:catAx>
      <c:valAx>
        <c:axId val="391548184"/>
        <c:scaling>
          <c:orientation val="minMax"/>
          <c:min val="0"/>
        </c:scaling>
        <c:delete val="1"/>
        <c:axPos val="l"/>
        <c:numFmt formatCode="General" sourceLinked="1"/>
        <c:majorTickMark val="out"/>
        <c:minorTickMark val="none"/>
        <c:tickLblPos val="nextTo"/>
        <c:crossAx val="3915477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'T10'!$E$4</c:f>
              <c:strCache>
                <c:ptCount val="1"/>
                <c:pt idx="0">
                  <c:v>RDS</c:v>
                </c:pt>
              </c:strCache>
            </c:strRef>
          </c:tx>
          <c:spPr>
            <a:solidFill>
              <a:schemeClr val="bg1">
                <a:lumMod val="75000"/>
              </a:schemeClr>
            </a:solidFill>
            <a:ln>
              <a:solidFill>
                <a:schemeClr val="bg1">
                  <a:lumMod val="6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'T10'!$E$21:$E$29</c:f>
              <c:numCache>
                <c:formatCode>General</c:formatCode>
                <c:ptCount val="9"/>
                <c:pt idx="0">
                  <c:v>71</c:v>
                </c:pt>
                <c:pt idx="1">
                  <c:v>2</c:v>
                </c:pt>
                <c:pt idx="2">
                  <c:v>0</c:v>
                </c:pt>
                <c:pt idx="3">
                  <c:v>7</c:v>
                </c:pt>
                <c:pt idx="4">
                  <c:v>180</c:v>
                </c:pt>
                <c:pt idx="5">
                  <c:v>283</c:v>
                </c:pt>
                <c:pt idx="6">
                  <c:v>335</c:v>
                </c:pt>
                <c:pt idx="7">
                  <c:v>352</c:v>
                </c:pt>
                <c:pt idx="8">
                  <c:v>456</c:v>
                </c:pt>
              </c:numCache>
            </c:numRef>
          </c:val>
          <c:extLst>
            <c:ext xmlns:c15="http://schemas.microsoft.com/office/drawing/2012/chart" uri="{02D57815-91ED-43cb-92C2-25804820EDAC}">
              <c15:filteredCategoryTitle>
                <c15:cat>
                  <c:strRef>
                    <c:extLst>
                      <c:ext uri="{02D57815-91ED-43cb-92C2-25804820EDAC}">
                        <c15:formulaRef>
                          <c15:sqref>T23c!$A$4:$A$12</c15:sqref>
                        </c15:formulaRef>
                      </c:ext>
                    </c:extLst>
                    <c:strCache>
                      <c:ptCount val="9"/>
                      <c:pt idx="0">
                        <c:v>FisYr</c:v>
                      </c:pt>
                      <c:pt idx="1">
                        <c:v>2014-15</c:v>
                      </c:pt>
                      <c:pt idx="2">
                        <c:v>2014-15</c:v>
                      </c:pt>
                      <c:pt idx="3">
                        <c:v>2014-15</c:v>
                      </c:pt>
                      <c:pt idx="4">
                        <c:v>2014-15</c:v>
                      </c:pt>
                      <c:pt idx="5">
                        <c:v>2014-15</c:v>
                      </c:pt>
                      <c:pt idx="6">
                        <c:v>2014-15</c:v>
                      </c:pt>
                      <c:pt idx="7">
                        <c:v>2014-15</c:v>
                      </c:pt>
                      <c:pt idx="8">
                        <c:v>2014-15</c:v>
                      </c:pt>
                    </c:strCache>
                  </c:strRef>
                </c15:cat>
              </c15:filteredCategoryTitle>
            </c:ext>
            <c:ext xmlns:c16="http://schemas.microsoft.com/office/drawing/2014/chart" uri="{C3380CC4-5D6E-409C-BE32-E72D297353CC}">
              <c16:uniqueId val="{00000000-69D9-41AA-81FF-C0F924CE5974}"/>
            </c:ext>
          </c:extLst>
        </c:ser>
        <c:dLbls>
          <c:showLegendKey val="0"/>
          <c:showVal val="0"/>
          <c:showCatName val="0"/>
          <c:showSerName val="0"/>
          <c:showPercent val="0"/>
          <c:showBubbleSize val="0"/>
        </c:dLbls>
        <c:gapWidth val="25"/>
        <c:axId val="299757464"/>
        <c:axId val="299757856"/>
      </c:barChart>
      <c:catAx>
        <c:axId val="299757464"/>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299757856"/>
        <c:crosses val="autoZero"/>
        <c:auto val="1"/>
        <c:lblAlgn val="ctr"/>
        <c:lblOffset val="100"/>
        <c:noMultiLvlLbl val="0"/>
      </c:catAx>
      <c:valAx>
        <c:axId val="299757856"/>
        <c:scaling>
          <c:orientation val="minMax"/>
          <c:min val="0"/>
        </c:scaling>
        <c:delete val="1"/>
        <c:axPos val="l"/>
        <c:numFmt formatCode="General" sourceLinked="1"/>
        <c:majorTickMark val="out"/>
        <c:minorTickMark val="none"/>
        <c:tickLblPos val="nextTo"/>
        <c:crossAx val="2997574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40817902749681E-2"/>
          <c:y val="0.19020986918467858"/>
          <c:w val="0.92960355017966889"/>
          <c:h val="0.63652623103386974"/>
        </c:manualLayout>
      </c:layout>
      <c:barChart>
        <c:barDir val="col"/>
        <c:grouping val="clustered"/>
        <c:varyColors val="0"/>
        <c:ser>
          <c:idx val="0"/>
          <c:order val="0"/>
          <c:tx>
            <c:strRef>
              <c:f>'T10'!$B$4</c:f>
              <c:strCache>
                <c:ptCount val="1"/>
                <c:pt idx="0">
                  <c:v>AgeRange</c:v>
                </c:pt>
              </c:strCache>
            </c:strRef>
          </c:tx>
          <c:spPr>
            <a:solidFill>
              <a:schemeClr val="bg1">
                <a:lumMod val="50000"/>
              </a:schemeClr>
            </a:solidFill>
            <a:ln>
              <a:solidFill>
                <a:schemeClr val="bg1">
                  <a:lumMod val="65000"/>
                </a:schemeClr>
              </a:solidFill>
            </a:ln>
          </c:spPr>
          <c:invertIfNegative val="0"/>
          <c:dLbls>
            <c:numFmt formatCode="_-* #,##0_-;\-* #,##0_-;_-* &quot;-&quot;??_-;_-@_-"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'T10'!$B$21:$B$29</c:f>
              <c:numCache>
                <c:formatCode>General</c:formatCode>
                <c:ptCount val="9"/>
                <c:pt idx="0">
                  <c:v>0</c:v>
                </c:pt>
                <c:pt idx="1">
                  <c:v>0</c:v>
                </c:pt>
                <c:pt idx="2">
                  <c:v>0</c:v>
                </c:pt>
                <c:pt idx="3">
                  <c:v>0</c:v>
                </c:pt>
                <c:pt idx="4">
                  <c:v>0</c:v>
                </c:pt>
                <c:pt idx="5">
                  <c:v>0</c:v>
                </c:pt>
                <c:pt idx="6">
                  <c:v>0</c:v>
                </c:pt>
                <c:pt idx="7">
                  <c:v>0</c:v>
                </c:pt>
                <c:pt idx="8">
                  <c:v>0</c:v>
                </c:pt>
              </c:numCache>
            </c:numRef>
          </c:val>
          <c:extLst>
            <c:ext xmlns:c15="http://schemas.microsoft.com/office/drawing/2012/chart" uri="{02D57815-91ED-43cb-92C2-25804820EDAC}">
              <c15:filteredCategoryTitle>
                <c15:cat>
                  <c:strRef>
                    <c:extLst>
                      <c:ext uri="{02D57815-91ED-43cb-92C2-25804820EDAC}">
                        <c15:formulaRef>
                          <c15:sqref>T23c!$A$4:$A$12</c15:sqref>
                        </c15:formulaRef>
                      </c:ext>
                    </c:extLst>
                    <c:strCache>
                      <c:ptCount val="9"/>
                      <c:pt idx="0">
                        <c:v>FisYr</c:v>
                      </c:pt>
                      <c:pt idx="1">
                        <c:v>2014-15</c:v>
                      </c:pt>
                      <c:pt idx="2">
                        <c:v>2014-15</c:v>
                      </c:pt>
                      <c:pt idx="3">
                        <c:v>2014-15</c:v>
                      </c:pt>
                      <c:pt idx="4">
                        <c:v>2014-15</c:v>
                      </c:pt>
                      <c:pt idx="5">
                        <c:v>2014-15</c:v>
                      </c:pt>
                      <c:pt idx="6">
                        <c:v>2014-15</c:v>
                      </c:pt>
                      <c:pt idx="7">
                        <c:v>2014-15</c:v>
                      </c:pt>
                      <c:pt idx="8">
                        <c:v>2014-15</c:v>
                      </c:pt>
                    </c:strCache>
                  </c:strRef>
                </c15:cat>
              </c15:filteredCategoryTitle>
            </c:ext>
            <c:ext xmlns:c16="http://schemas.microsoft.com/office/drawing/2014/chart" uri="{C3380CC4-5D6E-409C-BE32-E72D297353CC}">
              <c16:uniqueId val="{00000000-0E32-4C0F-BC08-639DEA69E09C}"/>
            </c:ext>
          </c:extLst>
        </c:ser>
        <c:dLbls>
          <c:showLegendKey val="0"/>
          <c:showVal val="0"/>
          <c:showCatName val="0"/>
          <c:showSerName val="0"/>
          <c:showPercent val="0"/>
          <c:showBubbleSize val="0"/>
        </c:dLbls>
        <c:gapWidth val="25"/>
        <c:axId val="299758640"/>
        <c:axId val="299759032"/>
      </c:barChart>
      <c:catAx>
        <c:axId val="299758640"/>
        <c:scaling>
          <c:orientation val="minMax"/>
        </c:scaling>
        <c:delete val="0"/>
        <c:axPos val="b"/>
        <c:numFmt formatCode="General" sourceLinked="1"/>
        <c:majorTickMark val="out"/>
        <c:minorTickMark val="none"/>
        <c:tickLblPos val="nextTo"/>
        <c:spPr>
          <a:ln>
            <a:noFill/>
          </a:ln>
        </c:spPr>
        <c:txPr>
          <a:bodyPr rot="5400000" vert="horz"/>
          <a:lstStyle/>
          <a:p>
            <a:pPr>
              <a:defRPr baseline="0">
                <a:solidFill>
                  <a:schemeClr val="tx1">
                    <a:lumMod val="85000"/>
                    <a:lumOff val="15000"/>
                  </a:schemeClr>
                </a:solidFill>
              </a:defRPr>
            </a:pPr>
            <a:endParaRPr lang="en-US"/>
          </a:p>
        </c:txPr>
        <c:crossAx val="299759032"/>
        <c:crosses val="autoZero"/>
        <c:auto val="1"/>
        <c:lblAlgn val="ctr"/>
        <c:lblOffset val="100"/>
        <c:noMultiLvlLbl val="0"/>
      </c:catAx>
      <c:valAx>
        <c:axId val="299759032"/>
        <c:scaling>
          <c:orientation val="minMax"/>
          <c:min val="0"/>
        </c:scaling>
        <c:delete val="1"/>
        <c:axPos val="l"/>
        <c:numFmt formatCode="General" sourceLinked="1"/>
        <c:majorTickMark val="out"/>
        <c:minorTickMark val="none"/>
        <c:tickLblPos val="nextTo"/>
        <c:crossAx val="2997586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8.png"/></Relationships>
</file>

<file path=xl/drawings/_rels/drawing63.xml.rels><?xml version="1.0" encoding="UTF-8" standalone="yes"?>
<Relationships xmlns="http://schemas.openxmlformats.org/package/2006/relationships"><Relationship Id="rId1" Type="http://schemas.openxmlformats.org/officeDocument/2006/relationships/image" Target="../media/image9.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92.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3</xdr:col>
      <xdr:colOff>2152650</xdr:colOff>
      <xdr:row>5</xdr:row>
      <xdr:rowOff>66674</xdr:rowOff>
    </xdr:to>
    <mc:AlternateContent xmlns:mc="http://schemas.openxmlformats.org/markup-compatibility/2006" xmlns:a14="http://schemas.microsoft.com/office/drawing/2010/main">
      <mc:Choice Requires="a14">
        <xdr:graphicFrame macro="">
          <xdr:nvGraphicFramePr>
            <xdr:cNvPr id="2" name="FisYr 30">
              <a:extLst>
                <a:ext uri="{FF2B5EF4-FFF2-40B4-BE49-F238E27FC236}">
                  <a16:creationId xmlns:a16="http://schemas.microsoft.com/office/drawing/2014/main" id="{8A656AA0-3510-409F-9ED8-1252E9A10F1D}"/>
                </a:ext>
              </a:extLst>
            </xdr:cNvPr>
            <xdr:cNvGraphicFramePr/>
          </xdr:nvGraphicFramePr>
          <xdr:xfrm>
            <a:off x="0" y="0"/>
            <a:ext cx="0" cy="0"/>
          </xdr:xfrm>
          <a:graphic>
            <a:graphicData uri="http://schemas.microsoft.com/office/drawing/2010/slicer">
              <sle:slicer xmlns:sle="http://schemas.microsoft.com/office/drawing/2010/slicer" name="FisYr 30"/>
            </a:graphicData>
          </a:graphic>
        </xdr:graphicFrame>
      </mc:Choice>
      <mc:Fallback xmlns="">
        <xdr:sp macro="" textlink="">
          <xdr:nvSpPr>
            <xdr:cNvPr id="0" name=""/>
            <xdr:cNvSpPr>
              <a:spLocks noTextEdit="1"/>
            </xdr:cNvSpPr>
          </xdr:nvSpPr>
          <xdr:spPr>
            <a:xfrm>
              <a:off x="3790950" y="590550"/>
              <a:ext cx="2152650"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152399</xdr:colOff>
      <xdr:row>3</xdr:row>
      <xdr:rowOff>85725</xdr:rowOff>
    </xdr:from>
    <xdr:ext cx="2524125" cy="504825"/>
    <mc:AlternateContent xmlns:mc="http://schemas.openxmlformats.org/markup-compatibility/2006" xmlns:a14="http://schemas.microsoft.com/office/drawing/2010/main">
      <mc:Choice Requires="a14">
        <xdr:graphicFrame macro="">
          <xdr:nvGraphicFramePr>
            <xdr:cNvPr id="2" name="FisYr 4">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microsoft.com/office/drawing/2010/slicer">
              <sle:slicer xmlns:sle="http://schemas.microsoft.com/office/drawing/2010/slicer" name="FisYr 4"/>
            </a:graphicData>
          </a:graphic>
        </xdr:graphicFrame>
      </mc:Choice>
      <mc:Fallback xmlns="">
        <xdr:sp macro="" textlink="">
          <xdr:nvSpPr>
            <xdr:cNvPr id="0" name=""/>
            <xdr:cNvSpPr>
              <a:spLocks noTextEdit="1"/>
            </xdr:cNvSpPr>
          </xdr:nvSpPr>
          <xdr:spPr>
            <a:xfrm>
              <a:off x="2409824" y="657225"/>
              <a:ext cx="2524125" cy="5048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3</xdr:col>
      <xdr:colOff>571500</xdr:colOff>
      <xdr:row>43</xdr:row>
      <xdr:rowOff>123826</xdr:rowOff>
    </xdr:from>
    <xdr:ext cx="2619375" cy="438149"/>
    <mc:AlternateContent xmlns:mc="http://schemas.openxmlformats.org/markup-compatibility/2006" xmlns:a14="http://schemas.microsoft.com/office/drawing/2010/main">
      <mc:Choice Requires="a14">
        <xdr:graphicFrame macro="">
          <xdr:nvGraphicFramePr>
            <xdr:cNvPr id="3" name="FisYr 5">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microsoft.com/office/drawing/2010/slicer">
              <sle:slicer xmlns:sle="http://schemas.microsoft.com/office/drawing/2010/slicer" name="FisYr 5"/>
            </a:graphicData>
          </a:graphic>
        </xdr:graphicFrame>
      </mc:Choice>
      <mc:Fallback xmlns="">
        <xdr:sp macro="" textlink="">
          <xdr:nvSpPr>
            <xdr:cNvPr id="0" name=""/>
            <xdr:cNvSpPr>
              <a:spLocks noTextEdit="1"/>
            </xdr:cNvSpPr>
          </xdr:nvSpPr>
          <xdr:spPr>
            <a:xfrm>
              <a:off x="4572000" y="8315326"/>
              <a:ext cx="2619375"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3</xdr:col>
      <xdr:colOff>28575</xdr:colOff>
      <xdr:row>2</xdr:row>
      <xdr:rowOff>133350</xdr:rowOff>
    </xdr:from>
    <xdr:ext cx="3162300" cy="438149"/>
    <mc:AlternateContent xmlns:mc="http://schemas.openxmlformats.org/markup-compatibility/2006" xmlns:a14="http://schemas.microsoft.com/office/drawing/2010/main">
      <mc:Choice Requires="a14">
        <xdr:graphicFrame macro="">
          <xdr:nvGraphicFramePr>
            <xdr:cNvPr id="4" name="FisYr 10">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FisYr 10"/>
            </a:graphicData>
          </a:graphic>
        </xdr:graphicFrame>
      </mc:Choice>
      <mc:Fallback xmlns="">
        <xdr:sp macro="" textlink="">
          <xdr:nvSpPr>
            <xdr:cNvPr id="0" name=""/>
            <xdr:cNvSpPr>
              <a:spLocks noTextEdit="1"/>
            </xdr:cNvSpPr>
          </xdr:nvSpPr>
          <xdr:spPr>
            <a:xfrm>
              <a:off x="4095750" y="561975"/>
              <a:ext cx="2619375"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723900</xdr:colOff>
      <xdr:row>2</xdr:row>
      <xdr:rowOff>142875</xdr:rowOff>
    </xdr:from>
    <xdr:to>
      <xdr:col>6</xdr:col>
      <xdr:colOff>47626</xdr:colOff>
      <xdr:row>4</xdr:row>
      <xdr:rowOff>0</xdr:rowOff>
    </xdr:to>
    <mc:AlternateContent xmlns:mc="http://schemas.openxmlformats.org/markup-compatibility/2006" xmlns:a14="http://schemas.microsoft.com/office/drawing/2010/main">
      <mc:Choice Requires="a14">
        <xdr:graphicFrame macro="">
          <xdr:nvGraphicFramePr>
            <xdr:cNvPr id="2" name="FinYr 33">
              <a:extLst>
                <a:ext uri="{FF2B5EF4-FFF2-40B4-BE49-F238E27FC236}">
                  <a16:creationId xmlns:a16="http://schemas.microsoft.com/office/drawing/2014/main" id="{2216CE8D-F3DB-43DF-9920-73ED9D37F1BD}"/>
                </a:ext>
              </a:extLst>
            </xdr:cNvPr>
            <xdr:cNvGraphicFramePr/>
          </xdr:nvGraphicFramePr>
          <xdr:xfrm>
            <a:off x="0" y="0"/>
            <a:ext cx="0" cy="0"/>
          </xdr:xfrm>
          <a:graphic>
            <a:graphicData uri="http://schemas.microsoft.com/office/drawing/2010/slicer">
              <sle:slicer xmlns:sle="http://schemas.microsoft.com/office/drawing/2010/slicer" name="FinYr 33"/>
            </a:graphicData>
          </a:graphic>
        </xdr:graphicFrame>
      </mc:Choice>
      <mc:Fallback xmlns="">
        <xdr:sp macro="" textlink="">
          <xdr:nvSpPr>
            <xdr:cNvPr id="0" name=""/>
            <xdr:cNvSpPr>
              <a:spLocks noTextEdit="1"/>
            </xdr:cNvSpPr>
          </xdr:nvSpPr>
          <xdr:spPr>
            <a:xfrm>
              <a:off x="5829300" y="571500"/>
              <a:ext cx="2867026"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333375</xdr:colOff>
      <xdr:row>2</xdr:row>
      <xdr:rowOff>38100</xdr:rowOff>
    </xdr:from>
    <xdr:to>
      <xdr:col>10</xdr:col>
      <xdr:colOff>152401</xdr:colOff>
      <xdr:row>4</xdr:row>
      <xdr:rowOff>85725</xdr:rowOff>
    </xdr:to>
    <mc:AlternateContent xmlns:mc="http://schemas.openxmlformats.org/markup-compatibility/2006" xmlns:a14="http://schemas.microsoft.com/office/drawing/2010/main">
      <mc:Choice Requires="a14">
        <xdr:graphicFrame macro="">
          <xdr:nvGraphicFramePr>
            <xdr:cNvPr id="2" name="FinYr 27">
              <a:extLst>
                <a:ext uri="{FF2B5EF4-FFF2-40B4-BE49-F238E27FC236}">
                  <a16:creationId xmlns:a16="http://schemas.microsoft.com/office/drawing/2014/main" id="{0AB99E90-18B8-4EFC-A3A8-C1862CB3EB4C}"/>
                </a:ext>
              </a:extLst>
            </xdr:cNvPr>
            <xdr:cNvGraphicFramePr/>
          </xdr:nvGraphicFramePr>
          <xdr:xfrm>
            <a:off x="0" y="0"/>
            <a:ext cx="0" cy="0"/>
          </xdr:xfrm>
          <a:graphic>
            <a:graphicData uri="http://schemas.microsoft.com/office/drawing/2010/slicer">
              <sle:slicer xmlns:sle="http://schemas.microsoft.com/office/drawing/2010/slicer" name="FinYr 27"/>
            </a:graphicData>
          </a:graphic>
        </xdr:graphicFrame>
      </mc:Choice>
      <mc:Fallback xmlns="">
        <xdr:sp macro="" textlink="">
          <xdr:nvSpPr>
            <xdr:cNvPr id="0" name=""/>
            <xdr:cNvSpPr>
              <a:spLocks noTextEdit="1"/>
            </xdr:cNvSpPr>
          </xdr:nvSpPr>
          <xdr:spPr>
            <a:xfrm>
              <a:off x="7781925" y="419100"/>
              <a:ext cx="2867026"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8</xdr:col>
      <xdr:colOff>114300</xdr:colOff>
      <xdr:row>9</xdr:row>
      <xdr:rowOff>28575</xdr:rowOff>
    </xdr:to>
    <mc:AlternateContent xmlns:mc="http://schemas.openxmlformats.org/markup-compatibility/2006" xmlns:a14="http://schemas.microsoft.com/office/drawing/2010/main">
      <mc:Choice Requires="a14">
        <xdr:graphicFrame macro="">
          <xdr:nvGraphicFramePr>
            <xdr:cNvPr id="2" name="FisYr 23">
              <a:extLst>
                <a:ext uri="{FF2B5EF4-FFF2-40B4-BE49-F238E27FC236}">
                  <a16:creationId xmlns:a16="http://schemas.microsoft.com/office/drawing/2014/main" id="{7D5CFB94-C8C0-40E1-A078-B2F457F987FB}"/>
                </a:ext>
              </a:extLst>
            </xdr:cNvPr>
            <xdr:cNvGraphicFramePr/>
          </xdr:nvGraphicFramePr>
          <xdr:xfrm>
            <a:off x="0" y="0"/>
            <a:ext cx="0" cy="0"/>
          </xdr:xfrm>
          <a:graphic>
            <a:graphicData uri="http://schemas.microsoft.com/office/drawing/2010/slicer">
              <sle:slicer xmlns:sle="http://schemas.microsoft.com/office/drawing/2010/slicer" name="FisYr 23"/>
            </a:graphicData>
          </a:graphic>
        </xdr:graphicFrame>
      </mc:Choice>
      <mc:Fallback xmlns="">
        <xdr:sp macro="" textlink="">
          <xdr:nvSpPr>
            <xdr:cNvPr id="0" name=""/>
            <xdr:cNvSpPr>
              <a:spLocks noTextEdit="1"/>
            </xdr:cNvSpPr>
          </xdr:nvSpPr>
          <xdr:spPr>
            <a:xfrm>
              <a:off x="6381750" y="1543050"/>
              <a:ext cx="2276475"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0</xdr:colOff>
      <xdr:row>33</xdr:row>
      <xdr:rowOff>0</xdr:rowOff>
    </xdr:from>
    <xdr:to>
      <xdr:col>8</xdr:col>
      <xdr:colOff>276225</xdr:colOff>
      <xdr:row>35</xdr:row>
      <xdr:rowOff>28575</xdr:rowOff>
    </xdr:to>
    <mc:AlternateContent xmlns:mc="http://schemas.openxmlformats.org/markup-compatibility/2006" xmlns:a14="http://schemas.microsoft.com/office/drawing/2010/main">
      <mc:Choice Requires="a14">
        <xdr:graphicFrame macro="">
          <xdr:nvGraphicFramePr>
            <xdr:cNvPr id="3" name="FisYr 25">
              <a:extLst>
                <a:ext uri="{FF2B5EF4-FFF2-40B4-BE49-F238E27FC236}">
                  <a16:creationId xmlns:a16="http://schemas.microsoft.com/office/drawing/2014/main" id="{4C51331F-5069-4DCD-A5C5-C0C3B3E12C68}"/>
                </a:ext>
              </a:extLst>
            </xdr:cNvPr>
            <xdr:cNvGraphicFramePr/>
          </xdr:nvGraphicFramePr>
          <xdr:xfrm>
            <a:off x="0" y="0"/>
            <a:ext cx="0" cy="0"/>
          </xdr:xfrm>
          <a:graphic>
            <a:graphicData uri="http://schemas.microsoft.com/office/drawing/2010/slicer">
              <sle:slicer xmlns:sle="http://schemas.microsoft.com/office/drawing/2010/slicer" name="FisYr 25"/>
            </a:graphicData>
          </a:graphic>
        </xdr:graphicFrame>
      </mc:Choice>
      <mc:Fallback xmlns="">
        <xdr:sp macro="" textlink="">
          <xdr:nvSpPr>
            <xdr:cNvPr id="0" name=""/>
            <xdr:cNvSpPr>
              <a:spLocks noTextEdit="1"/>
            </xdr:cNvSpPr>
          </xdr:nvSpPr>
          <xdr:spPr>
            <a:xfrm>
              <a:off x="6381750" y="7058025"/>
              <a:ext cx="2438400"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962025</xdr:colOff>
      <xdr:row>7</xdr:row>
      <xdr:rowOff>47626</xdr:rowOff>
    </xdr:from>
    <xdr:to>
      <xdr:col>6</xdr:col>
      <xdr:colOff>0</xdr:colOff>
      <xdr:row>10</xdr:row>
      <xdr:rowOff>47625</xdr:rowOff>
    </xdr:to>
    <mc:AlternateContent xmlns:mc="http://schemas.openxmlformats.org/markup-compatibility/2006" xmlns:a14="http://schemas.microsoft.com/office/drawing/2010/main">
      <mc:Choice Requires="a14">
        <xdr:graphicFrame macro="">
          <xdr:nvGraphicFramePr>
            <xdr:cNvPr id="2" name="FisYr 22">
              <a:extLst>
                <a:ext uri="{FF2B5EF4-FFF2-40B4-BE49-F238E27FC236}">
                  <a16:creationId xmlns:a16="http://schemas.microsoft.com/office/drawing/2014/main" id="{9A90F664-09B9-4F95-A1F9-8CD7CFC5A329}"/>
                </a:ext>
              </a:extLst>
            </xdr:cNvPr>
            <xdr:cNvGraphicFramePr/>
          </xdr:nvGraphicFramePr>
          <xdr:xfrm>
            <a:off x="0" y="0"/>
            <a:ext cx="0" cy="0"/>
          </xdr:xfrm>
          <a:graphic>
            <a:graphicData uri="http://schemas.microsoft.com/office/drawing/2010/slicer">
              <sle:slicer xmlns:sle="http://schemas.microsoft.com/office/drawing/2010/slicer" name="FisYr 22"/>
            </a:graphicData>
          </a:graphic>
        </xdr:graphicFrame>
      </mc:Choice>
      <mc:Fallback xmlns="">
        <xdr:sp macro="" textlink="">
          <xdr:nvSpPr>
            <xdr:cNvPr id="0" name=""/>
            <xdr:cNvSpPr>
              <a:spLocks noTextEdit="1"/>
            </xdr:cNvSpPr>
          </xdr:nvSpPr>
          <xdr:spPr>
            <a:xfrm>
              <a:off x="4171950" y="1381126"/>
              <a:ext cx="2276475" cy="5714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285750</xdr:colOff>
      <xdr:row>32</xdr:row>
      <xdr:rowOff>0</xdr:rowOff>
    </xdr:from>
    <xdr:to>
      <xdr:col>7</xdr:col>
      <xdr:colOff>38100</xdr:colOff>
      <xdr:row>34</xdr:row>
      <xdr:rowOff>28575</xdr:rowOff>
    </xdr:to>
    <mc:AlternateContent xmlns:mc="http://schemas.openxmlformats.org/markup-compatibility/2006" xmlns:a14="http://schemas.microsoft.com/office/drawing/2010/main">
      <mc:Choice Requires="a14">
        <xdr:graphicFrame macro="">
          <xdr:nvGraphicFramePr>
            <xdr:cNvPr id="3" name="FisYr 24">
              <a:extLst>
                <a:ext uri="{FF2B5EF4-FFF2-40B4-BE49-F238E27FC236}">
                  <a16:creationId xmlns:a16="http://schemas.microsoft.com/office/drawing/2014/main" id="{D913EB26-6D24-4984-924D-2D77F7673B91}"/>
                </a:ext>
              </a:extLst>
            </xdr:cNvPr>
            <xdr:cNvGraphicFramePr/>
          </xdr:nvGraphicFramePr>
          <xdr:xfrm>
            <a:off x="0" y="0"/>
            <a:ext cx="0" cy="0"/>
          </xdr:xfrm>
          <a:graphic>
            <a:graphicData uri="http://schemas.microsoft.com/office/drawing/2010/slicer">
              <sle:slicer xmlns:sle="http://schemas.microsoft.com/office/drawing/2010/slicer" name="FisYr 24"/>
            </a:graphicData>
          </a:graphic>
        </xdr:graphicFrame>
      </mc:Choice>
      <mc:Fallback xmlns="">
        <xdr:sp macro="" textlink="">
          <xdr:nvSpPr>
            <xdr:cNvPr id="0" name=""/>
            <xdr:cNvSpPr>
              <a:spLocks noTextEdit="1"/>
            </xdr:cNvSpPr>
          </xdr:nvSpPr>
          <xdr:spPr>
            <a:xfrm>
              <a:off x="4581525" y="6096000"/>
              <a:ext cx="2438400"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295275</xdr:colOff>
      <xdr:row>3</xdr:row>
      <xdr:rowOff>9525</xdr:rowOff>
    </xdr:from>
    <xdr:to>
      <xdr:col>12</xdr:col>
      <xdr:colOff>257175</xdr:colOff>
      <xdr:row>3</xdr:row>
      <xdr:rowOff>466724</xdr:rowOff>
    </xdr:to>
    <mc:AlternateContent xmlns:mc="http://schemas.openxmlformats.org/markup-compatibility/2006" xmlns:a14="http://schemas.microsoft.com/office/drawing/2010/main">
      <mc:Choice Requires="a14">
        <xdr:graphicFrame macro="">
          <xdr:nvGraphicFramePr>
            <xdr:cNvPr id="6" name="Year 1">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4514850" y="666750"/>
              <a:ext cx="4638675" cy="457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2343150</xdr:colOff>
      <xdr:row>4</xdr:row>
      <xdr:rowOff>133351</xdr:rowOff>
    </xdr:from>
    <xdr:to>
      <xdr:col>4</xdr:col>
      <xdr:colOff>504825</xdr:colOff>
      <xdr:row>7</xdr:row>
      <xdr:rowOff>19050</xdr:rowOff>
    </xdr:to>
    <mc:AlternateContent xmlns:mc="http://schemas.openxmlformats.org/markup-compatibility/2006" xmlns:a14="http://schemas.microsoft.com/office/drawing/2010/main">
      <mc:Choice Requires="a14">
        <xdr:graphicFrame macro="">
          <xdr:nvGraphicFramePr>
            <xdr:cNvPr id="2" name="FinYr 26">
              <a:extLst>
                <a:ext uri="{FF2B5EF4-FFF2-40B4-BE49-F238E27FC236}">
                  <a16:creationId xmlns:a16="http://schemas.microsoft.com/office/drawing/2014/main" id="{F655AAD6-49B5-4D97-934E-DEFCFF83E96F}"/>
                </a:ext>
              </a:extLst>
            </xdr:cNvPr>
            <xdr:cNvGraphicFramePr/>
          </xdr:nvGraphicFramePr>
          <xdr:xfrm>
            <a:off x="0" y="0"/>
            <a:ext cx="0" cy="0"/>
          </xdr:xfrm>
          <a:graphic>
            <a:graphicData uri="http://schemas.microsoft.com/office/drawing/2010/slicer">
              <sle:slicer xmlns:sle="http://schemas.microsoft.com/office/drawing/2010/slicer" name="FinYr 26"/>
            </a:graphicData>
          </a:graphic>
        </xdr:graphicFrame>
      </mc:Choice>
      <mc:Fallback xmlns="">
        <xdr:sp macro="" textlink="">
          <xdr:nvSpPr>
            <xdr:cNvPr id="0" name=""/>
            <xdr:cNvSpPr>
              <a:spLocks noTextEdit="1"/>
            </xdr:cNvSpPr>
          </xdr:nvSpPr>
          <xdr:spPr>
            <a:xfrm>
              <a:off x="2343150" y="8953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2524125</xdr:colOff>
      <xdr:row>2</xdr:row>
      <xdr:rowOff>209550</xdr:rowOff>
    </xdr:from>
    <xdr:to>
      <xdr:col>4</xdr:col>
      <xdr:colOff>400050</xdr:colOff>
      <xdr:row>4</xdr:row>
      <xdr:rowOff>57149</xdr:rowOff>
    </xdr:to>
    <mc:AlternateContent xmlns:mc="http://schemas.openxmlformats.org/markup-compatibility/2006" xmlns:a14="http://schemas.microsoft.com/office/drawing/2010/main">
      <mc:Choice Requires="a14">
        <xdr:graphicFrame macro="">
          <xdr:nvGraphicFramePr>
            <xdr:cNvPr id="2" name="FinYr 34">
              <a:extLst>
                <a:ext uri="{FF2B5EF4-FFF2-40B4-BE49-F238E27FC236}">
                  <a16:creationId xmlns:a16="http://schemas.microsoft.com/office/drawing/2014/main" id="{8097AC4F-50BC-49CF-A50D-9730E575528D}"/>
                </a:ext>
              </a:extLst>
            </xdr:cNvPr>
            <xdr:cNvGraphicFramePr/>
          </xdr:nvGraphicFramePr>
          <xdr:xfrm>
            <a:off x="0" y="0"/>
            <a:ext cx="0" cy="0"/>
          </xdr:xfrm>
          <a:graphic>
            <a:graphicData uri="http://schemas.microsoft.com/office/drawing/2010/slicer">
              <sle:slicer xmlns:sle="http://schemas.microsoft.com/office/drawing/2010/slicer" name="FinYr 34"/>
            </a:graphicData>
          </a:graphic>
        </xdr:graphicFrame>
      </mc:Choice>
      <mc:Fallback xmlns="">
        <xdr:sp macro="" textlink="">
          <xdr:nvSpPr>
            <xdr:cNvPr id="0" name=""/>
            <xdr:cNvSpPr>
              <a:spLocks noTextEdit="1"/>
            </xdr:cNvSpPr>
          </xdr:nvSpPr>
          <xdr:spPr>
            <a:xfrm>
              <a:off x="3667125" y="638175"/>
              <a:ext cx="4991100" cy="457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oneCellAnchor>
    <xdr:from>
      <xdr:col>0</xdr:col>
      <xdr:colOff>2047875</xdr:colOff>
      <xdr:row>2</xdr:row>
      <xdr:rowOff>114300</xdr:rowOff>
    </xdr:from>
    <xdr:ext cx="5086350" cy="419100"/>
    <mc:AlternateContent xmlns:mc="http://schemas.openxmlformats.org/markup-compatibility/2006" xmlns:a14="http://schemas.microsoft.com/office/drawing/2010/main">
      <mc:Choice Requires="a14">
        <xdr:graphicFrame macro="">
          <xdr:nvGraphicFramePr>
            <xdr:cNvPr id="2" name="FinYear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microsoft.com/office/drawing/2010/slicer">
              <sle:slicer xmlns:sle="http://schemas.microsoft.com/office/drawing/2010/slicer" name="FinYear 1"/>
            </a:graphicData>
          </a:graphic>
        </xdr:graphicFrame>
      </mc:Choice>
      <mc:Fallback xmlns="">
        <xdr:sp macro="" textlink="">
          <xdr:nvSpPr>
            <xdr:cNvPr id="0" name=""/>
            <xdr:cNvSpPr>
              <a:spLocks noTextEdit="1"/>
            </xdr:cNvSpPr>
          </xdr:nvSpPr>
          <xdr:spPr>
            <a:xfrm>
              <a:off x="2047875" y="542925"/>
              <a:ext cx="50863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absolute">
    <xdr:from>
      <xdr:col>7</xdr:col>
      <xdr:colOff>123825</xdr:colOff>
      <xdr:row>40</xdr:row>
      <xdr:rowOff>47625</xdr:rowOff>
    </xdr:from>
    <xdr:to>
      <xdr:col>12</xdr:col>
      <xdr:colOff>152400</xdr:colOff>
      <xdr:row>42</xdr:row>
      <xdr:rowOff>95250</xdr:rowOff>
    </xdr:to>
    <mc:AlternateContent xmlns:mc="http://schemas.openxmlformats.org/markup-compatibility/2006" xmlns:sle15="http://schemas.microsoft.com/office/drawing/2012/slicer">
      <mc:Choice Requires="sle15">
        <xdr:graphicFrame macro="">
          <xdr:nvGraphicFramePr>
            <xdr:cNvPr id="2" name="FisYr 1">
              <a:extLst>
                <a:ext uri="{FF2B5EF4-FFF2-40B4-BE49-F238E27FC236}">
                  <a16:creationId xmlns:a16="http://schemas.microsoft.com/office/drawing/2014/main" id="{CE5A56C9-B45F-4B67-B086-AF27B901691C}"/>
                </a:ext>
              </a:extLst>
            </xdr:cNvPr>
            <xdr:cNvGraphicFramePr/>
          </xdr:nvGraphicFramePr>
          <xdr:xfrm>
            <a:off x="0" y="0"/>
            <a:ext cx="0" cy="0"/>
          </xdr:xfrm>
          <a:graphic>
            <a:graphicData uri="http://schemas.microsoft.com/office/drawing/2010/slicer">
              <sle:slicer xmlns:sle="http://schemas.microsoft.com/office/drawing/2010/slicer" name="FisYr 1"/>
            </a:graphicData>
          </a:graphic>
        </xdr:graphicFrame>
      </mc:Choice>
      <mc:Fallback xmlns="">
        <xdr:sp macro="" textlink="">
          <xdr:nvSpPr>
            <xdr:cNvPr id="0" name=""/>
            <xdr:cNvSpPr>
              <a:spLocks noTextEdit="1"/>
            </xdr:cNvSpPr>
          </xdr:nvSpPr>
          <xdr:spPr>
            <a:xfrm>
              <a:off x="6600825" y="1571625"/>
              <a:ext cx="3219450" cy="42862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38100</xdr:colOff>
      <xdr:row>4</xdr:row>
      <xdr:rowOff>85725</xdr:rowOff>
    </xdr:from>
    <xdr:to>
      <xdr:col>8</xdr:col>
      <xdr:colOff>323850</xdr:colOff>
      <xdr:row>6</xdr:row>
      <xdr:rowOff>180975</xdr:rowOff>
    </xdr:to>
    <mc:AlternateContent xmlns:mc="http://schemas.openxmlformats.org/markup-compatibility/2006" xmlns:a14="http://schemas.microsoft.com/office/drawing/2010/main">
      <mc:Choice Requires="a14">
        <xdr:graphicFrame macro="">
          <xdr:nvGraphicFramePr>
            <xdr:cNvPr id="2" name="FinYear 3">
              <a:extLst>
                <a:ext uri="{FF2B5EF4-FFF2-40B4-BE49-F238E27FC236}">
                  <a16:creationId xmlns:a16="http://schemas.microsoft.com/office/drawing/2014/main" id="{1806E7A4-6DD5-498D-9241-BD3534945C35}"/>
                </a:ext>
              </a:extLst>
            </xdr:cNvPr>
            <xdr:cNvGraphicFramePr/>
          </xdr:nvGraphicFramePr>
          <xdr:xfrm>
            <a:off x="0" y="0"/>
            <a:ext cx="0" cy="0"/>
          </xdr:xfrm>
          <a:graphic>
            <a:graphicData uri="http://schemas.microsoft.com/office/drawing/2010/slicer">
              <sle:slicer xmlns:sle="http://schemas.microsoft.com/office/drawing/2010/slicer" name="FinYear 3"/>
            </a:graphicData>
          </a:graphic>
        </xdr:graphicFrame>
      </mc:Choice>
      <mc:Fallback xmlns="">
        <xdr:sp macro="" textlink="">
          <xdr:nvSpPr>
            <xdr:cNvPr id="0" name=""/>
            <xdr:cNvSpPr>
              <a:spLocks noTextEdit="1"/>
            </xdr:cNvSpPr>
          </xdr:nvSpPr>
          <xdr:spPr>
            <a:xfrm>
              <a:off x="5153025" y="1095375"/>
              <a:ext cx="2771775" cy="4857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133349</xdr:colOff>
      <xdr:row>7</xdr:row>
      <xdr:rowOff>47626</xdr:rowOff>
    </xdr:from>
    <xdr:to>
      <xdr:col>5</xdr:col>
      <xdr:colOff>1400174</xdr:colOff>
      <xdr:row>10</xdr:row>
      <xdr:rowOff>85726</xdr:rowOff>
    </xdr:to>
    <mc:AlternateContent xmlns:mc="http://schemas.openxmlformats.org/markup-compatibility/2006" xmlns:a14="http://schemas.microsoft.com/office/drawing/2010/main">
      <mc:Choice Requires="a14">
        <xdr:graphicFrame macro="">
          <xdr:nvGraphicFramePr>
            <xdr:cNvPr id="2" name="FinYear 2">
              <a:extLst>
                <a:ext uri="{FF2B5EF4-FFF2-40B4-BE49-F238E27FC236}">
                  <a16:creationId xmlns:a16="http://schemas.microsoft.com/office/drawing/2014/main" id="{EEB5131D-326F-4DB9-B639-48EDFABBA93B}"/>
                </a:ext>
              </a:extLst>
            </xdr:cNvPr>
            <xdr:cNvGraphicFramePr/>
          </xdr:nvGraphicFramePr>
          <xdr:xfrm>
            <a:off x="0" y="0"/>
            <a:ext cx="0" cy="0"/>
          </xdr:xfrm>
          <a:graphic>
            <a:graphicData uri="http://schemas.microsoft.com/office/drawing/2010/slicer">
              <sle:slicer xmlns:sle="http://schemas.microsoft.com/office/drawing/2010/slicer" name="FinYear 2"/>
            </a:graphicData>
          </a:graphic>
        </xdr:graphicFrame>
      </mc:Choice>
      <mc:Fallback xmlns="">
        <xdr:sp macro="" textlink="">
          <xdr:nvSpPr>
            <xdr:cNvPr id="0" name=""/>
            <xdr:cNvSpPr>
              <a:spLocks noTextEdit="1"/>
            </xdr:cNvSpPr>
          </xdr:nvSpPr>
          <xdr:spPr>
            <a:xfrm>
              <a:off x="5353049" y="1381126"/>
              <a:ext cx="2771775" cy="6096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oneCellAnchor>
    <xdr:from>
      <xdr:col>7</xdr:col>
      <xdr:colOff>47625</xdr:colOff>
      <xdr:row>2</xdr:row>
      <xdr:rowOff>219075</xdr:rowOff>
    </xdr:from>
    <xdr:ext cx="4991100" cy="447675"/>
    <mc:AlternateContent xmlns:mc="http://schemas.openxmlformats.org/markup-compatibility/2006" xmlns:a14="http://schemas.microsoft.com/office/drawing/2010/main">
      <mc:Choice Requires="a14">
        <xdr:graphicFrame macro="">
          <xdr:nvGraphicFramePr>
            <xdr:cNvPr id="3" name="Year2 1">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microsoft.com/office/drawing/2010/slicer">
              <sle:slicer xmlns:sle="http://schemas.microsoft.com/office/drawing/2010/slicer" name="Year2 1"/>
            </a:graphicData>
          </a:graphic>
        </xdr:graphicFrame>
      </mc:Choice>
      <mc:Fallback xmlns="">
        <xdr:sp macro="" textlink="">
          <xdr:nvSpPr>
            <xdr:cNvPr id="0" name=""/>
            <xdr:cNvSpPr>
              <a:spLocks noTextEdit="1"/>
            </xdr:cNvSpPr>
          </xdr:nvSpPr>
          <xdr:spPr>
            <a:xfrm>
              <a:off x="6515100" y="647700"/>
              <a:ext cx="4991100"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23.xml><?xml version="1.0" encoding="utf-8"?>
<xdr:wsDr xmlns:xdr="http://schemas.openxmlformats.org/drawingml/2006/spreadsheetDrawing" xmlns:a="http://schemas.openxmlformats.org/drawingml/2006/main">
  <xdr:twoCellAnchor editAs="oneCell">
    <xdr:from>
      <xdr:col>1</xdr:col>
      <xdr:colOff>333374</xdr:colOff>
      <xdr:row>13</xdr:row>
      <xdr:rowOff>161926</xdr:rowOff>
    </xdr:from>
    <xdr:to>
      <xdr:col>3</xdr:col>
      <xdr:colOff>1228724</xdr:colOff>
      <xdr:row>16</xdr:row>
      <xdr:rowOff>28576</xdr:rowOff>
    </xdr:to>
    <mc:AlternateContent xmlns:mc="http://schemas.openxmlformats.org/markup-compatibility/2006" xmlns:a14="http://schemas.microsoft.com/office/drawing/2010/main">
      <mc:Choice Requires="a14">
        <xdr:graphicFrame macro="">
          <xdr:nvGraphicFramePr>
            <xdr:cNvPr id="2" name="FinYr 7">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microsoft.com/office/drawing/2010/slicer">
              <sle:slicer xmlns:sle="http://schemas.microsoft.com/office/drawing/2010/slicer" name="FinYr 7"/>
            </a:graphicData>
          </a:graphic>
        </xdr:graphicFrame>
      </mc:Choice>
      <mc:Fallback xmlns="">
        <xdr:sp macro="" textlink="">
          <xdr:nvSpPr>
            <xdr:cNvPr id="0" name=""/>
            <xdr:cNvSpPr>
              <a:spLocks noTextEdit="1"/>
            </xdr:cNvSpPr>
          </xdr:nvSpPr>
          <xdr:spPr>
            <a:xfrm>
              <a:off x="4448174" y="2257426"/>
              <a:ext cx="4200525"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571499</xdr:colOff>
      <xdr:row>16</xdr:row>
      <xdr:rowOff>66675</xdr:rowOff>
    </xdr:from>
    <xdr:to>
      <xdr:col>15</xdr:col>
      <xdr:colOff>66674</xdr:colOff>
      <xdr:row>19</xdr:row>
      <xdr:rowOff>0</xdr:rowOff>
    </xdr:to>
    <mc:AlternateContent xmlns:mc="http://schemas.openxmlformats.org/markup-compatibility/2006" xmlns:a14="http://schemas.microsoft.com/office/drawing/2010/main">
      <mc:Choice Requires="a14">
        <xdr:graphicFrame macro="">
          <xdr:nvGraphicFramePr>
            <xdr:cNvPr id="2" name="FinYr">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microsoft.com/office/drawing/2010/slicer">
              <sle:slicer xmlns:sle="http://schemas.microsoft.com/office/drawing/2010/slicer" name="FinYr"/>
            </a:graphicData>
          </a:graphic>
        </xdr:graphicFrame>
      </mc:Choice>
      <mc:Fallback xmlns="">
        <xdr:sp macro="" textlink="">
          <xdr:nvSpPr>
            <xdr:cNvPr id="0" name=""/>
            <xdr:cNvSpPr>
              <a:spLocks noTextEdit="1"/>
            </xdr:cNvSpPr>
          </xdr:nvSpPr>
          <xdr:spPr>
            <a:xfrm>
              <a:off x="6886574" y="3114675"/>
              <a:ext cx="5591175" cy="5048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552450</xdr:colOff>
      <xdr:row>2</xdr:row>
      <xdr:rowOff>161925</xdr:rowOff>
    </xdr:from>
    <xdr:to>
      <xdr:col>8</xdr:col>
      <xdr:colOff>457200</xdr:colOff>
      <xdr:row>4</xdr:row>
      <xdr:rowOff>28575</xdr:rowOff>
    </xdr:to>
    <mc:AlternateContent xmlns:mc="http://schemas.openxmlformats.org/markup-compatibility/2006" xmlns:a14="http://schemas.microsoft.com/office/drawing/2010/main">
      <mc:Choice Requires="a14">
        <xdr:graphicFrame macro="">
          <xdr:nvGraphicFramePr>
            <xdr:cNvPr id="5" name="FinYr 31">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microsoft.com/office/drawing/2010/slicer">
              <sle:slicer xmlns:sle="http://schemas.microsoft.com/office/drawing/2010/slicer" name="FinYr 31"/>
            </a:graphicData>
          </a:graphic>
        </xdr:graphicFrame>
      </mc:Choice>
      <mc:Fallback xmlns="">
        <xdr:sp macro="" textlink="">
          <xdr:nvSpPr>
            <xdr:cNvPr id="0" name=""/>
            <xdr:cNvSpPr>
              <a:spLocks noTextEdit="1"/>
            </xdr:cNvSpPr>
          </xdr:nvSpPr>
          <xdr:spPr>
            <a:xfrm>
              <a:off x="5534025" y="552450"/>
              <a:ext cx="4200525"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628650</xdr:colOff>
      <xdr:row>3</xdr:row>
      <xdr:rowOff>19050</xdr:rowOff>
    </xdr:from>
    <xdr:to>
      <xdr:col>10</xdr:col>
      <xdr:colOff>438150</xdr:colOff>
      <xdr:row>4</xdr:row>
      <xdr:rowOff>114300</xdr:rowOff>
    </xdr:to>
    <mc:AlternateContent xmlns:mc="http://schemas.openxmlformats.org/markup-compatibility/2006" xmlns:a14="http://schemas.microsoft.com/office/drawing/2010/main">
      <mc:Choice Requires="a14">
        <xdr:graphicFrame macro="">
          <xdr:nvGraphicFramePr>
            <xdr:cNvPr id="2" name="FinYr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microsoft.com/office/drawing/2010/slicer">
              <sle:slicer xmlns:sle="http://schemas.microsoft.com/office/drawing/2010/slicer" name="FinYr 1"/>
            </a:graphicData>
          </a:graphic>
        </xdr:graphicFrame>
      </mc:Choice>
      <mc:Fallback xmlns="">
        <xdr:sp macro="" textlink="">
          <xdr:nvSpPr>
            <xdr:cNvPr id="0" name=""/>
            <xdr:cNvSpPr>
              <a:spLocks noTextEdit="1"/>
            </xdr:cNvSpPr>
          </xdr:nvSpPr>
          <xdr:spPr>
            <a:xfrm>
              <a:off x="4943475" y="676275"/>
              <a:ext cx="4391025" cy="4857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2</xdr:colOff>
      <xdr:row>3</xdr:row>
      <xdr:rowOff>0</xdr:rowOff>
    </xdr:from>
    <xdr:to>
      <xdr:col>8</xdr:col>
      <xdr:colOff>838201</xdr:colOff>
      <xdr:row>4</xdr:row>
      <xdr:rowOff>28575</xdr:rowOff>
    </xdr:to>
    <mc:AlternateContent xmlns:mc="http://schemas.openxmlformats.org/markup-compatibility/2006" xmlns:a14="http://schemas.microsoft.com/office/drawing/2010/main">
      <mc:Choice Requires="a14">
        <xdr:graphicFrame macro="">
          <xdr:nvGraphicFramePr>
            <xdr:cNvPr id="2" name="FinYr 3">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microsoft.com/office/drawing/2010/slicer">
              <sle:slicer xmlns:sle="http://schemas.microsoft.com/office/drawing/2010/slicer" name="FinYr 3"/>
            </a:graphicData>
          </a:graphic>
        </xdr:graphicFrame>
      </mc:Choice>
      <mc:Fallback xmlns="">
        <xdr:sp macro="" textlink="">
          <xdr:nvSpPr>
            <xdr:cNvPr id="0" name=""/>
            <xdr:cNvSpPr>
              <a:spLocks noTextEdit="1"/>
            </xdr:cNvSpPr>
          </xdr:nvSpPr>
          <xdr:spPr>
            <a:xfrm>
              <a:off x="4267202" y="600075"/>
              <a:ext cx="5172074"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85725</xdr:colOff>
      <xdr:row>18</xdr:row>
      <xdr:rowOff>123825</xdr:rowOff>
    </xdr:from>
    <xdr:to>
      <xdr:col>9</xdr:col>
      <xdr:colOff>9525</xdr:colOff>
      <xdr:row>20</xdr:row>
      <xdr:rowOff>0</xdr:rowOff>
    </xdr:to>
    <mc:AlternateContent xmlns:mc="http://schemas.openxmlformats.org/markup-compatibility/2006" xmlns:a14="http://schemas.microsoft.com/office/drawing/2010/main">
      <mc:Choice Requires="a14">
        <xdr:graphicFrame macro="">
          <xdr:nvGraphicFramePr>
            <xdr:cNvPr id="3" name="FinYr 5">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microsoft.com/office/drawing/2010/slicer">
              <sle:slicer xmlns:sle="http://schemas.microsoft.com/office/drawing/2010/slicer" name="FinYr 5"/>
            </a:graphicData>
          </a:graphic>
        </xdr:graphicFrame>
      </mc:Choice>
      <mc:Fallback xmlns="">
        <xdr:sp macro="" textlink="">
          <xdr:nvSpPr>
            <xdr:cNvPr id="0" name=""/>
            <xdr:cNvSpPr>
              <a:spLocks noTextEdit="1"/>
            </xdr:cNvSpPr>
          </xdr:nvSpPr>
          <xdr:spPr>
            <a:xfrm>
              <a:off x="4352925" y="4381500"/>
              <a:ext cx="5200650"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295274</xdr:colOff>
      <xdr:row>3</xdr:row>
      <xdr:rowOff>57150</xdr:rowOff>
    </xdr:from>
    <xdr:to>
      <xdr:col>10</xdr:col>
      <xdr:colOff>285750</xdr:colOff>
      <xdr:row>4</xdr:row>
      <xdr:rowOff>76200</xdr:rowOff>
    </xdr:to>
    <mc:AlternateContent xmlns:mc="http://schemas.openxmlformats.org/markup-compatibility/2006" xmlns:a14="http://schemas.microsoft.com/office/drawing/2010/main">
      <mc:Choice Requires="a14">
        <xdr:graphicFrame macro="">
          <xdr:nvGraphicFramePr>
            <xdr:cNvPr id="4" name="FinYr 29">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microsoft.com/office/drawing/2010/slicer">
              <sle:slicer xmlns:sle="http://schemas.microsoft.com/office/drawing/2010/slicer" name="FinYr 29"/>
            </a:graphicData>
          </a:graphic>
        </xdr:graphicFrame>
      </mc:Choice>
      <mc:Fallback xmlns="">
        <xdr:sp macro="" textlink="">
          <xdr:nvSpPr>
            <xdr:cNvPr id="0" name=""/>
            <xdr:cNvSpPr>
              <a:spLocks noTextEdit="1"/>
            </xdr:cNvSpPr>
          </xdr:nvSpPr>
          <xdr:spPr>
            <a:xfrm>
              <a:off x="4219574" y="657225"/>
              <a:ext cx="4848226" cy="495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476250</xdr:colOff>
      <xdr:row>8</xdr:row>
      <xdr:rowOff>28576</xdr:rowOff>
    </xdr:from>
    <xdr:to>
      <xdr:col>7</xdr:col>
      <xdr:colOff>942975</xdr:colOff>
      <xdr:row>10</xdr:row>
      <xdr:rowOff>104775</xdr:rowOff>
    </xdr:to>
    <mc:AlternateContent xmlns:mc="http://schemas.openxmlformats.org/markup-compatibility/2006" xmlns:a14="http://schemas.microsoft.com/office/drawing/2010/main">
      <mc:Choice Requires="a14">
        <xdr:graphicFrame macro="">
          <xdr:nvGraphicFramePr>
            <xdr:cNvPr id="5" name="Year">
              <a:extLst>
                <a:ext uri="{FF2B5EF4-FFF2-40B4-BE49-F238E27FC236}">
                  <a16:creationId xmlns:a16="http://schemas.microsoft.com/office/drawing/2014/main" id="{00000000-0008-0000-1900-00000500000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981325" y="1552576"/>
              <a:ext cx="4638675" cy="457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428625</xdr:colOff>
      <xdr:row>16</xdr:row>
      <xdr:rowOff>76200</xdr:rowOff>
    </xdr:from>
    <xdr:to>
      <xdr:col>8</xdr:col>
      <xdr:colOff>476250</xdr:colOff>
      <xdr:row>18</xdr:row>
      <xdr:rowOff>142875</xdr:rowOff>
    </xdr:to>
    <mc:AlternateContent xmlns:mc="http://schemas.openxmlformats.org/markup-compatibility/2006" xmlns:a14="http://schemas.microsoft.com/office/drawing/2010/main">
      <mc:Choice Requires="a14">
        <xdr:graphicFrame macro="">
          <xdr:nvGraphicFramePr>
            <xdr:cNvPr id="7" name="Year2">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microsoft.com/office/drawing/2010/slicer">
              <sle:slicer xmlns:sle="http://schemas.microsoft.com/office/drawing/2010/slicer" name="Year2"/>
            </a:graphicData>
          </a:graphic>
        </xdr:graphicFrame>
      </mc:Choice>
      <mc:Fallback xmlns="">
        <xdr:sp macro="" textlink="">
          <xdr:nvSpPr>
            <xdr:cNvPr id="0" name=""/>
            <xdr:cNvSpPr>
              <a:spLocks noTextEdit="1"/>
            </xdr:cNvSpPr>
          </xdr:nvSpPr>
          <xdr:spPr>
            <a:xfrm>
              <a:off x="2933700" y="3124200"/>
              <a:ext cx="5372100"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400050</xdr:colOff>
      <xdr:row>25</xdr:row>
      <xdr:rowOff>142875</xdr:rowOff>
    </xdr:from>
    <xdr:to>
      <xdr:col>8</xdr:col>
      <xdr:colOff>161925</xdr:colOff>
      <xdr:row>28</xdr:row>
      <xdr:rowOff>152400</xdr:rowOff>
    </xdr:to>
    <mc:AlternateContent xmlns:mc="http://schemas.openxmlformats.org/markup-compatibility/2006" xmlns:a14="http://schemas.microsoft.com/office/drawing/2010/main">
      <mc:Choice Requires="a14">
        <xdr:graphicFrame macro="">
          <xdr:nvGraphicFramePr>
            <xdr:cNvPr id="2" name="FinYear">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microsoft.com/office/drawing/2010/slicer">
              <sle:slicer xmlns:sle="http://schemas.microsoft.com/office/drawing/2010/slicer" name="FinYear"/>
            </a:graphicData>
          </a:graphic>
        </xdr:graphicFrame>
      </mc:Choice>
      <mc:Fallback xmlns="">
        <xdr:sp macro="" textlink="">
          <xdr:nvSpPr>
            <xdr:cNvPr id="0" name=""/>
            <xdr:cNvSpPr>
              <a:spLocks noTextEdit="1"/>
            </xdr:cNvSpPr>
          </xdr:nvSpPr>
          <xdr:spPr>
            <a:xfrm>
              <a:off x="1981200" y="4905375"/>
              <a:ext cx="5086350" cy="5810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485775</xdr:colOff>
      <xdr:row>1</xdr:row>
      <xdr:rowOff>19051</xdr:rowOff>
    </xdr:from>
    <xdr:to>
      <xdr:col>7</xdr:col>
      <xdr:colOff>190500</xdr:colOff>
      <xdr:row>3</xdr:row>
      <xdr:rowOff>85725</xdr:rowOff>
    </xdr:to>
    <mc:AlternateContent xmlns:mc="http://schemas.openxmlformats.org/markup-compatibility/2006" xmlns:a14="http://schemas.microsoft.com/office/drawing/2010/main">
      <mc:Choice Requires="a14">
        <xdr:graphicFrame macro="">
          <xdr:nvGraphicFramePr>
            <xdr:cNvPr id="3" name="FisYr 3">
              <a:extLst>
                <a:ext uri="{FF2B5EF4-FFF2-40B4-BE49-F238E27FC236}">
                  <a16:creationId xmlns:a16="http://schemas.microsoft.com/office/drawing/2014/main" id="{A7403DF1-1727-4A4E-BDC0-058A9F548B0F}"/>
                </a:ext>
              </a:extLst>
            </xdr:cNvPr>
            <xdr:cNvGraphicFramePr/>
          </xdr:nvGraphicFramePr>
          <xdr:xfrm>
            <a:off x="0" y="0"/>
            <a:ext cx="0" cy="0"/>
          </xdr:xfrm>
          <a:graphic>
            <a:graphicData uri="http://schemas.microsoft.com/office/drawing/2010/slicer">
              <sle:slicer xmlns:sle="http://schemas.microsoft.com/office/drawing/2010/slicer" name="FisYr 3"/>
            </a:graphicData>
          </a:graphic>
        </xdr:graphicFrame>
      </mc:Choice>
      <mc:Fallback xmlns="">
        <xdr:sp macro="" textlink="">
          <xdr:nvSpPr>
            <xdr:cNvPr id="0" name=""/>
            <xdr:cNvSpPr>
              <a:spLocks noTextEdit="1"/>
            </xdr:cNvSpPr>
          </xdr:nvSpPr>
          <xdr:spPr>
            <a:xfrm>
              <a:off x="3581400" y="209551"/>
              <a:ext cx="2152650"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1000124</xdr:colOff>
      <xdr:row>7</xdr:row>
      <xdr:rowOff>57151</xdr:rowOff>
    </xdr:from>
    <xdr:to>
      <xdr:col>7</xdr:col>
      <xdr:colOff>971549</xdr:colOff>
      <xdr:row>9</xdr:row>
      <xdr:rowOff>180975</xdr:rowOff>
    </xdr:to>
    <mc:AlternateContent xmlns:mc="http://schemas.openxmlformats.org/markup-compatibility/2006" xmlns:a14="http://schemas.microsoft.com/office/drawing/2010/main">
      <mc:Choice Requires="a14">
        <xdr:graphicFrame macro="">
          <xdr:nvGraphicFramePr>
            <xdr:cNvPr id="2" name="FinYr 2">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microsoft.com/office/drawing/2010/slicer">
              <sle:slicer xmlns:sle="http://schemas.microsoft.com/office/drawing/2010/slicer" name="FinYr 2"/>
            </a:graphicData>
          </a:graphic>
        </xdr:graphicFrame>
      </mc:Choice>
      <mc:Fallback xmlns="">
        <xdr:sp macro="" textlink="">
          <xdr:nvSpPr>
            <xdr:cNvPr id="0" name=""/>
            <xdr:cNvSpPr>
              <a:spLocks noTextEdit="1"/>
            </xdr:cNvSpPr>
          </xdr:nvSpPr>
          <xdr:spPr>
            <a:xfrm>
              <a:off x="3228974" y="1390651"/>
              <a:ext cx="6886575" cy="5048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952500</xdr:colOff>
      <xdr:row>17</xdr:row>
      <xdr:rowOff>152400</xdr:rowOff>
    </xdr:from>
    <xdr:to>
      <xdr:col>5</xdr:col>
      <xdr:colOff>981076</xdr:colOff>
      <xdr:row>20</xdr:row>
      <xdr:rowOff>28575</xdr:rowOff>
    </xdr:to>
    <mc:AlternateContent xmlns:mc="http://schemas.openxmlformats.org/markup-compatibility/2006" xmlns:a14="http://schemas.microsoft.com/office/drawing/2010/main">
      <mc:Choice Requires="a14">
        <xdr:graphicFrame macro="">
          <xdr:nvGraphicFramePr>
            <xdr:cNvPr id="3" name="FinYr 4">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microsoft.com/office/drawing/2010/slicer">
              <sle:slicer xmlns:sle="http://schemas.microsoft.com/office/drawing/2010/slicer" name="FinYr 4"/>
            </a:graphicData>
          </a:graphic>
        </xdr:graphicFrame>
      </mc:Choice>
      <mc:Fallback xmlns="">
        <xdr:sp macro="" textlink="">
          <xdr:nvSpPr>
            <xdr:cNvPr id="0" name=""/>
            <xdr:cNvSpPr>
              <a:spLocks noTextEdit="1"/>
            </xdr:cNvSpPr>
          </xdr:nvSpPr>
          <xdr:spPr>
            <a:xfrm>
              <a:off x="2657475" y="3390900"/>
              <a:ext cx="5495926"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1019174</xdr:colOff>
      <xdr:row>30</xdr:row>
      <xdr:rowOff>95251</xdr:rowOff>
    </xdr:from>
    <xdr:to>
      <xdr:col>6</xdr:col>
      <xdr:colOff>209550</xdr:colOff>
      <xdr:row>33</xdr:row>
      <xdr:rowOff>114300</xdr:rowOff>
    </xdr:to>
    <mc:AlternateContent xmlns:mc="http://schemas.openxmlformats.org/markup-compatibility/2006" xmlns:a14="http://schemas.microsoft.com/office/drawing/2010/main">
      <mc:Choice Requires="a14">
        <xdr:graphicFrame macro="">
          <xdr:nvGraphicFramePr>
            <xdr:cNvPr id="4" name="FinYr 6">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microsoft.com/office/drawing/2010/slicer">
              <sle:slicer xmlns:sle="http://schemas.microsoft.com/office/drawing/2010/slicer" name="FinYr 6"/>
            </a:graphicData>
          </a:graphic>
        </xdr:graphicFrame>
      </mc:Choice>
      <mc:Fallback xmlns="">
        <xdr:sp macro="" textlink="">
          <xdr:nvSpPr>
            <xdr:cNvPr id="0" name=""/>
            <xdr:cNvSpPr>
              <a:spLocks noTextEdit="1"/>
            </xdr:cNvSpPr>
          </xdr:nvSpPr>
          <xdr:spPr>
            <a:xfrm>
              <a:off x="4190999" y="5810251"/>
              <a:ext cx="4572001" cy="5905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533400</xdr:colOff>
      <xdr:row>38</xdr:row>
      <xdr:rowOff>161926</xdr:rowOff>
    </xdr:from>
    <xdr:to>
      <xdr:col>6</xdr:col>
      <xdr:colOff>1143000</xdr:colOff>
      <xdr:row>40</xdr:row>
      <xdr:rowOff>180976</xdr:rowOff>
    </xdr:to>
    <mc:AlternateContent xmlns:mc="http://schemas.openxmlformats.org/markup-compatibility/2006" xmlns:a14="http://schemas.microsoft.com/office/drawing/2010/main">
      <mc:Choice Requires="a14">
        <xdr:graphicFrame macro="">
          <xdr:nvGraphicFramePr>
            <xdr:cNvPr id="5" name="FinYr 28">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microsoft.com/office/drawing/2010/slicer">
              <sle:slicer xmlns:sle="http://schemas.microsoft.com/office/drawing/2010/slicer" name="FinYr 28"/>
            </a:graphicData>
          </a:graphic>
        </xdr:graphicFrame>
      </mc:Choice>
      <mc:Fallback xmlns="">
        <xdr:sp macro="" textlink="">
          <xdr:nvSpPr>
            <xdr:cNvPr id="0" name=""/>
            <xdr:cNvSpPr>
              <a:spLocks noTextEdit="1"/>
            </xdr:cNvSpPr>
          </xdr:nvSpPr>
          <xdr:spPr>
            <a:xfrm>
              <a:off x="5086350" y="7400926"/>
              <a:ext cx="4610100"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295276</xdr:colOff>
      <xdr:row>3</xdr:row>
      <xdr:rowOff>19050</xdr:rowOff>
    </xdr:from>
    <xdr:to>
      <xdr:col>9</xdr:col>
      <xdr:colOff>333375</xdr:colOff>
      <xdr:row>4</xdr:row>
      <xdr:rowOff>19050</xdr:rowOff>
    </xdr:to>
    <mc:AlternateContent xmlns:mc="http://schemas.openxmlformats.org/markup-compatibility/2006" xmlns:a14="http://schemas.microsoft.com/office/drawing/2010/main">
      <mc:Choice Requires="a14">
        <xdr:graphicFrame macro="">
          <xdr:nvGraphicFramePr>
            <xdr:cNvPr id="2" name="FinYr 9">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microsoft.com/office/drawing/2010/slicer">
              <sle:slicer xmlns:sle="http://schemas.microsoft.com/office/drawing/2010/slicer" name="FinYr 9"/>
            </a:graphicData>
          </a:graphic>
        </xdr:graphicFrame>
      </mc:Choice>
      <mc:Fallback xmlns="">
        <xdr:sp macro="" textlink="">
          <xdr:nvSpPr>
            <xdr:cNvPr id="0" name=""/>
            <xdr:cNvSpPr>
              <a:spLocks noTextEdit="1"/>
            </xdr:cNvSpPr>
          </xdr:nvSpPr>
          <xdr:spPr>
            <a:xfrm>
              <a:off x="6029326" y="619125"/>
              <a:ext cx="4286249"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247650</xdr:colOff>
      <xdr:row>0</xdr:row>
      <xdr:rowOff>114300</xdr:rowOff>
    </xdr:from>
    <xdr:to>
      <xdr:col>11</xdr:col>
      <xdr:colOff>247650</xdr:colOff>
      <xdr:row>13</xdr:row>
      <xdr:rowOff>161925</xdr:rowOff>
    </xdr:to>
    <mc:AlternateContent xmlns:mc="http://schemas.openxmlformats.org/markup-compatibility/2006" xmlns:a14="http://schemas.microsoft.com/office/drawing/2010/main">
      <mc:Choice Requires="a14">
        <xdr:graphicFrame macro="">
          <xdr:nvGraphicFramePr>
            <xdr:cNvPr id="3" name="lvl">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microsoft.com/office/drawing/2010/slicer">
              <sle:slicer xmlns:sle="http://schemas.microsoft.com/office/drawing/2010/slicer" name="lvl"/>
            </a:graphicData>
          </a:graphic>
        </xdr:graphicFrame>
      </mc:Choice>
      <mc:Fallback xmlns="">
        <xdr:sp macro="" textlink="">
          <xdr:nvSpPr>
            <xdr:cNvPr id="0" name=""/>
            <xdr:cNvSpPr>
              <a:spLocks noTextEdit="1"/>
            </xdr:cNvSpPr>
          </xdr:nvSpPr>
          <xdr:spPr>
            <a:xfrm>
              <a:off x="14211300" y="1143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0</xdr:rowOff>
    </xdr:from>
    <xdr:to>
      <xdr:col>1</xdr:col>
      <xdr:colOff>866775</xdr:colOff>
      <xdr:row>11</xdr:row>
      <xdr:rowOff>95250</xdr:rowOff>
    </xdr:to>
    <mc:AlternateContent xmlns:mc="http://schemas.openxmlformats.org/markup-compatibility/2006" xmlns:a14="http://schemas.microsoft.com/office/drawing/2010/main">
      <mc:Choice Requires="a14">
        <xdr:graphicFrame macro="">
          <xdr:nvGraphicFramePr>
            <xdr:cNvPr id="4" name="FinYr 8">
              <a:extLst>
                <a:ext uri="{FF2B5EF4-FFF2-40B4-BE49-F238E27FC236}">
                  <a16:creationId xmlns:a16="http://schemas.microsoft.com/office/drawing/2014/main" id="{00000000-0008-0000-2200-000004000000}"/>
                </a:ext>
              </a:extLst>
            </xdr:cNvPr>
            <xdr:cNvGraphicFramePr/>
          </xdr:nvGraphicFramePr>
          <xdr:xfrm>
            <a:off x="0" y="0"/>
            <a:ext cx="0" cy="0"/>
          </xdr:xfrm>
          <a:graphic>
            <a:graphicData uri="http://schemas.microsoft.com/office/drawing/2010/slicer">
              <sle:slicer xmlns:sle="http://schemas.microsoft.com/office/drawing/2010/slicer" name="FinYr 8"/>
            </a:graphicData>
          </a:graphic>
        </xdr:graphicFrame>
      </mc:Choice>
      <mc:Fallback xmlns="">
        <xdr:sp macro="" textlink="">
          <xdr:nvSpPr>
            <xdr:cNvPr id="0" name=""/>
            <xdr:cNvSpPr>
              <a:spLocks noTextEdit="1"/>
            </xdr:cNvSpPr>
          </xdr:nvSpPr>
          <xdr:spPr>
            <a:xfrm>
              <a:off x="0" y="1714500"/>
              <a:ext cx="4981575"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476250</xdr:colOff>
      <xdr:row>3</xdr:row>
      <xdr:rowOff>57150</xdr:rowOff>
    </xdr:from>
    <xdr:to>
      <xdr:col>11</xdr:col>
      <xdr:colOff>266700</xdr:colOff>
      <xdr:row>4</xdr:row>
      <xdr:rowOff>0</xdr:rowOff>
    </xdr:to>
    <mc:AlternateContent xmlns:mc="http://schemas.openxmlformats.org/markup-compatibility/2006" xmlns:a14="http://schemas.microsoft.com/office/drawing/2010/main">
      <mc:Choice Requires="a14">
        <xdr:graphicFrame macro="">
          <xdr:nvGraphicFramePr>
            <xdr:cNvPr id="4" name="FinYr 32">
              <a:extLst>
                <a:ext uri="{FF2B5EF4-FFF2-40B4-BE49-F238E27FC236}">
                  <a16:creationId xmlns:a16="http://schemas.microsoft.com/office/drawing/2014/main" id="{00000000-0008-0000-1E00-000004000000}"/>
                </a:ext>
              </a:extLst>
            </xdr:cNvPr>
            <xdr:cNvGraphicFramePr/>
          </xdr:nvGraphicFramePr>
          <xdr:xfrm>
            <a:off x="0" y="0"/>
            <a:ext cx="0" cy="0"/>
          </xdr:xfrm>
          <a:graphic>
            <a:graphicData uri="http://schemas.microsoft.com/office/drawing/2010/slicer">
              <sle:slicer xmlns:sle="http://schemas.microsoft.com/office/drawing/2010/slicer" name="FinYr 32"/>
            </a:graphicData>
          </a:graphic>
        </xdr:graphicFrame>
      </mc:Choice>
      <mc:Fallback xmlns="">
        <xdr:sp macro="" textlink="">
          <xdr:nvSpPr>
            <xdr:cNvPr id="0" name=""/>
            <xdr:cNvSpPr>
              <a:spLocks noTextEdit="1"/>
            </xdr:cNvSpPr>
          </xdr:nvSpPr>
          <xdr:spPr>
            <a:xfrm>
              <a:off x="4552950" y="657225"/>
              <a:ext cx="51625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3752850</xdr:colOff>
      <xdr:row>3</xdr:row>
      <xdr:rowOff>0</xdr:rowOff>
    </xdr:from>
    <xdr:to>
      <xdr:col>7</xdr:col>
      <xdr:colOff>685800</xdr:colOff>
      <xdr:row>4</xdr:row>
      <xdr:rowOff>57150</xdr:rowOff>
    </xdr:to>
    <mc:AlternateContent xmlns:mc="http://schemas.openxmlformats.org/markup-compatibility/2006" xmlns:a14="http://schemas.microsoft.com/office/drawing/2010/main">
      <mc:Choice Requires="a14">
        <xdr:graphicFrame macro="">
          <xdr:nvGraphicFramePr>
            <xdr:cNvPr id="2" name="FinYr 1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microsoft.com/office/drawing/2010/slicer">
              <sle:slicer xmlns:sle="http://schemas.microsoft.com/office/drawing/2010/slicer" name="FinYr 11"/>
            </a:graphicData>
          </a:graphic>
        </xdr:graphicFrame>
      </mc:Choice>
      <mc:Fallback xmlns="">
        <xdr:sp macro="" textlink="">
          <xdr:nvSpPr>
            <xdr:cNvPr id="0" name=""/>
            <xdr:cNvSpPr>
              <a:spLocks noTextEdit="1"/>
            </xdr:cNvSpPr>
          </xdr:nvSpPr>
          <xdr:spPr>
            <a:xfrm>
              <a:off x="4905375" y="600075"/>
              <a:ext cx="4552949" cy="45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3695700</xdr:colOff>
      <xdr:row>16</xdr:row>
      <xdr:rowOff>57150</xdr:rowOff>
    </xdr:from>
    <xdr:to>
      <xdr:col>7</xdr:col>
      <xdr:colOff>228600</xdr:colOff>
      <xdr:row>16</xdr:row>
      <xdr:rowOff>466725</xdr:rowOff>
    </xdr:to>
    <mc:AlternateContent xmlns:mc="http://schemas.openxmlformats.org/markup-compatibility/2006" xmlns:a14="http://schemas.microsoft.com/office/drawing/2010/main">
      <mc:Choice Requires="a14">
        <xdr:graphicFrame macro="">
          <xdr:nvGraphicFramePr>
            <xdr:cNvPr id="4" name="FinYr 13">
              <a:extLst>
                <a:ext uri="{FF2B5EF4-FFF2-40B4-BE49-F238E27FC236}">
                  <a16:creationId xmlns:a16="http://schemas.microsoft.com/office/drawing/2014/main" id="{00000000-0008-0000-1F00-000004000000}"/>
                </a:ext>
              </a:extLst>
            </xdr:cNvPr>
            <xdr:cNvGraphicFramePr/>
          </xdr:nvGraphicFramePr>
          <xdr:xfrm>
            <a:off x="0" y="0"/>
            <a:ext cx="0" cy="0"/>
          </xdr:xfrm>
          <a:graphic>
            <a:graphicData uri="http://schemas.microsoft.com/office/drawing/2010/slicer">
              <sle:slicer xmlns:sle="http://schemas.microsoft.com/office/drawing/2010/slicer" name="FinYr 13"/>
            </a:graphicData>
          </a:graphic>
        </xdr:graphicFrame>
      </mc:Choice>
      <mc:Fallback xmlns="">
        <xdr:sp macro="" textlink="">
          <xdr:nvSpPr>
            <xdr:cNvPr id="0" name=""/>
            <xdr:cNvSpPr>
              <a:spLocks noTextEdit="1"/>
            </xdr:cNvSpPr>
          </xdr:nvSpPr>
          <xdr:spPr>
            <a:xfrm>
              <a:off x="4848225" y="3914775"/>
              <a:ext cx="4686300"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476250</xdr:colOff>
      <xdr:row>2</xdr:row>
      <xdr:rowOff>47626</xdr:rowOff>
    </xdr:from>
    <xdr:to>
      <xdr:col>9</xdr:col>
      <xdr:colOff>600075</xdr:colOff>
      <xdr:row>4</xdr:row>
      <xdr:rowOff>19050</xdr:rowOff>
    </xdr:to>
    <mc:AlternateContent xmlns:mc="http://schemas.openxmlformats.org/markup-compatibility/2006" xmlns:a14="http://schemas.microsoft.com/office/drawing/2010/main">
      <mc:Choice Requires="a14">
        <xdr:graphicFrame macro="">
          <xdr:nvGraphicFramePr>
            <xdr:cNvPr id="2" name="FinYr 17">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microsoft.com/office/drawing/2010/slicer">
              <sle:slicer xmlns:sle="http://schemas.microsoft.com/office/drawing/2010/slicer" name="FinYr 17"/>
            </a:graphicData>
          </a:graphic>
        </xdr:graphicFrame>
      </mc:Choice>
      <mc:Fallback xmlns="">
        <xdr:sp macro="" textlink="">
          <xdr:nvSpPr>
            <xdr:cNvPr id="0" name=""/>
            <xdr:cNvSpPr>
              <a:spLocks noTextEdit="1"/>
            </xdr:cNvSpPr>
          </xdr:nvSpPr>
          <xdr:spPr>
            <a:xfrm>
              <a:off x="2143125" y="438151"/>
              <a:ext cx="4933950"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733423</xdr:colOff>
      <xdr:row>0</xdr:row>
      <xdr:rowOff>152402</xdr:rowOff>
    </xdr:from>
    <xdr:to>
      <xdr:col>9</xdr:col>
      <xdr:colOff>552450</xdr:colOff>
      <xdr:row>3</xdr:row>
      <xdr:rowOff>0</xdr:rowOff>
    </xdr:to>
    <mc:AlternateContent xmlns:mc="http://schemas.openxmlformats.org/markup-compatibility/2006" xmlns:a14="http://schemas.microsoft.com/office/drawing/2010/main">
      <mc:Choice Requires="a14">
        <xdr:graphicFrame macro="">
          <xdr:nvGraphicFramePr>
            <xdr:cNvPr id="3" name="FinYr 25">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microsoft.com/office/drawing/2010/slicer">
              <sle:slicer xmlns:sle="http://schemas.microsoft.com/office/drawing/2010/slicer" name="FinYr 25"/>
            </a:graphicData>
          </a:graphic>
        </xdr:graphicFrame>
      </mc:Choice>
      <mc:Fallback xmlns="">
        <xdr:sp macro="" textlink="">
          <xdr:nvSpPr>
            <xdr:cNvPr id="0" name=""/>
            <xdr:cNvSpPr>
              <a:spLocks noTextEdit="1"/>
            </xdr:cNvSpPr>
          </xdr:nvSpPr>
          <xdr:spPr>
            <a:xfrm>
              <a:off x="5286373" y="152402"/>
              <a:ext cx="5429252" cy="41909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1200149</xdr:colOff>
      <xdr:row>8</xdr:row>
      <xdr:rowOff>47625</xdr:rowOff>
    </xdr:from>
    <xdr:to>
      <xdr:col>6</xdr:col>
      <xdr:colOff>838200</xdr:colOff>
      <xdr:row>10</xdr:row>
      <xdr:rowOff>142875</xdr:rowOff>
    </xdr:to>
    <mc:AlternateContent xmlns:mc="http://schemas.openxmlformats.org/markup-compatibility/2006" xmlns:a14="http://schemas.microsoft.com/office/drawing/2010/main">
      <mc:Choice Requires="a14">
        <xdr:graphicFrame macro="">
          <xdr:nvGraphicFramePr>
            <xdr:cNvPr id="2" name="FinYr 10">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microsoft.com/office/drawing/2010/slicer">
              <sle:slicer xmlns:sle="http://schemas.microsoft.com/office/drawing/2010/slicer" name="FinYr 10"/>
            </a:graphicData>
          </a:graphic>
        </xdr:graphicFrame>
      </mc:Choice>
      <mc:Fallback xmlns="">
        <xdr:sp macro="" textlink="">
          <xdr:nvSpPr>
            <xdr:cNvPr id="0" name=""/>
            <xdr:cNvSpPr>
              <a:spLocks noTextEdit="1"/>
            </xdr:cNvSpPr>
          </xdr:nvSpPr>
          <xdr:spPr>
            <a:xfrm>
              <a:off x="3067049" y="1571625"/>
              <a:ext cx="5448301"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609600</xdr:colOff>
      <xdr:row>22</xdr:row>
      <xdr:rowOff>38100</xdr:rowOff>
    </xdr:from>
    <xdr:to>
      <xdr:col>4</xdr:col>
      <xdr:colOff>371475</xdr:colOff>
      <xdr:row>25</xdr:row>
      <xdr:rowOff>142875</xdr:rowOff>
    </xdr:to>
    <mc:AlternateContent xmlns:mc="http://schemas.openxmlformats.org/markup-compatibility/2006" xmlns:a14="http://schemas.microsoft.com/office/drawing/2010/main">
      <mc:Choice Requires="a14">
        <xdr:graphicFrame macro="">
          <xdr:nvGraphicFramePr>
            <xdr:cNvPr id="3" name="FinYr 1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microsoft.com/office/drawing/2010/slicer">
              <sle:slicer xmlns:sle="http://schemas.microsoft.com/office/drawing/2010/slicer" name="FinYr 12"/>
            </a:graphicData>
          </a:graphic>
        </xdr:graphicFrame>
      </mc:Choice>
      <mc:Fallback xmlns="">
        <xdr:sp macro="" textlink="">
          <xdr:nvSpPr>
            <xdr:cNvPr id="0" name=""/>
            <xdr:cNvSpPr>
              <a:spLocks noTextEdit="1"/>
            </xdr:cNvSpPr>
          </xdr:nvSpPr>
          <xdr:spPr>
            <a:xfrm>
              <a:off x="1485900" y="4229100"/>
              <a:ext cx="4076700" cy="6762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723899</xdr:colOff>
      <xdr:row>16</xdr:row>
      <xdr:rowOff>47626</xdr:rowOff>
    </xdr:from>
    <xdr:to>
      <xdr:col>8</xdr:col>
      <xdr:colOff>180975</xdr:colOff>
      <xdr:row>18</xdr:row>
      <xdr:rowOff>104775</xdr:rowOff>
    </xdr:to>
    <mc:AlternateContent xmlns:mc="http://schemas.openxmlformats.org/markup-compatibility/2006" xmlns:a14="http://schemas.microsoft.com/office/drawing/2010/main">
      <mc:Choice Requires="a14">
        <xdr:graphicFrame macro="">
          <xdr:nvGraphicFramePr>
            <xdr:cNvPr id="2" name="FinYr 14">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microsoft.com/office/drawing/2010/slicer">
              <sle:slicer xmlns:sle="http://schemas.microsoft.com/office/drawing/2010/slicer" name="FinYr 14"/>
            </a:graphicData>
          </a:graphic>
        </xdr:graphicFrame>
      </mc:Choice>
      <mc:Fallback xmlns="">
        <xdr:sp macro="" textlink="">
          <xdr:nvSpPr>
            <xdr:cNvPr id="0" name=""/>
            <xdr:cNvSpPr>
              <a:spLocks noTextEdit="1"/>
            </xdr:cNvSpPr>
          </xdr:nvSpPr>
          <xdr:spPr>
            <a:xfrm>
              <a:off x="3152774" y="3095626"/>
              <a:ext cx="4124326"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514350</xdr:colOff>
      <xdr:row>16</xdr:row>
      <xdr:rowOff>47625</xdr:rowOff>
    </xdr:from>
    <xdr:to>
      <xdr:col>11</xdr:col>
      <xdr:colOff>581025</xdr:colOff>
      <xdr:row>19</xdr:row>
      <xdr:rowOff>9524</xdr:rowOff>
    </xdr:to>
    <mc:AlternateContent xmlns:mc="http://schemas.openxmlformats.org/markup-compatibility/2006" xmlns:a14="http://schemas.microsoft.com/office/drawing/2010/main">
      <mc:Choice Requires="a14">
        <xdr:graphicFrame macro="">
          <xdr:nvGraphicFramePr>
            <xdr:cNvPr id="2" name="FinYr 16">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microsoft.com/office/drawing/2010/slicer">
              <sle:slicer xmlns:sle="http://schemas.microsoft.com/office/drawing/2010/slicer" name="FinYr 16"/>
            </a:graphicData>
          </a:graphic>
        </xdr:graphicFrame>
      </mc:Choice>
      <mc:Fallback xmlns="">
        <xdr:sp macro="" textlink="">
          <xdr:nvSpPr>
            <xdr:cNvPr id="0" name=""/>
            <xdr:cNvSpPr>
              <a:spLocks noTextEdit="1"/>
            </xdr:cNvSpPr>
          </xdr:nvSpPr>
          <xdr:spPr>
            <a:xfrm>
              <a:off x="3152775" y="3095625"/>
              <a:ext cx="5133975" cy="5333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390525</xdr:colOff>
      <xdr:row>2</xdr:row>
      <xdr:rowOff>95251</xdr:rowOff>
    </xdr:from>
    <xdr:to>
      <xdr:col>5</xdr:col>
      <xdr:colOff>752476</xdr:colOff>
      <xdr:row>4</xdr:row>
      <xdr:rowOff>95251</xdr:rowOff>
    </xdr:to>
    <mc:AlternateContent xmlns:mc="http://schemas.openxmlformats.org/markup-compatibility/2006" xmlns:a14="http://schemas.microsoft.com/office/drawing/2010/main">
      <mc:Choice Requires="a14">
        <xdr:graphicFrame macro="">
          <xdr:nvGraphicFramePr>
            <xdr:cNvPr id="3" name="FisYr 32">
              <a:extLst>
                <a:ext uri="{FF2B5EF4-FFF2-40B4-BE49-F238E27FC236}">
                  <a16:creationId xmlns:a16="http://schemas.microsoft.com/office/drawing/2014/main" id="{845B169F-83E4-46B7-BD39-98F84B4C2BC9}"/>
                </a:ext>
              </a:extLst>
            </xdr:cNvPr>
            <xdr:cNvGraphicFramePr/>
          </xdr:nvGraphicFramePr>
          <xdr:xfrm>
            <a:off x="0" y="0"/>
            <a:ext cx="0" cy="0"/>
          </xdr:xfrm>
          <a:graphic>
            <a:graphicData uri="http://schemas.microsoft.com/office/drawing/2010/slicer">
              <sle:slicer xmlns:sle="http://schemas.microsoft.com/office/drawing/2010/slicer" name="FisYr 32"/>
            </a:graphicData>
          </a:graphic>
        </xdr:graphicFrame>
      </mc:Choice>
      <mc:Fallback xmlns="">
        <xdr:sp macro="" textlink="">
          <xdr:nvSpPr>
            <xdr:cNvPr id="0" name=""/>
            <xdr:cNvSpPr>
              <a:spLocks noTextEdit="1"/>
            </xdr:cNvSpPr>
          </xdr:nvSpPr>
          <xdr:spPr>
            <a:xfrm>
              <a:off x="3905250" y="495301"/>
              <a:ext cx="2209801"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895350</xdr:colOff>
      <xdr:row>2</xdr:row>
      <xdr:rowOff>47625</xdr:rowOff>
    </xdr:from>
    <xdr:to>
      <xdr:col>7</xdr:col>
      <xdr:colOff>57150</xdr:colOff>
      <xdr:row>4</xdr:row>
      <xdr:rowOff>95249</xdr:rowOff>
    </xdr:to>
    <mc:AlternateContent xmlns:mc="http://schemas.openxmlformats.org/markup-compatibility/2006" xmlns:a14="http://schemas.microsoft.com/office/drawing/2010/main">
      <mc:Choice Requires="a14">
        <xdr:graphicFrame macro="">
          <xdr:nvGraphicFramePr>
            <xdr:cNvPr id="2" name="FinYr 15">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microsoft.com/office/drawing/2010/slicer">
              <sle:slicer xmlns:sle="http://schemas.microsoft.com/office/drawing/2010/slicer" name="FinYr 15"/>
            </a:graphicData>
          </a:graphic>
        </xdr:graphicFrame>
      </mc:Choice>
      <mc:Fallback xmlns="">
        <xdr:sp macro="" textlink="">
          <xdr:nvSpPr>
            <xdr:cNvPr id="0" name=""/>
            <xdr:cNvSpPr>
              <a:spLocks noTextEdit="1"/>
            </xdr:cNvSpPr>
          </xdr:nvSpPr>
          <xdr:spPr>
            <a:xfrm>
              <a:off x="3352800" y="438150"/>
              <a:ext cx="4124326"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714375</xdr:colOff>
      <xdr:row>2</xdr:row>
      <xdr:rowOff>133351</xdr:rowOff>
    </xdr:from>
    <xdr:to>
      <xdr:col>8</xdr:col>
      <xdr:colOff>533400</xdr:colOff>
      <xdr:row>4</xdr:row>
      <xdr:rowOff>161926</xdr:rowOff>
    </xdr:to>
    <mc:AlternateContent xmlns:mc="http://schemas.openxmlformats.org/markup-compatibility/2006" xmlns:a14="http://schemas.microsoft.com/office/drawing/2010/main">
      <mc:Choice Requires="a14">
        <xdr:graphicFrame macro="">
          <xdr:nvGraphicFramePr>
            <xdr:cNvPr id="3" name="FinYr 19">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microsoft.com/office/drawing/2010/slicer">
              <sle:slicer xmlns:sle="http://schemas.microsoft.com/office/drawing/2010/slicer" name="FinYr 19"/>
            </a:graphicData>
          </a:graphic>
        </xdr:graphicFrame>
      </mc:Choice>
      <mc:Fallback xmlns="">
        <xdr:sp macro="" textlink="">
          <xdr:nvSpPr>
            <xdr:cNvPr id="0" name=""/>
            <xdr:cNvSpPr>
              <a:spLocks noTextEdit="1"/>
            </xdr:cNvSpPr>
          </xdr:nvSpPr>
          <xdr:spPr>
            <a:xfrm>
              <a:off x="4095750" y="523876"/>
              <a:ext cx="4619625"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333374</xdr:colOff>
      <xdr:row>16</xdr:row>
      <xdr:rowOff>38101</xdr:rowOff>
    </xdr:from>
    <xdr:to>
      <xdr:col>11</xdr:col>
      <xdr:colOff>180975</xdr:colOff>
      <xdr:row>18</xdr:row>
      <xdr:rowOff>152400</xdr:rowOff>
    </xdr:to>
    <mc:AlternateContent xmlns:mc="http://schemas.openxmlformats.org/markup-compatibility/2006" xmlns:a14="http://schemas.microsoft.com/office/drawing/2010/main">
      <mc:Choice Requires="a14">
        <xdr:graphicFrame macro="">
          <xdr:nvGraphicFramePr>
            <xdr:cNvPr id="2" name="FinYr 18">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microsoft.com/office/drawing/2010/slicer">
              <sle:slicer xmlns:sle="http://schemas.microsoft.com/office/drawing/2010/slicer" name="FinYr 18"/>
            </a:graphicData>
          </a:graphic>
        </xdr:graphicFrame>
      </mc:Choice>
      <mc:Fallback xmlns="">
        <xdr:sp macro="" textlink="">
          <xdr:nvSpPr>
            <xdr:cNvPr id="0" name=""/>
            <xdr:cNvSpPr>
              <a:spLocks noTextEdit="1"/>
            </xdr:cNvSpPr>
          </xdr:nvSpPr>
          <xdr:spPr>
            <a:xfrm>
              <a:off x="4371974" y="3086101"/>
              <a:ext cx="4114801" cy="4952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400050</xdr:colOff>
      <xdr:row>2</xdr:row>
      <xdr:rowOff>133350</xdr:rowOff>
    </xdr:from>
    <xdr:to>
      <xdr:col>9</xdr:col>
      <xdr:colOff>47625</xdr:colOff>
      <xdr:row>4</xdr:row>
      <xdr:rowOff>152399</xdr:rowOff>
    </xdr:to>
    <mc:AlternateContent xmlns:mc="http://schemas.openxmlformats.org/markup-compatibility/2006" xmlns:a14="http://schemas.microsoft.com/office/drawing/2010/main">
      <mc:Choice Requires="a14">
        <xdr:graphicFrame macro="">
          <xdr:nvGraphicFramePr>
            <xdr:cNvPr id="2" name="FinYr 2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microsoft.com/office/drawing/2010/slicer">
              <sle:slicer xmlns:sle="http://schemas.microsoft.com/office/drawing/2010/slicer" name="FinYr 21"/>
            </a:graphicData>
          </a:graphic>
        </xdr:graphicFrame>
      </mc:Choice>
      <mc:Fallback xmlns="">
        <xdr:sp macro="" textlink="">
          <xdr:nvSpPr>
            <xdr:cNvPr id="0" name=""/>
            <xdr:cNvSpPr>
              <a:spLocks noTextEdit="1"/>
            </xdr:cNvSpPr>
          </xdr:nvSpPr>
          <xdr:spPr>
            <a:xfrm>
              <a:off x="3381375" y="523875"/>
              <a:ext cx="4819650"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323850</xdr:colOff>
      <xdr:row>27</xdr:row>
      <xdr:rowOff>0</xdr:rowOff>
    </xdr:from>
    <xdr:to>
      <xdr:col>8</xdr:col>
      <xdr:colOff>781050</xdr:colOff>
      <xdr:row>29</xdr:row>
      <xdr:rowOff>47624</xdr:rowOff>
    </xdr:to>
    <mc:AlternateContent xmlns:mc="http://schemas.openxmlformats.org/markup-compatibility/2006" xmlns:a14="http://schemas.microsoft.com/office/drawing/2010/main">
      <mc:Choice Requires="a14">
        <xdr:graphicFrame macro="">
          <xdr:nvGraphicFramePr>
            <xdr:cNvPr id="4" name="FinYr 24">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microsoft.com/office/drawing/2010/slicer">
              <sle:slicer xmlns:sle="http://schemas.microsoft.com/office/drawing/2010/slicer" name="FinYr 24"/>
            </a:graphicData>
          </a:graphic>
        </xdr:graphicFrame>
      </mc:Choice>
      <mc:Fallback xmlns="">
        <xdr:sp macro="" textlink="">
          <xdr:nvSpPr>
            <xdr:cNvPr id="0" name=""/>
            <xdr:cNvSpPr>
              <a:spLocks noTextEdit="1"/>
            </xdr:cNvSpPr>
          </xdr:nvSpPr>
          <xdr:spPr>
            <a:xfrm>
              <a:off x="3305175" y="5324475"/>
              <a:ext cx="4762500"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923924</xdr:colOff>
      <xdr:row>19</xdr:row>
      <xdr:rowOff>1</xdr:rowOff>
    </xdr:from>
    <xdr:to>
      <xdr:col>9</xdr:col>
      <xdr:colOff>9524</xdr:colOff>
      <xdr:row>21</xdr:row>
      <xdr:rowOff>66675</xdr:rowOff>
    </xdr:to>
    <mc:AlternateContent xmlns:mc="http://schemas.openxmlformats.org/markup-compatibility/2006" xmlns:a14="http://schemas.microsoft.com/office/drawing/2010/main">
      <mc:Choice Requires="a14">
        <xdr:graphicFrame macro="">
          <xdr:nvGraphicFramePr>
            <xdr:cNvPr id="2" name="FinYr 20">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microsoft.com/office/drawing/2010/slicer">
              <sle:slicer xmlns:sle="http://schemas.microsoft.com/office/drawing/2010/slicer" name="FinYr 20"/>
            </a:graphicData>
          </a:graphic>
        </xdr:graphicFrame>
      </mc:Choice>
      <mc:Fallback xmlns="">
        <xdr:sp macro="" textlink="">
          <xdr:nvSpPr>
            <xdr:cNvPr id="0" name=""/>
            <xdr:cNvSpPr>
              <a:spLocks noTextEdit="1"/>
            </xdr:cNvSpPr>
          </xdr:nvSpPr>
          <xdr:spPr>
            <a:xfrm>
              <a:off x="3238499" y="3619501"/>
              <a:ext cx="4410075"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847725</xdr:colOff>
      <xdr:row>2</xdr:row>
      <xdr:rowOff>171450</xdr:rowOff>
    </xdr:from>
    <xdr:to>
      <xdr:col>5</xdr:col>
      <xdr:colOff>923924</xdr:colOff>
      <xdr:row>4</xdr:row>
      <xdr:rowOff>171450</xdr:rowOff>
    </xdr:to>
    <mc:AlternateContent xmlns:mc="http://schemas.openxmlformats.org/markup-compatibility/2006" xmlns:a14="http://schemas.microsoft.com/office/drawing/2010/main">
      <mc:Choice Requires="a14">
        <xdr:graphicFrame macro="">
          <xdr:nvGraphicFramePr>
            <xdr:cNvPr id="2" name="FinYr 23">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microsoft.com/office/drawing/2010/slicer">
              <sle:slicer xmlns:sle="http://schemas.microsoft.com/office/drawing/2010/slicer" name="FinYr 23"/>
            </a:graphicData>
          </a:graphic>
        </xdr:graphicFrame>
      </mc:Choice>
      <mc:Fallback xmlns="">
        <xdr:sp macro="" textlink="">
          <xdr:nvSpPr>
            <xdr:cNvPr id="0" name=""/>
            <xdr:cNvSpPr>
              <a:spLocks noTextEdit="1"/>
            </xdr:cNvSpPr>
          </xdr:nvSpPr>
          <xdr:spPr>
            <a:xfrm>
              <a:off x="3362325" y="561975"/>
              <a:ext cx="2800349"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371475</xdr:colOff>
      <xdr:row>26</xdr:row>
      <xdr:rowOff>9525</xdr:rowOff>
    </xdr:from>
    <xdr:to>
      <xdr:col>5</xdr:col>
      <xdr:colOff>895350</xdr:colOff>
      <xdr:row>28</xdr:row>
      <xdr:rowOff>28575</xdr:rowOff>
    </xdr:to>
    <mc:AlternateContent xmlns:mc="http://schemas.openxmlformats.org/markup-compatibility/2006" xmlns:a14="http://schemas.microsoft.com/office/drawing/2010/main">
      <mc:Choice Requires="a14">
        <xdr:graphicFrame macro="">
          <xdr:nvGraphicFramePr>
            <xdr:cNvPr id="3" name="FinYr 30">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microsoft.com/office/drawing/2010/slicer">
              <sle:slicer xmlns:sle="http://schemas.microsoft.com/office/drawing/2010/slicer" name="FinYr 30"/>
            </a:graphicData>
          </a:graphic>
        </xdr:graphicFrame>
      </mc:Choice>
      <mc:Fallback xmlns="">
        <xdr:sp macro="" textlink="">
          <xdr:nvSpPr>
            <xdr:cNvPr id="0" name=""/>
            <xdr:cNvSpPr>
              <a:spLocks noTextEdit="1"/>
            </xdr:cNvSpPr>
          </xdr:nvSpPr>
          <xdr:spPr>
            <a:xfrm>
              <a:off x="3829050" y="5534025"/>
              <a:ext cx="2305050"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838200</xdr:colOff>
      <xdr:row>16</xdr:row>
      <xdr:rowOff>47625</xdr:rowOff>
    </xdr:from>
    <xdr:to>
      <xdr:col>6</xdr:col>
      <xdr:colOff>123826</xdr:colOff>
      <xdr:row>19</xdr:row>
      <xdr:rowOff>19050</xdr:rowOff>
    </xdr:to>
    <mc:AlternateContent xmlns:mc="http://schemas.openxmlformats.org/markup-compatibility/2006" xmlns:a14="http://schemas.microsoft.com/office/drawing/2010/main">
      <mc:Choice Requires="a14">
        <xdr:graphicFrame macro="">
          <xdr:nvGraphicFramePr>
            <xdr:cNvPr id="2" name="FinYr 22">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microsoft.com/office/drawing/2010/slicer">
              <sle:slicer xmlns:sle="http://schemas.microsoft.com/office/drawing/2010/slicer" name="FinYr 22"/>
            </a:graphicData>
          </a:graphic>
        </xdr:graphicFrame>
      </mc:Choice>
      <mc:Fallback xmlns="">
        <xdr:sp macro="" textlink="">
          <xdr:nvSpPr>
            <xdr:cNvPr id="0" name=""/>
            <xdr:cNvSpPr>
              <a:spLocks noTextEdit="1"/>
            </xdr:cNvSpPr>
          </xdr:nvSpPr>
          <xdr:spPr>
            <a:xfrm>
              <a:off x="3152775" y="3095625"/>
              <a:ext cx="2219326" cy="5429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314123</xdr:colOff>
      <xdr:row>5</xdr:row>
      <xdr:rowOff>20266</xdr:rowOff>
    </xdr:from>
    <xdr:to>
      <xdr:col>5</xdr:col>
      <xdr:colOff>803748</xdr:colOff>
      <xdr:row>7</xdr:row>
      <xdr:rowOff>30399</xdr:rowOff>
    </xdr:to>
    <mc:AlternateContent xmlns:mc="http://schemas.openxmlformats.org/markup-compatibility/2006" xmlns:a14="http://schemas.microsoft.com/office/drawing/2010/main">
      <mc:Choice Requires="a14">
        <xdr:graphicFrame macro="">
          <xdr:nvGraphicFramePr>
            <xdr:cNvPr id="2" name="FisYr 26">
              <a:extLst>
                <a:ext uri="{FF2B5EF4-FFF2-40B4-BE49-F238E27FC236}">
                  <a16:creationId xmlns:a16="http://schemas.microsoft.com/office/drawing/2014/main" id="{B1DDA123-5D69-46AC-8D57-64AE9CF43D75}"/>
                </a:ext>
              </a:extLst>
            </xdr:cNvPr>
            <xdr:cNvGraphicFramePr/>
          </xdr:nvGraphicFramePr>
          <xdr:xfrm>
            <a:off x="0" y="0"/>
            <a:ext cx="0" cy="0"/>
          </xdr:xfrm>
          <a:graphic>
            <a:graphicData uri="http://schemas.microsoft.com/office/drawing/2010/slicer">
              <sle:slicer xmlns:sle="http://schemas.microsoft.com/office/drawing/2010/slicer" name="FisYr 26"/>
            </a:graphicData>
          </a:graphic>
        </xdr:graphicFrame>
      </mc:Choice>
      <mc:Fallback xmlns="">
        <xdr:sp macro="" textlink="">
          <xdr:nvSpPr>
            <xdr:cNvPr id="0" name=""/>
            <xdr:cNvSpPr>
              <a:spLocks noTextEdit="1"/>
            </xdr:cNvSpPr>
          </xdr:nvSpPr>
          <xdr:spPr>
            <a:xfrm>
              <a:off x="4056775" y="1011251"/>
              <a:ext cx="2163715" cy="4142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344521</xdr:colOff>
      <xdr:row>34</xdr:row>
      <xdr:rowOff>20265</xdr:rowOff>
    </xdr:from>
    <xdr:to>
      <xdr:col>6</xdr:col>
      <xdr:colOff>412209</xdr:colOff>
      <xdr:row>36</xdr:row>
      <xdr:rowOff>101329</xdr:rowOff>
    </xdr:to>
    <mc:AlternateContent xmlns:mc="http://schemas.openxmlformats.org/markup-compatibility/2006" xmlns:a14="http://schemas.microsoft.com/office/drawing/2010/main">
      <mc:Choice Requires="a14">
        <xdr:graphicFrame macro="">
          <xdr:nvGraphicFramePr>
            <xdr:cNvPr id="3" name="FisYr 27">
              <a:extLst>
                <a:ext uri="{FF2B5EF4-FFF2-40B4-BE49-F238E27FC236}">
                  <a16:creationId xmlns:a16="http://schemas.microsoft.com/office/drawing/2014/main" id="{1DD6FF87-70FB-4E47-8408-71B87755B688}"/>
                </a:ext>
              </a:extLst>
            </xdr:cNvPr>
            <xdr:cNvGraphicFramePr/>
          </xdr:nvGraphicFramePr>
          <xdr:xfrm>
            <a:off x="0" y="0"/>
            <a:ext cx="0" cy="0"/>
          </xdr:xfrm>
          <a:graphic>
            <a:graphicData uri="http://schemas.microsoft.com/office/drawing/2010/slicer">
              <sle:slicer xmlns:sle="http://schemas.microsoft.com/office/drawing/2010/slicer" name="FisYr 27"/>
            </a:graphicData>
          </a:graphic>
        </xdr:graphicFrame>
      </mc:Choice>
      <mc:Fallback xmlns="">
        <xdr:sp macro="" textlink="">
          <xdr:nvSpPr>
            <xdr:cNvPr id="0" name=""/>
            <xdr:cNvSpPr>
              <a:spLocks noTextEdit="1"/>
            </xdr:cNvSpPr>
          </xdr:nvSpPr>
          <xdr:spPr>
            <a:xfrm>
              <a:off x="4087173" y="7216932"/>
              <a:ext cx="2578824" cy="46591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91198</xdr:colOff>
      <xdr:row>49</xdr:row>
      <xdr:rowOff>111463</xdr:rowOff>
    </xdr:from>
    <xdr:to>
      <xdr:col>5</xdr:col>
      <xdr:colOff>590348</xdr:colOff>
      <xdr:row>51</xdr:row>
      <xdr:rowOff>134768</xdr:rowOff>
    </xdr:to>
    <mc:AlternateContent xmlns:mc="http://schemas.openxmlformats.org/markup-compatibility/2006" xmlns:a14="http://schemas.microsoft.com/office/drawing/2010/main">
      <mc:Choice Requires="a14">
        <xdr:graphicFrame macro="">
          <xdr:nvGraphicFramePr>
            <xdr:cNvPr id="4" name="FinYear 6">
              <a:extLst>
                <a:ext uri="{FF2B5EF4-FFF2-40B4-BE49-F238E27FC236}">
                  <a16:creationId xmlns:a16="http://schemas.microsoft.com/office/drawing/2014/main" id="{2FCC37F6-D8D4-4A27-9F74-48D18A76D1D3}"/>
                </a:ext>
              </a:extLst>
            </xdr:cNvPr>
            <xdr:cNvGraphicFramePr/>
          </xdr:nvGraphicFramePr>
          <xdr:xfrm>
            <a:off x="0" y="0"/>
            <a:ext cx="0" cy="0"/>
          </xdr:xfrm>
          <a:graphic>
            <a:graphicData uri="http://schemas.microsoft.com/office/drawing/2010/slicer">
              <sle:slicer xmlns:sle="http://schemas.microsoft.com/office/drawing/2010/slicer" name="FinYear 6"/>
            </a:graphicData>
          </a:graphic>
        </xdr:graphicFrame>
      </mc:Choice>
      <mc:Fallback xmlns="">
        <xdr:sp macro="" textlink="">
          <xdr:nvSpPr>
            <xdr:cNvPr id="0" name=""/>
            <xdr:cNvSpPr>
              <a:spLocks noTextEdit="1"/>
            </xdr:cNvSpPr>
          </xdr:nvSpPr>
          <xdr:spPr>
            <a:xfrm>
              <a:off x="3833850" y="10819872"/>
              <a:ext cx="2173240" cy="42739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0</xdr:colOff>
      <xdr:row>62</xdr:row>
      <xdr:rowOff>0</xdr:rowOff>
    </xdr:from>
    <xdr:to>
      <xdr:col>6</xdr:col>
      <xdr:colOff>432476</xdr:colOff>
      <xdr:row>64</xdr:row>
      <xdr:rowOff>42356</xdr:rowOff>
    </xdr:to>
    <mc:AlternateContent xmlns:mc="http://schemas.openxmlformats.org/markup-compatibility/2006" xmlns:a14="http://schemas.microsoft.com/office/drawing/2010/main">
      <mc:Choice Requires="a14">
        <xdr:graphicFrame macro="">
          <xdr:nvGraphicFramePr>
            <xdr:cNvPr id="5" name="FinYear 7">
              <a:extLst>
                <a:ext uri="{FF2B5EF4-FFF2-40B4-BE49-F238E27FC236}">
                  <a16:creationId xmlns:a16="http://schemas.microsoft.com/office/drawing/2014/main" id="{1A8654D4-DF7C-4BB3-B669-3EAFBA6856FF}"/>
                </a:ext>
              </a:extLst>
            </xdr:cNvPr>
            <xdr:cNvGraphicFramePr/>
          </xdr:nvGraphicFramePr>
          <xdr:xfrm>
            <a:off x="0" y="0"/>
            <a:ext cx="0" cy="0"/>
          </xdr:xfrm>
          <a:graphic>
            <a:graphicData uri="http://schemas.microsoft.com/office/drawing/2010/slicer">
              <sle:slicer xmlns:sle="http://schemas.microsoft.com/office/drawing/2010/slicer" name="FinYear 7"/>
            </a:graphicData>
          </a:graphic>
        </xdr:graphicFrame>
      </mc:Choice>
      <mc:Fallback xmlns="">
        <xdr:sp macro="" textlink="">
          <xdr:nvSpPr>
            <xdr:cNvPr id="0" name=""/>
            <xdr:cNvSpPr>
              <a:spLocks noTextEdit="1"/>
            </xdr:cNvSpPr>
          </xdr:nvSpPr>
          <xdr:spPr>
            <a:xfrm>
              <a:off x="4579697" y="13816061"/>
              <a:ext cx="2106567" cy="44644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8.xml><?xml version="1.0" encoding="utf-8"?>
<xdr:wsDr xmlns:xdr="http://schemas.openxmlformats.org/drawingml/2006/spreadsheetDrawing" xmlns:a="http://schemas.openxmlformats.org/drawingml/2006/main">
  <xdr:twoCellAnchor editAs="oneCell">
    <xdr:from>
      <xdr:col>5</xdr:col>
      <xdr:colOff>238124</xdr:colOff>
      <xdr:row>9</xdr:row>
      <xdr:rowOff>9525</xdr:rowOff>
    </xdr:from>
    <xdr:to>
      <xdr:col>8</xdr:col>
      <xdr:colOff>542925</xdr:colOff>
      <xdr:row>11</xdr:row>
      <xdr:rowOff>76200</xdr:rowOff>
    </xdr:to>
    <mc:AlternateContent xmlns:mc="http://schemas.openxmlformats.org/markup-compatibility/2006" xmlns:a14="http://schemas.microsoft.com/office/drawing/2010/main">
      <mc:Choice Requires="a14">
        <xdr:graphicFrame macro="">
          <xdr:nvGraphicFramePr>
            <xdr:cNvPr id="3" name="FinYear 4">
              <a:extLst>
                <a:ext uri="{FF2B5EF4-FFF2-40B4-BE49-F238E27FC236}">
                  <a16:creationId xmlns:a16="http://schemas.microsoft.com/office/drawing/2014/main" id="{45827E57-F53A-4552-90BA-BA51B2215D2C}"/>
                </a:ext>
              </a:extLst>
            </xdr:cNvPr>
            <xdr:cNvGraphicFramePr/>
          </xdr:nvGraphicFramePr>
          <xdr:xfrm>
            <a:off x="0" y="0"/>
            <a:ext cx="0" cy="0"/>
          </xdr:xfrm>
          <a:graphic>
            <a:graphicData uri="http://schemas.microsoft.com/office/drawing/2010/slicer">
              <sle:slicer xmlns:sle="http://schemas.microsoft.com/office/drawing/2010/slicer" name="FinYear 4"/>
            </a:graphicData>
          </a:graphic>
        </xdr:graphicFrame>
      </mc:Choice>
      <mc:Fallback xmlns="">
        <xdr:sp macro="" textlink="">
          <xdr:nvSpPr>
            <xdr:cNvPr id="0" name=""/>
            <xdr:cNvSpPr>
              <a:spLocks noTextEdit="1"/>
            </xdr:cNvSpPr>
          </xdr:nvSpPr>
          <xdr:spPr>
            <a:xfrm>
              <a:off x="3295649" y="1724025"/>
              <a:ext cx="2114551"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285749</xdr:colOff>
      <xdr:row>15</xdr:row>
      <xdr:rowOff>76200</xdr:rowOff>
    </xdr:from>
    <xdr:to>
      <xdr:col>12</xdr:col>
      <xdr:colOff>38099</xdr:colOff>
      <xdr:row>17</xdr:row>
      <xdr:rowOff>123825</xdr:rowOff>
    </xdr:to>
    <mc:AlternateContent xmlns:mc="http://schemas.openxmlformats.org/markup-compatibility/2006" xmlns:a14="http://schemas.microsoft.com/office/drawing/2010/main">
      <mc:Choice Requires="a14">
        <xdr:graphicFrame macro="">
          <xdr:nvGraphicFramePr>
            <xdr:cNvPr id="4" name="FinYear 5">
              <a:extLst>
                <a:ext uri="{FF2B5EF4-FFF2-40B4-BE49-F238E27FC236}">
                  <a16:creationId xmlns:a16="http://schemas.microsoft.com/office/drawing/2014/main" id="{C7510249-9B42-4663-9287-7D4BC878BB6D}"/>
                </a:ext>
              </a:extLst>
            </xdr:cNvPr>
            <xdr:cNvGraphicFramePr/>
          </xdr:nvGraphicFramePr>
          <xdr:xfrm>
            <a:off x="0" y="0"/>
            <a:ext cx="0" cy="0"/>
          </xdr:xfrm>
          <a:graphic>
            <a:graphicData uri="http://schemas.microsoft.com/office/drawing/2010/slicer">
              <sle:slicer xmlns:sle="http://schemas.microsoft.com/office/drawing/2010/slicer" name="FinYear 5"/>
            </a:graphicData>
          </a:graphic>
        </xdr:graphicFrame>
      </mc:Choice>
      <mc:Fallback xmlns="">
        <xdr:sp macro="" textlink="">
          <xdr:nvSpPr>
            <xdr:cNvPr id="0" name=""/>
            <xdr:cNvSpPr>
              <a:spLocks noTextEdit="1"/>
            </xdr:cNvSpPr>
          </xdr:nvSpPr>
          <xdr:spPr>
            <a:xfrm>
              <a:off x="7258049" y="2933700"/>
              <a:ext cx="2181225"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0</xdr:colOff>
      <xdr:row>26</xdr:row>
      <xdr:rowOff>47625</xdr:rowOff>
    </xdr:from>
    <xdr:to>
      <xdr:col>9</xdr:col>
      <xdr:colOff>390525</xdr:colOff>
      <xdr:row>29</xdr:row>
      <xdr:rowOff>114300</xdr:rowOff>
    </xdr:to>
    <mc:AlternateContent xmlns:mc="http://schemas.openxmlformats.org/markup-compatibility/2006" xmlns:a14="http://schemas.microsoft.com/office/drawing/2010/main">
      <mc:Choice Requires="a14">
        <xdr:graphicFrame macro="">
          <xdr:nvGraphicFramePr>
            <xdr:cNvPr id="2" name="FisYr 17">
              <a:extLst>
                <a:ext uri="{FF2B5EF4-FFF2-40B4-BE49-F238E27FC236}">
                  <a16:creationId xmlns:a16="http://schemas.microsoft.com/office/drawing/2014/main" id="{F2462C4C-3463-4AEB-9F6F-26B56A508826}"/>
                </a:ext>
              </a:extLst>
            </xdr:cNvPr>
            <xdr:cNvGraphicFramePr/>
          </xdr:nvGraphicFramePr>
          <xdr:xfrm>
            <a:off x="0" y="0"/>
            <a:ext cx="0" cy="0"/>
          </xdr:xfrm>
          <a:graphic>
            <a:graphicData uri="http://schemas.microsoft.com/office/drawing/2010/slicer">
              <sle:slicer xmlns:sle="http://schemas.microsoft.com/office/drawing/2010/slicer" name="FisYr 17"/>
            </a:graphicData>
          </a:graphic>
        </xdr:graphicFrame>
      </mc:Choice>
      <mc:Fallback xmlns="">
        <xdr:sp macro="" textlink="">
          <xdr:nvSpPr>
            <xdr:cNvPr id="0" name=""/>
            <xdr:cNvSpPr>
              <a:spLocks noTextEdit="1"/>
            </xdr:cNvSpPr>
          </xdr:nvSpPr>
          <xdr:spPr>
            <a:xfrm>
              <a:off x="3324225" y="5000625"/>
              <a:ext cx="2590800" cy="6381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571500</xdr:colOff>
      <xdr:row>42</xdr:row>
      <xdr:rowOff>38101</xdr:rowOff>
    </xdr:from>
    <xdr:to>
      <xdr:col>9</xdr:col>
      <xdr:colOff>542925</xdr:colOff>
      <xdr:row>45</xdr:row>
      <xdr:rowOff>1</xdr:rowOff>
    </xdr:to>
    <mc:AlternateContent xmlns:mc="http://schemas.openxmlformats.org/markup-compatibility/2006" xmlns:a14="http://schemas.microsoft.com/office/drawing/2010/main">
      <mc:Choice Requires="a14">
        <xdr:graphicFrame macro="">
          <xdr:nvGraphicFramePr>
            <xdr:cNvPr id="7" name="FisYr 20">
              <a:extLst>
                <a:ext uri="{FF2B5EF4-FFF2-40B4-BE49-F238E27FC236}">
                  <a16:creationId xmlns:a16="http://schemas.microsoft.com/office/drawing/2014/main" id="{E018E3EB-E478-4558-A5F6-52CE842DEB8E}"/>
                </a:ext>
              </a:extLst>
            </xdr:cNvPr>
            <xdr:cNvGraphicFramePr/>
          </xdr:nvGraphicFramePr>
          <xdr:xfrm>
            <a:off x="0" y="0"/>
            <a:ext cx="0" cy="0"/>
          </xdr:xfrm>
          <a:graphic>
            <a:graphicData uri="http://schemas.microsoft.com/office/drawing/2010/slicer">
              <sle:slicer xmlns:sle="http://schemas.microsoft.com/office/drawing/2010/slicer" name="FisYr 20"/>
            </a:graphicData>
          </a:graphic>
        </xdr:graphicFrame>
      </mc:Choice>
      <mc:Fallback xmlns="">
        <xdr:sp macro="" textlink="">
          <xdr:nvSpPr>
            <xdr:cNvPr id="0" name=""/>
            <xdr:cNvSpPr>
              <a:spLocks noTextEdit="1"/>
            </xdr:cNvSpPr>
          </xdr:nvSpPr>
          <xdr:spPr>
            <a:xfrm>
              <a:off x="3895725" y="8039101"/>
              <a:ext cx="2171700" cy="533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247650</xdr:colOff>
      <xdr:row>8</xdr:row>
      <xdr:rowOff>114300</xdr:rowOff>
    </xdr:from>
    <xdr:to>
      <xdr:col>6</xdr:col>
      <xdr:colOff>609600</xdr:colOff>
      <xdr:row>11</xdr:row>
      <xdr:rowOff>0</xdr:rowOff>
    </xdr:to>
    <mc:AlternateContent xmlns:mc="http://schemas.openxmlformats.org/markup-compatibility/2006" xmlns:a14="http://schemas.microsoft.com/office/drawing/2010/main">
      <mc:Choice Requires="a14">
        <xdr:graphicFrame macro="">
          <xdr:nvGraphicFramePr>
            <xdr:cNvPr id="2" name="FisYr 28">
              <a:extLst>
                <a:ext uri="{FF2B5EF4-FFF2-40B4-BE49-F238E27FC236}">
                  <a16:creationId xmlns:a16="http://schemas.microsoft.com/office/drawing/2014/main" id="{48788555-10B7-4C85-B816-0898F3A90549}"/>
                </a:ext>
              </a:extLst>
            </xdr:cNvPr>
            <xdr:cNvGraphicFramePr/>
          </xdr:nvGraphicFramePr>
          <xdr:xfrm>
            <a:off x="0" y="0"/>
            <a:ext cx="0" cy="0"/>
          </xdr:xfrm>
          <a:graphic>
            <a:graphicData uri="http://schemas.microsoft.com/office/drawing/2010/slicer">
              <sle:slicer xmlns:sle="http://schemas.microsoft.com/office/drawing/2010/slicer" name="FisYr 28"/>
            </a:graphicData>
          </a:graphic>
        </xdr:graphicFrame>
      </mc:Choice>
      <mc:Fallback xmlns="">
        <xdr:sp macro="" textlink="">
          <xdr:nvSpPr>
            <xdr:cNvPr id="0" name=""/>
            <xdr:cNvSpPr>
              <a:spLocks noTextEdit="1"/>
            </xdr:cNvSpPr>
          </xdr:nvSpPr>
          <xdr:spPr>
            <a:xfrm>
              <a:off x="5067300" y="1695450"/>
              <a:ext cx="1981200" cy="45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295273</xdr:colOff>
      <xdr:row>0</xdr:row>
      <xdr:rowOff>171450</xdr:rowOff>
    </xdr:from>
    <xdr:to>
      <xdr:col>8</xdr:col>
      <xdr:colOff>114300</xdr:colOff>
      <xdr:row>3</xdr:row>
      <xdr:rowOff>180975</xdr:rowOff>
    </xdr:to>
    <mc:AlternateContent xmlns:mc="http://schemas.openxmlformats.org/markup-compatibility/2006" xmlns:a14="http://schemas.microsoft.com/office/drawing/2010/main">
      <mc:Choice Requires="a14">
        <xdr:graphicFrame macro="">
          <xdr:nvGraphicFramePr>
            <xdr:cNvPr id="4" name="FisYr 2">
              <a:extLst>
                <a:ext uri="{FF2B5EF4-FFF2-40B4-BE49-F238E27FC236}">
                  <a16:creationId xmlns:a16="http://schemas.microsoft.com/office/drawing/2014/main" id="{00000000-0008-0000-3700-000004000000}"/>
                </a:ext>
              </a:extLst>
            </xdr:cNvPr>
            <xdr:cNvGraphicFramePr/>
          </xdr:nvGraphicFramePr>
          <xdr:xfrm>
            <a:off x="0" y="0"/>
            <a:ext cx="0" cy="0"/>
          </xdr:xfrm>
          <a:graphic>
            <a:graphicData uri="http://schemas.microsoft.com/office/drawing/2010/slicer">
              <sle:slicer xmlns:sle="http://schemas.microsoft.com/office/drawing/2010/slicer" name="FisYr 2"/>
            </a:graphicData>
          </a:graphic>
        </xdr:graphicFrame>
      </mc:Choice>
      <mc:Fallback xmlns="">
        <xdr:sp macro="" textlink="">
          <xdr:nvSpPr>
            <xdr:cNvPr id="0" name=""/>
            <xdr:cNvSpPr>
              <a:spLocks noTextEdit="1"/>
            </xdr:cNvSpPr>
          </xdr:nvSpPr>
          <xdr:spPr>
            <a:xfrm>
              <a:off x="4991098" y="171450"/>
              <a:ext cx="4191002" cy="5810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76199</xdr:colOff>
      <xdr:row>47</xdr:row>
      <xdr:rowOff>142875</xdr:rowOff>
    </xdr:from>
    <xdr:to>
      <xdr:col>7</xdr:col>
      <xdr:colOff>438150</xdr:colOff>
      <xdr:row>50</xdr:row>
      <xdr:rowOff>76200</xdr:rowOff>
    </xdr:to>
    <mc:AlternateContent xmlns:mc="http://schemas.openxmlformats.org/markup-compatibility/2006" xmlns:a14="http://schemas.microsoft.com/office/drawing/2010/main">
      <mc:Choice Requires="a14">
        <xdr:graphicFrame macro="">
          <xdr:nvGraphicFramePr>
            <xdr:cNvPr id="2" name="FisYr 31">
              <a:extLst>
                <a:ext uri="{FF2B5EF4-FFF2-40B4-BE49-F238E27FC236}">
                  <a16:creationId xmlns:a16="http://schemas.microsoft.com/office/drawing/2014/main" id="{E1B3780A-F433-4164-B579-415371677B24}"/>
                </a:ext>
              </a:extLst>
            </xdr:cNvPr>
            <xdr:cNvGraphicFramePr/>
          </xdr:nvGraphicFramePr>
          <xdr:xfrm>
            <a:off x="0" y="0"/>
            <a:ext cx="0" cy="0"/>
          </xdr:xfrm>
          <a:graphic>
            <a:graphicData uri="http://schemas.microsoft.com/office/drawing/2010/slicer">
              <sle:slicer xmlns:sle="http://schemas.microsoft.com/office/drawing/2010/slicer" name="FisYr 31"/>
            </a:graphicData>
          </a:graphic>
        </xdr:graphicFrame>
      </mc:Choice>
      <mc:Fallback xmlns="">
        <xdr:sp macro="" textlink="">
          <xdr:nvSpPr>
            <xdr:cNvPr id="0" name=""/>
            <xdr:cNvSpPr>
              <a:spLocks noTextEdit="1"/>
            </xdr:cNvSpPr>
          </xdr:nvSpPr>
          <xdr:spPr>
            <a:xfrm>
              <a:off x="5695949" y="9096375"/>
              <a:ext cx="2209801" cy="5048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38100</xdr:colOff>
      <xdr:row>12</xdr:row>
      <xdr:rowOff>161926</xdr:rowOff>
    </xdr:from>
    <xdr:to>
      <xdr:col>7</xdr:col>
      <xdr:colOff>200025</xdr:colOff>
      <xdr:row>15</xdr:row>
      <xdr:rowOff>66676</xdr:rowOff>
    </xdr:to>
    <mc:AlternateContent xmlns:mc="http://schemas.openxmlformats.org/markup-compatibility/2006" xmlns:a14="http://schemas.microsoft.com/office/drawing/2010/main">
      <mc:Choice Requires="a14">
        <xdr:graphicFrame macro="">
          <xdr:nvGraphicFramePr>
            <xdr:cNvPr id="3" name="FisYr 21">
              <a:extLst>
                <a:ext uri="{FF2B5EF4-FFF2-40B4-BE49-F238E27FC236}">
                  <a16:creationId xmlns:a16="http://schemas.microsoft.com/office/drawing/2014/main" id="{8AF730AC-9FA2-49B8-BC1E-1F6FE2ABD8D3}"/>
                </a:ext>
              </a:extLst>
            </xdr:cNvPr>
            <xdr:cNvGraphicFramePr/>
          </xdr:nvGraphicFramePr>
          <xdr:xfrm>
            <a:off x="0" y="0"/>
            <a:ext cx="0" cy="0"/>
          </xdr:xfrm>
          <a:graphic>
            <a:graphicData uri="http://schemas.microsoft.com/office/drawing/2010/slicer">
              <sle:slicer xmlns:sle="http://schemas.microsoft.com/office/drawing/2010/slicer" name="FisYr 21"/>
            </a:graphicData>
          </a:graphic>
        </xdr:graphicFrame>
      </mc:Choice>
      <mc:Fallback xmlns="">
        <xdr:sp macro="" textlink="">
          <xdr:nvSpPr>
            <xdr:cNvPr id="0" name=""/>
            <xdr:cNvSpPr>
              <a:spLocks noTextEdit="1"/>
            </xdr:cNvSpPr>
          </xdr:nvSpPr>
          <xdr:spPr>
            <a:xfrm>
              <a:off x="3800475" y="2447926"/>
              <a:ext cx="1981200"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319090</xdr:colOff>
      <xdr:row>4</xdr:row>
      <xdr:rowOff>106818</xdr:rowOff>
    </xdr:from>
    <xdr:to>
      <xdr:col>12</xdr:col>
      <xdr:colOff>138396</xdr:colOff>
      <xdr:row>40</xdr:row>
      <xdr:rowOff>49246</xdr:rowOff>
    </xdr:to>
    <xdr:pic>
      <xdr:nvPicPr>
        <xdr:cNvPr id="4" name="Picture 3">
          <a:extLst>
            <a:ext uri="{FF2B5EF4-FFF2-40B4-BE49-F238E27FC236}">
              <a16:creationId xmlns:a16="http://schemas.microsoft.com/office/drawing/2014/main" id="{181FF01C-B045-4620-BBBD-3C6D323F9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417" y="881281"/>
          <a:ext cx="6477904" cy="6672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466725</xdr:colOff>
      <xdr:row>4</xdr:row>
      <xdr:rowOff>180975</xdr:rowOff>
    </xdr:from>
    <xdr:to>
      <xdr:col>12</xdr:col>
      <xdr:colOff>219074</xdr:colOff>
      <xdr:row>38</xdr:row>
      <xdr:rowOff>161924</xdr:rowOff>
    </xdr:to>
    <xdr:pic>
      <xdr:nvPicPr>
        <xdr:cNvPr id="3" name="Picture 2">
          <a:extLst>
            <a:ext uri="{FF2B5EF4-FFF2-40B4-BE49-F238E27FC236}">
              <a16:creationId xmlns:a16="http://schemas.microsoft.com/office/drawing/2014/main" id="{0230FC58-0FDA-450D-82C5-6897D8E41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971550"/>
          <a:ext cx="6457949" cy="645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361950</xdr:colOff>
      <xdr:row>4</xdr:row>
      <xdr:rowOff>142875</xdr:rowOff>
    </xdr:from>
    <xdr:to>
      <xdr:col>11</xdr:col>
      <xdr:colOff>457200</xdr:colOff>
      <xdr:row>26</xdr:row>
      <xdr:rowOff>66675</xdr:rowOff>
    </xdr:to>
    <xdr:pic>
      <xdr:nvPicPr>
        <xdr:cNvPr id="3" name="Picture 2">
          <a:extLst>
            <a:ext uri="{FF2B5EF4-FFF2-40B4-BE49-F238E27FC236}">
              <a16:creationId xmlns:a16="http://schemas.microsoft.com/office/drawing/2014/main" id="{07B3446A-EB80-4532-99CD-5D44E968A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933450"/>
          <a:ext cx="6191250" cy="411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5</xdr:col>
      <xdr:colOff>0</xdr:colOff>
      <xdr:row>42</xdr:row>
      <xdr:rowOff>38101</xdr:rowOff>
    </xdr:from>
    <xdr:to>
      <xdr:col>9</xdr:col>
      <xdr:colOff>571499</xdr:colOff>
      <xdr:row>57</xdr:row>
      <xdr:rowOff>123826</xdr:rowOff>
    </xdr:to>
    <xdr:graphicFrame macro="">
      <xdr:nvGraphicFramePr>
        <xdr:cNvPr id="16" name="Chart 15">
          <a:extLst>
            <a:ext uri="{FF2B5EF4-FFF2-40B4-BE49-F238E27FC236}">
              <a16:creationId xmlns:a16="http://schemas.microsoft.com/office/drawing/2014/main" id="{00000000-0008-0000-3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38101</xdr:rowOff>
    </xdr:from>
    <xdr:to>
      <xdr:col>4</xdr:col>
      <xdr:colOff>571499</xdr:colOff>
      <xdr:row>57</xdr:row>
      <xdr:rowOff>123826</xdr:rowOff>
    </xdr:to>
    <xdr:graphicFrame macro="">
      <xdr:nvGraphicFramePr>
        <xdr:cNvPr id="17" name="Chart 16">
          <a:extLst>
            <a:ext uri="{FF2B5EF4-FFF2-40B4-BE49-F238E27FC236}">
              <a16:creationId xmlns:a16="http://schemas.microsoft.com/office/drawing/2014/main" id="{00000000-0008-0000-3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42</xdr:row>
      <xdr:rowOff>47626</xdr:rowOff>
    </xdr:from>
    <xdr:to>
      <xdr:col>14</xdr:col>
      <xdr:colOff>581024</xdr:colOff>
      <xdr:row>57</xdr:row>
      <xdr:rowOff>133351</xdr:rowOff>
    </xdr:to>
    <xdr:graphicFrame macro="">
      <xdr:nvGraphicFramePr>
        <xdr:cNvPr id="18" name="Chart 17">
          <a:extLst>
            <a:ext uri="{FF2B5EF4-FFF2-40B4-BE49-F238E27FC236}">
              <a16:creationId xmlns:a16="http://schemas.microsoft.com/office/drawing/2014/main" id="{00000000-0008-0000-3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59</xdr:row>
      <xdr:rowOff>38101</xdr:rowOff>
    </xdr:from>
    <xdr:to>
      <xdr:col>4</xdr:col>
      <xdr:colOff>571499</xdr:colOff>
      <xdr:row>74</xdr:row>
      <xdr:rowOff>123826</xdr:rowOff>
    </xdr:to>
    <xdr:graphicFrame macro="">
      <xdr:nvGraphicFramePr>
        <xdr:cNvPr id="19" name="Chart 18">
          <a:extLst>
            <a:ext uri="{FF2B5EF4-FFF2-40B4-BE49-F238E27FC236}">
              <a16:creationId xmlns:a16="http://schemas.microsoft.com/office/drawing/2014/main" id="{00000000-0008-0000-3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59</xdr:row>
      <xdr:rowOff>38101</xdr:rowOff>
    </xdr:from>
    <xdr:to>
      <xdr:col>9</xdr:col>
      <xdr:colOff>571499</xdr:colOff>
      <xdr:row>74</xdr:row>
      <xdr:rowOff>123826</xdr:rowOff>
    </xdr:to>
    <xdr:graphicFrame macro="">
      <xdr:nvGraphicFramePr>
        <xdr:cNvPr id="20" name="Chart 19">
          <a:extLst>
            <a:ext uri="{FF2B5EF4-FFF2-40B4-BE49-F238E27FC236}">
              <a16:creationId xmlns:a16="http://schemas.microsoft.com/office/drawing/2014/main" id="{00000000-0008-0000-3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590550</xdr:colOff>
      <xdr:row>59</xdr:row>
      <xdr:rowOff>38101</xdr:rowOff>
    </xdr:from>
    <xdr:to>
      <xdr:col>14</xdr:col>
      <xdr:colOff>552449</xdr:colOff>
      <xdr:row>74</xdr:row>
      <xdr:rowOff>123826</xdr:rowOff>
    </xdr:to>
    <xdr:graphicFrame macro="">
      <xdr:nvGraphicFramePr>
        <xdr:cNvPr id="21" name="Chart 20">
          <a:extLst>
            <a:ext uri="{FF2B5EF4-FFF2-40B4-BE49-F238E27FC236}">
              <a16:creationId xmlns:a16="http://schemas.microsoft.com/office/drawing/2014/main" id="{00000000-0008-0000-3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457200</xdr:colOff>
      <xdr:row>4</xdr:row>
      <xdr:rowOff>76200</xdr:rowOff>
    </xdr:from>
    <xdr:to>
      <xdr:col>14</xdr:col>
      <xdr:colOff>152400</xdr:colOff>
      <xdr:row>31</xdr:row>
      <xdr:rowOff>0</xdr:rowOff>
    </xdr:to>
    <xdr:pic>
      <xdr:nvPicPr>
        <xdr:cNvPr id="9" name="Picture 8">
          <a:extLst>
            <a:ext uri="{FF2B5EF4-FFF2-40B4-BE49-F238E27FC236}">
              <a16:creationId xmlns:a16="http://schemas.microsoft.com/office/drawing/2014/main" id="{86931775-B573-415B-AF7D-C2F7767D07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66800" y="866775"/>
          <a:ext cx="76200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Retained Duty System</a:t>
          </a:r>
          <a:endParaRPr lang="en-GB" sz="1400" b="1">
            <a:solidFill>
              <a:schemeClr val="tx1">
                <a:lumMod val="65000"/>
                <a:lumOff val="35000"/>
              </a:schemeClr>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Wholetime Operational</a:t>
          </a:r>
        </a:p>
      </cdr:txBody>
    </cdr:sp>
  </cdr:relSizeAnchor>
</c:userShapes>
</file>

<file path=xl/drawings/drawing57.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Volunteer</a:t>
          </a:r>
          <a:endParaRPr lang="en-GB" sz="1400" b="1">
            <a:solidFill>
              <a:schemeClr val="tx1">
                <a:lumMod val="65000"/>
                <a:lumOff val="35000"/>
              </a:schemeClr>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Control</a:t>
          </a:r>
        </a:p>
      </cdr:txBody>
    </cdr:sp>
  </cdr:relSizeAnchor>
</c:userShapes>
</file>

<file path=xl/drawings/drawing59.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Support Staff</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3</xdr:col>
      <xdr:colOff>676275</xdr:colOff>
      <xdr:row>2</xdr:row>
      <xdr:rowOff>142876</xdr:rowOff>
    </xdr:from>
    <xdr:to>
      <xdr:col>8</xdr:col>
      <xdr:colOff>200027</xdr:colOff>
      <xdr:row>4</xdr:row>
      <xdr:rowOff>180976</xdr:rowOff>
    </xdr:to>
    <mc:AlternateContent xmlns:mc="http://schemas.openxmlformats.org/markup-compatibility/2006" xmlns:a14="http://schemas.microsoft.com/office/drawing/2010/main">
      <mc:Choice Requires="a14">
        <xdr:graphicFrame macro="">
          <xdr:nvGraphicFramePr>
            <xdr:cNvPr id="6" name="FisYr 16">
              <a:extLst>
                <a:ext uri="{FF2B5EF4-FFF2-40B4-BE49-F238E27FC236}">
                  <a16:creationId xmlns:a16="http://schemas.microsoft.com/office/drawing/2014/main" id="{6293C7AB-E7A6-424E-B07B-1DC80DFB0B09}"/>
                </a:ext>
              </a:extLst>
            </xdr:cNvPr>
            <xdr:cNvGraphicFramePr/>
          </xdr:nvGraphicFramePr>
          <xdr:xfrm>
            <a:off x="0" y="0"/>
            <a:ext cx="0" cy="0"/>
          </xdr:xfrm>
          <a:graphic>
            <a:graphicData uri="http://schemas.microsoft.com/office/drawing/2010/slicer">
              <sle:slicer xmlns:sle="http://schemas.microsoft.com/office/drawing/2010/slicer" name="FisYr 16"/>
            </a:graphicData>
          </a:graphic>
        </xdr:graphicFrame>
      </mc:Choice>
      <mc:Fallback xmlns="">
        <xdr:sp macro="" textlink="">
          <xdr:nvSpPr>
            <xdr:cNvPr id="0" name=""/>
            <xdr:cNvSpPr>
              <a:spLocks noTextEdit="1"/>
            </xdr:cNvSpPr>
          </xdr:nvSpPr>
          <xdr:spPr>
            <a:xfrm>
              <a:off x="4391025" y="542926"/>
              <a:ext cx="4191002"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0.xml><?xml version="1.0" encoding="utf-8"?>
<c:userShapes xmlns:c="http://schemas.openxmlformats.org/drawingml/2006/chart">
  <cdr:relSizeAnchor xmlns:cdr="http://schemas.openxmlformats.org/drawingml/2006/chartDrawing">
    <cdr:from>
      <cdr:x>0.01667</cdr:x>
      <cdr:y>0.00837</cdr:y>
    </cdr:from>
    <cdr:to>
      <cdr:x>0.91458</cdr:x>
      <cdr:y>0.13944</cdr:y>
    </cdr:to>
    <cdr:sp macro="" textlink="">
      <cdr:nvSpPr>
        <cdr:cNvPr id="2" name="TextBox 1"/>
        <cdr:cNvSpPr txBox="1"/>
      </cdr:nvSpPr>
      <cdr:spPr>
        <a:xfrm xmlns:a="http://schemas.openxmlformats.org/drawingml/2006/main">
          <a:off x="50175" y="20020"/>
          <a:ext cx="2702618" cy="313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solidFill>
                <a:schemeClr val="tx1">
                  <a:lumMod val="65000"/>
                  <a:lumOff val="35000"/>
                </a:schemeClr>
              </a:solidFill>
            </a:rPr>
            <a:t>All Staff</a:t>
          </a:r>
        </a:p>
      </cdr:txBody>
    </cdr:sp>
  </cdr:relSizeAnchor>
</c:userShapes>
</file>

<file path=xl/drawings/drawing61.xml><?xml version="1.0" encoding="utf-8"?>
<xdr:wsDr xmlns:xdr="http://schemas.openxmlformats.org/drawingml/2006/spreadsheetDrawing" xmlns:a="http://schemas.openxmlformats.org/drawingml/2006/main">
  <xdr:twoCellAnchor editAs="oneCell">
    <xdr:from>
      <xdr:col>1</xdr:col>
      <xdr:colOff>466725</xdr:colOff>
      <xdr:row>4</xdr:row>
      <xdr:rowOff>76200</xdr:rowOff>
    </xdr:from>
    <xdr:to>
      <xdr:col>14</xdr:col>
      <xdr:colOff>161925</xdr:colOff>
      <xdr:row>31</xdr:row>
      <xdr:rowOff>0</xdr:rowOff>
    </xdr:to>
    <xdr:pic>
      <xdr:nvPicPr>
        <xdr:cNvPr id="3" name="Picture 2">
          <a:extLst>
            <a:ext uri="{FF2B5EF4-FFF2-40B4-BE49-F238E27FC236}">
              <a16:creationId xmlns:a16="http://schemas.microsoft.com/office/drawing/2014/main" id="{965B7687-4D05-498C-9D99-8AC5AAD50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866775"/>
          <a:ext cx="76200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142875</xdr:colOff>
      <xdr:row>5</xdr:row>
      <xdr:rowOff>19050</xdr:rowOff>
    </xdr:from>
    <xdr:to>
      <xdr:col>8</xdr:col>
      <xdr:colOff>451221</xdr:colOff>
      <xdr:row>25</xdr:row>
      <xdr:rowOff>16463</xdr:rowOff>
    </xdr:to>
    <xdr:pic>
      <xdr:nvPicPr>
        <xdr:cNvPr id="6" name="Picture 5">
          <a:extLst>
            <a:ext uri="{FF2B5EF4-FFF2-40B4-BE49-F238E27FC236}">
              <a16:creationId xmlns:a16="http://schemas.microsoft.com/office/drawing/2014/main" id="{65267A17-C10C-4D84-A4DF-031DC32BCC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1000125"/>
          <a:ext cx="4575546" cy="3807413"/>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361949</xdr:colOff>
      <xdr:row>4</xdr:row>
      <xdr:rowOff>190499</xdr:rowOff>
    </xdr:from>
    <xdr:to>
      <xdr:col>9</xdr:col>
      <xdr:colOff>60695</xdr:colOff>
      <xdr:row>24</xdr:row>
      <xdr:rowOff>187912</xdr:rowOff>
    </xdr:to>
    <xdr:pic>
      <xdr:nvPicPr>
        <xdr:cNvPr id="5" name="Picture 4">
          <a:extLst>
            <a:ext uri="{FF2B5EF4-FFF2-40B4-BE49-F238E27FC236}">
              <a16:creationId xmlns:a16="http://schemas.microsoft.com/office/drawing/2014/main" id="{F13604FA-9A5B-443A-84BB-E9124397A3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49" y="981074"/>
          <a:ext cx="4575546" cy="3807413"/>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57154</xdr:colOff>
      <xdr:row>4</xdr:row>
      <xdr:rowOff>57157</xdr:rowOff>
    </xdr:from>
    <xdr:to>
      <xdr:col>5</xdr:col>
      <xdr:colOff>454362</xdr:colOff>
      <xdr:row>27</xdr:row>
      <xdr:rowOff>131078</xdr:rowOff>
    </xdr:to>
    <xdr:pic>
      <xdr:nvPicPr>
        <xdr:cNvPr id="2" name="Picture 1">
          <a:extLst>
            <a:ext uri="{FF2B5EF4-FFF2-40B4-BE49-F238E27FC236}">
              <a16:creationId xmlns:a16="http://schemas.microsoft.com/office/drawing/2014/main" id="{BD98D37F-8B36-4FC4-B84D-C9D52D04D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4" y="847732"/>
          <a:ext cx="2835608" cy="4455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409577</xdr:colOff>
      <xdr:row>4</xdr:row>
      <xdr:rowOff>133354</xdr:rowOff>
    </xdr:from>
    <xdr:to>
      <xdr:col>11</xdr:col>
      <xdr:colOff>354471</xdr:colOff>
      <xdr:row>28</xdr:row>
      <xdr:rowOff>16775</xdr:rowOff>
    </xdr:to>
    <xdr:pic>
      <xdr:nvPicPr>
        <xdr:cNvPr id="3" name="Picture 2">
          <a:extLst>
            <a:ext uri="{FF2B5EF4-FFF2-40B4-BE49-F238E27FC236}">
              <a16:creationId xmlns:a16="http://schemas.microsoft.com/office/drawing/2014/main" id="{2468651B-6A2C-448C-A1E2-C08F2A55E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7577" y="923929"/>
          <a:ext cx="3602494" cy="4455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504825</xdr:colOff>
      <xdr:row>4</xdr:row>
      <xdr:rowOff>123825</xdr:rowOff>
    </xdr:from>
    <xdr:to>
      <xdr:col>9</xdr:col>
      <xdr:colOff>409575</xdr:colOff>
      <xdr:row>7</xdr:row>
      <xdr:rowOff>0</xdr:rowOff>
    </xdr:to>
    <mc:AlternateContent xmlns:mc="http://schemas.openxmlformats.org/markup-compatibility/2006" xmlns:a14="http://schemas.microsoft.com/office/drawing/2010/main">
      <mc:Choice Requires="a14">
        <xdr:graphicFrame macro="">
          <xdr:nvGraphicFramePr>
            <xdr:cNvPr id="2" name="FisYr 7">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microsoft.com/office/drawing/2010/slicer">
              <sle:slicer xmlns:sle="http://schemas.microsoft.com/office/drawing/2010/slicer" name="FisYr 7"/>
            </a:graphicData>
          </a:graphic>
        </xdr:graphicFrame>
      </mc:Choice>
      <mc:Fallback xmlns="">
        <xdr:sp macro="" textlink="">
          <xdr:nvSpPr>
            <xdr:cNvPr id="0" name=""/>
            <xdr:cNvSpPr>
              <a:spLocks noTextEdit="1"/>
            </xdr:cNvSpPr>
          </xdr:nvSpPr>
          <xdr:spPr>
            <a:xfrm>
              <a:off x="3495675" y="904875"/>
              <a:ext cx="4600575"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695326</xdr:colOff>
      <xdr:row>4</xdr:row>
      <xdr:rowOff>104776</xdr:rowOff>
    </xdr:from>
    <xdr:to>
      <xdr:col>9</xdr:col>
      <xdr:colOff>247650</xdr:colOff>
      <xdr:row>7</xdr:row>
      <xdr:rowOff>9526</xdr:rowOff>
    </xdr:to>
    <mc:AlternateContent xmlns:mc="http://schemas.openxmlformats.org/markup-compatibility/2006" xmlns:a14="http://schemas.microsoft.com/office/drawing/2010/main">
      <mc:Choice Requires="a14">
        <xdr:graphicFrame macro="">
          <xdr:nvGraphicFramePr>
            <xdr:cNvPr id="2" name="FisYr 8">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microsoft.com/office/drawing/2010/slicer">
              <sle:slicer xmlns:sle="http://schemas.microsoft.com/office/drawing/2010/slicer" name="FisYr 8"/>
            </a:graphicData>
          </a:graphic>
        </xdr:graphicFrame>
      </mc:Choice>
      <mc:Fallback xmlns="">
        <xdr:sp macro="" textlink="">
          <xdr:nvSpPr>
            <xdr:cNvPr id="0" name=""/>
            <xdr:cNvSpPr>
              <a:spLocks noTextEdit="1"/>
            </xdr:cNvSpPr>
          </xdr:nvSpPr>
          <xdr:spPr>
            <a:xfrm>
              <a:off x="3352801" y="885826"/>
              <a:ext cx="4581524"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609599</xdr:colOff>
      <xdr:row>8</xdr:row>
      <xdr:rowOff>57150</xdr:rowOff>
    </xdr:from>
    <xdr:to>
      <xdr:col>7</xdr:col>
      <xdr:colOff>733424</xdr:colOff>
      <xdr:row>10</xdr:row>
      <xdr:rowOff>171450</xdr:rowOff>
    </xdr:to>
    <mc:AlternateContent xmlns:mc="http://schemas.openxmlformats.org/markup-compatibility/2006" xmlns:a14="http://schemas.microsoft.com/office/drawing/2010/main">
      <mc:Choice Requires="a14">
        <xdr:graphicFrame macro="">
          <xdr:nvGraphicFramePr>
            <xdr:cNvPr id="2" name="FisYr 6">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microsoft.com/office/drawing/2010/slicer">
              <sle:slicer xmlns:sle="http://schemas.microsoft.com/office/drawing/2010/slicer" name="FisYr 6"/>
            </a:graphicData>
          </a:graphic>
        </xdr:graphicFrame>
      </mc:Choice>
      <mc:Fallback xmlns="">
        <xdr:sp macro="" textlink="">
          <xdr:nvSpPr>
            <xdr:cNvPr id="0" name=""/>
            <xdr:cNvSpPr>
              <a:spLocks noTextEdit="1"/>
            </xdr:cNvSpPr>
          </xdr:nvSpPr>
          <xdr:spPr>
            <a:xfrm>
              <a:off x="3733799" y="1581150"/>
              <a:ext cx="7267575" cy="495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657226</xdr:colOff>
      <xdr:row>4</xdr:row>
      <xdr:rowOff>57150</xdr:rowOff>
    </xdr:from>
    <xdr:to>
      <xdr:col>9</xdr:col>
      <xdr:colOff>457200</xdr:colOff>
      <xdr:row>6</xdr:row>
      <xdr:rowOff>123825</xdr:rowOff>
    </xdr:to>
    <mc:AlternateContent xmlns:mc="http://schemas.openxmlformats.org/markup-compatibility/2006" xmlns:a14="http://schemas.microsoft.com/office/drawing/2010/main">
      <mc:Choice Requires="a14">
        <xdr:graphicFrame macro="">
          <xdr:nvGraphicFramePr>
            <xdr:cNvPr id="2" name="FisYr 9">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microsoft.com/office/drawing/2010/slicer">
              <sle:slicer xmlns:sle="http://schemas.microsoft.com/office/drawing/2010/slicer" name="FisYr 9"/>
            </a:graphicData>
          </a:graphic>
        </xdr:graphicFrame>
      </mc:Choice>
      <mc:Fallback xmlns="">
        <xdr:sp macro="" textlink="">
          <xdr:nvSpPr>
            <xdr:cNvPr id="0" name=""/>
            <xdr:cNvSpPr>
              <a:spLocks noTextEdit="1"/>
            </xdr:cNvSpPr>
          </xdr:nvSpPr>
          <xdr:spPr>
            <a:xfrm>
              <a:off x="3000376" y="838200"/>
              <a:ext cx="5029199"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104807</xdr:colOff>
      <xdr:row>4</xdr:row>
      <xdr:rowOff>19082</xdr:rowOff>
    </xdr:from>
    <xdr:to>
      <xdr:col>15</xdr:col>
      <xdr:colOff>208883</xdr:colOff>
      <xdr:row>26</xdr:row>
      <xdr:rowOff>146558</xdr:rowOff>
    </xdr:to>
    <xdr:pic>
      <xdr:nvPicPr>
        <xdr:cNvPr id="4" name="Picture 3">
          <a:extLst>
            <a:ext uri="{FF2B5EF4-FFF2-40B4-BE49-F238E27FC236}">
              <a16:creationId xmlns:a16="http://schemas.microsoft.com/office/drawing/2014/main" id="{573188B9-96FD-478D-9C15-56FF3CD4FF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07" y="809657"/>
          <a:ext cx="8638476" cy="4318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95250</xdr:rowOff>
    </xdr:from>
    <xdr:to>
      <xdr:col>8</xdr:col>
      <xdr:colOff>152400</xdr:colOff>
      <xdr:row>25</xdr:row>
      <xdr:rowOff>28575</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219073</xdr:colOff>
      <xdr:row>4</xdr:row>
      <xdr:rowOff>161923</xdr:rowOff>
    </xdr:from>
    <xdr:to>
      <xdr:col>10</xdr:col>
      <xdr:colOff>491149</xdr:colOff>
      <xdr:row>27</xdr:row>
      <xdr:rowOff>98899</xdr:rowOff>
    </xdr:to>
    <xdr:pic>
      <xdr:nvPicPr>
        <xdr:cNvPr id="3" name="Picture 2">
          <a:extLst>
            <a:ext uri="{FF2B5EF4-FFF2-40B4-BE49-F238E27FC236}">
              <a16:creationId xmlns:a16="http://schemas.microsoft.com/office/drawing/2014/main" id="{B4732887-45DC-4D39-9189-744BEAD4F6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3" y="952498"/>
          <a:ext cx="5758476" cy="4318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285750</xdr:colOff>
      <xdr:row>4</xdr:row>
      <xdr:rowOff>95250</xdr:rowOff>
    </xdr:from>
    <xdr:to>
      <xdr:col>10</xdr:col>
      <xdr:colOff>557826</xdr:colOff>
      <xdr:row>27</xdr:row>
      <xdr:rowOff>32226</xdr:rowOff>
    </xdr:to>
    <xdr:pic>
      <xdr:nvPicPr>
        <xdr:cNvPr id="4" name="Picture 3">
          <a:extLst>
            <a:ext uri="{FF2B5EF4-FFF2-40B4-BE49-F238E27FC236}">
              <a16:creationId xmlns:a16="http://schemas.microsoft.com/office/drawing/2014/main" id="{BCB5FB44-0565-45F5-B755-8AD50FF4E9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885825"/>
          <a:ext cx="5758476" cy="4318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504827</xdr:colOff>
      <xdr:row>4</xdr:row>
      <xdr:rowOff>133352</xdr:rowOff>
    </xdr:from>
    <xdr:to>
      <xdr:col>9</xdr:col>
      <xdr:colOff>303075</xdr:colOff>
      <xdr:row>28</xdr:row>
      <xdr:rowOff>18495</xdr:rowOff>
    </xdr:to>
    <xdr:pic>
      <xdr:nvPicPr>
        <xdr:cNvPr id="3" name="Picture 2">
          <a:extLst>
            <a:ext uri="{FF2B5EF4-FFF2-40B4-BE49-F238E27FC236}">
              <a16:creationId xmlns:a16="http://schemas.microsoft.com/office/drawing/2014/main" id="{A5956A01-60A0-4301-8680-41B61556F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4427" y="923927"/>
          <a:ext cx="4675048" cy="44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476251</xdr:colOff>
      <xdr:row>5</xdr:row>
      <xdr:rowOff>66677</xdr:rowOff>
    </xdr:from>
    <xdr:to>
      <xdr:col>9</xdr:col>
      <xdr:colOff>482499</xdr:colOff>
      <xdr:row>29</xdr:row>
      <xdr:rowOff>11248</xdr:rowOff>
    </xdr:to>
    <xdr:pic>
      <xdr:nvPicPr>
        <xdr:cNvPr id="3" name="Picture 2">
          <a:extLst>
            <a:ext uri="{FF2B5EF4-FFF2-40B4-BE49-F238E27FC236}">
              <a16:creationId xmlns:a16="http://schemas.microsoft.com/office/drawing/2014/main" id="{1D80C9A1-4F8D-4CEE-89EA-04F96F33E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5851" y="1047752"/>
          <a:ext cx="4883048" cy="4516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476251</xdr:colOff>
      <xdr:row>4</xdr:row>
      <xdr:rowOff>9526</xdr:rowOff>
    </xdr:from>
    <xdr:to>
      <xdr:col>10</xdr:col>
      <xdr:colOff>216518</xdr:colOff>
      <xdr:row>26</xdr:row>
      <xdr:rowOff>63859</xdr:rowOff>
    </xdr:to>
    <xdr:pic>
      <xdr:nvPicPr>
        <xdr:cNvPr id="2" name="Picture 1">
          <a:extLst>
            <a:ext uri="{FF2B5EF4-FFF2-40B4-BE49-F238E27FC236}">
              <a16:creationId xmlns:a16="http://schemas.microsoft.com/office/drawing/2014/main" id="{5356F703-D3BC-4314-8505-D286BDB7FE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5851" y="771526"/>
          <a:ext cx="5226667" cy="4245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523876</xdr:colOff>
      <xdr:row>4</xdr:row>
      <xdr:rowOff>28576</xdr:rowOff>
    </xdr:from>
    <xdr:to>
      <xdr:col>10</xdr:col>
      <xdr:colOff>264143</xdr:colOff>
      <xdr:row>29</xdr:row>
      <xdr:rowOff>140743</xdr:rowOff>
    </xdr:to>
    <xdr:pic>
      <xdr:nvPicPr>
        <xdr:cNvPr id="2" name="Picture 1">
          <a:extLst>
            <a:ext uri="{FF2B5EF4-FFF2-40B4-BE49-F238E27FC236}">
              <a16:creationId xmlns:a16="http://schemas.microsoft.com/office/drawing/2014/main" id="{36ACB9F2-4F68-4C9B-8C6C-572E3EEE9F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6" y="819151"/>
          <a:ext cx="5226667" cy="4874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238125</xdr:colOff>
      <xdr:row>4</xdr:row>
      <xdr:rowOff>19050</xdr:rowOff>
    </xdr:from>
    <xdr:to>
      <xdr:col>12</xdr:col>
      <xdr:colOff>20792</xdr:colOff>
      <xdr:row>26</xdr:row>
      <xdr:rowOff>26717</xdr:rowOff>
    </xdr:to>
    <xdr:pic>
      <xdr:nvPicPr>
        <xdr:cNvPr id="2" name="Picture 1">
          <a:extLst>
            <a:ext uri="{FF2B5EF4-FFF2-40B4-BE49-F238E27FC236}">
              <a16:creationId xmlns:a16="http://schemas.microsoft.com/office/drawing/2014/main" id="{8B416B16-F3E6-4430-812B-F58FE96678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 y="809625"/>
          <a:ext cx="5878667" cy="419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295276</xdr:colOff>
      <xdr:row>4</xdr:row>
      <xdr:rowOff>133350</xdr:rowOff>
    </xdr:from>
    <xdr:to>
      <xdr:col>10</xdr:col>
      <xdr:colOff>207447</xdr:colOff>
      <xdr:row>29</xdr:row>
      <xdr:rowOff>95136</xdr:rowOff>
    </xdr:to>
    <xdr:pic>
      <xdr:nvPicPr>
        <xdr:cNvPr id="3" name="Picture 2">
          <a:extLst>
            <a:ext uri="{FF2B5EF4-FFF2-40B4-BE49-F238E27FC236}">
              <a16:creationId xmlns:a16="http://schemas.microsoft.com/office/drawing/2014/main" id="{8BAB3C07-EAB9-4AD7-9E63-D01799EB5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6" y="923925"/>
          <a:ext cx="5398571" cy="472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276227</xdr:colOff>
      <xdr:row>4</xdr:row>
      <xdr:rowOff>57152</xdr:rowOff>
    </xdr:from>
    <xdr:to>
      <xdr:col>10</xdr:col>
      <xdr:colOff>458398</xdr:colOff>
      <xdr:row>29</xdr:row>
      <xdr:rowOff>152938</xdr:rowOff>
    </xdr:to>
    <xdr:pic>
      <xdr:nvPicPr>
        <xdr:cNvPr id="3" name="Picture 2">
          <a:extLst>
            <a:ext uri="{FF2B5EF4-FFF2-40B4-BE49-F238E27FC236}">
              <a16:creationId xmlns:a16="http://schemas.microsoft.com/office/drawing/2014/main" id="{8CB17A39-1095-47ED-8709-AC1BC21E32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7" y="847727"/>
          <a:ext cx="5668571" cy="4858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161925</xdr:colOff>
      <xdr:row>6</xdr:row>
      <xdr:rowOff>171449</xdr:rowOff>
    </xdr:from>
    <xdr:to>
      <xdr:col>5</xdr:col>
      <xdr:colOff>85578</xdr:colOff>
      <xdr:row>26</xdr:row>
      <xdr:rowOff>72878</xdr:rowOff>
    </xdr:to>
    <xdr:pic>
      <xdr:nvPicPr>
        <xdr:cNvPr id="2" name="Picture 1">
          <a:extLst>
            <a:ext uri="{FF2B5EF4-FFF2-40B4-BE49-F238E27FC236}">
              <a16:creationId xmlns:a16="http://schemas.microsoft.com/office/drawing/2014/main" id="{70FD8B68-A381-4D17-BC41-9CF9F31E27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1343024"/>
          <a:ext cx="2362053" cy="3711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200026</xdr:colOff>
      <xdr:row>6</xdr:row>
      <xdr:rowOff>95251</xdr:rowOff>
    </xdr:from>
    <xdr:to>
      <xdr:col>10</xdr:col>
      <xdr:colOff>355074</xdr:colOff>
      <xdr:row>27</xdr:row>
      <xdr:rowOff>53608</xdr:rowOff>
    </xdr:to>
    <xdr:pic>
      <xdr:nvPicPr>
        <xdr:cNvPr id="3" name="Picture 2">
          <a:extLst>
            <a:ext uri="{FF2B5EF4-FFF2-40B4-BE49-F238E27FC236}">
              <a16:creationId xmlns:a16="http://schemas.microsoft.com/office/drawing/2014/main" id="{9D1A45C5-F2AC-4C72-8808-DF52A2D12C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8026" y="1266826"/>
          <a:ext cx="3203048" cy="3958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419100</xdr:colOff>
      <xdr:row>5</xdr:row>
      <xdr:rowOff>161925</xdr:rowOff>
    </xdr:from>
    <xdr:to>
      <xdr:col>10</xdr:col>
      <xdr:colOff>19050</xdr:colOff>
      <xdr:row>32</xdr:row>
      <xdr:rowOff>104775</xdr:rowOff>
    </xdr:to>
    <xdr:pic>
      <xdr:nvPicPr>
        <xdr:cNvPr id="6" name="Picture 5">
          <a:extLst>
            <a:ext uri="{FF2B5EF4-FFF2-40B4-BE49-F238E27FC236}">
              <a16:creationId xmlns:a16="http://schemas.microsoft.com/office/drawing/2014/main" id="{B38607FA-0F7C-49D0-BD8C-8C5125FE0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 y="1143000"/>
          <a:ext cx="5086350" cy="50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285750</xdr:colOff>
      <xdr:row>5</xdr:row>
      <xdr:rowOff>104776</xdr:rowOff>
    </xdr:from>
    <xdr:to>
      <xdr:col>5</xdr:col>
      <xdr:colOff>366874</xdr:colOff>
      <xdr:row>26</xdr:row>
      <xdr:rowOff>63133</xdr:rowOff>
    </xdr:to>
    <xdr:pic>
      <xdr:nvPicPr>
        <xdr:cNvPr id="2" name="Picture 1">
          <a:extLst>
            <a:ext uri="{FF2B5EF4-FFF2-40B4-BE49-F238E27FC236}">
              <a16:creationId xmlns:a16="http://schemas.microsoft.com/office/drawing/2014/main" id="{69A12B77-06A5-409B-AF72-D651372325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1085851"/>
          <a:ext cx="2519524" cy="3958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371475</xdr:colOff>
      <xdr:row>6</xdr:row>
      <xdr:rowOff>28576</xdr:rowOff>
    </xdr:from>
    <xdr:to>
      <xdr:col>10</xdr:col>
      <xdr:colOff>526523</xdr:colOff>
      <xdr:row>26</xdr:row>
      <xdr:rowOff>177433</xdr:rowOff>
    </xdr:to>
    <xdr:pic>
      <xdr:nvPicPr>
        <xdr:cNvPr id="3" name="Picture 2">
          <a:extLst>
            <a:ext uri="{FF2B5EF4-FFF2-40B4-BE49-F238E27FC236}">
              <a16:creationId xmlns:a16="http://schemas.microsoft.com/office/drawing/2014/main" id="{2DC1B3CB-D437-4D54-A5EA-7F0B9E898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9475" y="1200151"/>
          <a:ext cx="3203048" cy="3958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571500</xdr:colOff>
      <xdr:row>4</xdr:row>
      <xdr:rowOff>133351</xdr:rowOff>
    </xdr:from>
    <xdr:to>
      <xdr:col>6</xdr:col>
      <xdr:colOff>43024</xdr:colOff>
      <xdr:row>25</xdr:row>
      <xdr:rowOff>91708</xdr:rowOff>
    </xdr:to>
    <xdr:pic>
      <xdr:nvPicPr>
        <xdr:cNvPr id="2" name="Picture 1">
          <a:extLst>
            <a:ext uri="{FF2B5EF4-FFF2-40B4-BE49-F238E27FC236}">
              <a16:creationId xmlns:a16="http://schemas.microsoft.com/office/drawing/2014/main" id="{E9BFB98F-F2E1-4660-8D06-46633DFD4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1100" y="923926"/>
          <a:ext cx="2519524" cy="3958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xdr:colOff>
      <xdr:row>5</xdr:row>
      <xdr:rowOff>133351</xdr:rowOff>
    </xdr:from>
    <xdr:to>
      <xdr:col>11</xdr:col>
      <xdr:colOff>183623</xdr:colOff>
      <xdr:row>26</xdr:row>
      <xdr:rowOff>91708</xdr:rowOff>
    </xdr:to>
    <xdr:pic>
      <xdr:nvPicPr>
        <xdr:cNvPr id="3" name="Picture 2">
          <a:extLst>
            <a:ext uri="{FF2B5EF4-FFF2-40B4-BE49-F238E27FC236}">
              <a16:creationId xmlns:a16="http://schemas.microsoft.com/office/drawing/2014/main" id="{A8197760-C27E-44C5-90D1-AE4A2E47C9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86175" y="1114426"/>
          <a:ext cx="3203048" cy="3958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6</xdr:col>
      <xdr:colOff>466725</xdr:colOff>
      <xdr:row>2</xdr:row>
      <xdr:rowOff>47625</xdr:rowOff>
    </xdr:from>
    <xdr:to>
      <xdr:col>13</xdr:col>
      <xdr:colOff>552450</xdr:colOff>
      <xdr:row>4</xdr:row>
      <xdr:rowOff>161924</xdr:rowOff>
    </xdr:to>
    <mc:AlternateContent xmlns:mc="http://schemas.openxmlformats.org/markup-compatibility/2006" xmlns:a14="http://schemas.microsoft.com/office/drawing/2010/main">
      <mc:Choice Requires="a14">
        <xdr:graphicFrame macro="">
          <xdr:nvGraphicFramePr>
            <xdr:cNvPr id="4" name="FisYr 11">
              <a:extLst>
                <a:ext uri="{FF2B5EF4-FFF2-40B4-BE49-F238E27FC236}">
                  <a16:creationId xmlns:a16="http://schemas.microsoft.com/office/drawing/2014/main" id="{00000000-0008-0000-4F00-000004000000}"/>
                </a:ext>
              </a:extLst>
            </xdr:cNvPr>
            <xdr:cNvGraphicFramePr/>
          </xdr:nvGraphicFramePr>
          <xdr:xfrm>
            <a:off x="0" y="0"/>
            <a:ext cx="0" cy="0"/>
          </xdr:xfrm>
          <a:graphic>
            <a:graphicData uri="http://schemas.microsoft.com/office/drawing/2010/slicer">
              <sle:slicer xmlns:sle="http://schemas.microsoft.com/office/drawing/2010/slicer" name="FisYr 11"/>
            </a:graphicData>
          </a:graphic>
        </xdr:graphicFrame>
      </mc:Choice>
      <mc:Fallback xmlns="">
        <xdr:sp macro="" textlink="">
          <xdr:nvSpPr>
            <xdr:cNvPr id="0" name=""/>
            <xdr:cNvSpPr>
              <a:spLocks noTextEdit="1"/>
            </xdr:cNvSpPr>
          </xdr:nvSpPr>
          <xdr:spPr>
            <a:xfrm>
              <a:off x="5200650" y="438150"/>
              <a:ext cx="3667125" cy="5048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514350</xdr:colOff>
      <xdr:row>3</xdr:row>
      <xdr:rowOff>123826</xdr:rowOff>
    </xdr:from>
    <xdr:to>
      <xdr:col>6</xdr:col>
      <xdr:colOff>1295400</xdr:colOff>
      <xdr:row>6</xdr:row>
      <xdr:rowOff>57150</xdr:rowOff>
    </xdr:to>
    <mc:AlternateContent xmlns:mc="http://schemas.openxmlformats.org/markup-compatibility/2006" xmlns:a14="http://schemas.microsoft.com/office/drawing/2010/main">
      <mc:Choice Requires="a14">
        <xdr:graphicFrame macro="">
          <xdr:nvGraphicFramePr>
            <xdr:cNvPr id="2" name="FisYr">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microsoft.com/office/drawing/2010/slicer">
              <sle:slicer xmlns:sle="http://schemas.microsoft.com/office/drawing/2010/slicer" name="FisYr"/>
            </a:graphicData>
          </a:graphic>
        </xdr:graphicFrame>
      </mc:Choice>
      <mc:Fallback xmlns="">
        <xdr:sp macro="" textlink="">
          <xdr:nvSpPr>
            <xdr:cNvPr id="0" name=""/>
            <xdr:cNvSpPr>
              <a:spLocks noTextEdit="1"/>
            </xdr:cNvSpPr>
          </xdr:nvSpPr>
          <xdr:spPr>
            <a:xfrm>
              <a:off x="3476625" y="695326"/>
              <a:ext cx="4486275" cy="5048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4.xml><?xml version="1.0" encoding="utf-8"?>
<xdr:wsDr xmlns:xdr="http://schemas.openxmlformats.org/drawingml/2006/spreadsheetDrawing" xmlns:a="http://schemas.openxmlformats.org/drawingml/2006/main">
  <xdr:twoCellAnchor editAs="oneCell">
    <xdr:from>
      <xdr:col>6</xdr:col>
      <xdr:colOff>361950</xdr:colOff>
      <xdr:row>28</xdr:row>
      <xdr:rowOff>171450</xdr:rowOff>
    </xdr:from>
    <xdr:to>
      <xdr:col>12</xdr:col>
      <xdr:colOff>790575</xdr:colOff>
      <xdr:row>31</xdr:row>
      <xdr:rowOff>47625</xdr:rowOff>
    </xdr:to>
    <mc:AlternateContent xmlns:mc="http://schemas.openxmlformats.org/markup-compatibility/2006" xmlns:a14="http://schemas.microsoft.com/office/drawing/2010/main">
      <mc:Choice Requires="a14">
        <xdr:graphicFrame macro="">
          <xdr:nvGraphicFramePr>
            <xdr:cNvPr id="3" name="FisYr 15">
              <a:extLst>
                <a:ext uri="{FF2B5EF4-FFF2-40B4-BE49-F238E27FC236}">
                  <a16:creationId xmlns:a16="http://schemas.microsoft.com/office/drawing/2014/main" id="{00000000-0008-0000-5100-000003000000}"/>
                </a:ext>
              </a:extLst>
            </xdr:cNvPr>
            <xdr:cNvGraphicFramePr/>
          </xdr:nvGraphicFramePr>
          <xdr:xfrm>
            <a:off x="0" y="0"/>
            <a:ext cx="0" cy="0"/>
          </xdr:xfrm>
          <a:graphic>
            <a:graphicData uri="http://schemas.microsoft.com/office/drawing/2010/slicer">
              <sle:slicer xmlns:sle="http://schemas.microsoft.com/office/drawing/2010/slicer" name="FisYr 15"/>
            </a:graphicData>
          </a:graphic>
        </xdr:graphicFrame>
      </mc:Choice>
      <mc:Fallback xmlns="">
        <xdr:sp macro="" textlink="">
          <xdr:nvSpPr>
            <xdr:cNvPr id="0" name=""/>
            <xdr:cNvSpPr>
              <a:spLocks noTextEdit="1"/>
            </xdr:cNvSpPr>
          </xdr:nvSpPr>
          <xdr:spPr>
            <a:xfrm>
              <a:off x="5610225" y="5857875"/>
              <a:ext cx="3781425" cy="4667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57150</xdr:colOff>
      <xdr:row>9</xdr:row>
      <xdr:rowOff>57150</xdr:rowOff>
    </xdr:from>
    <xdr:to>
      <xdr:col>8</xdr:col>
      <xdr:colOff>581025</xdr:colOff>
      <xdr:row>11</xdr:row>
      <xdr:rowOff>142875</xdr:rowOff>
    </xdr:to>
    <mc:AlternateContent xmlns:mc="http://schemas.openxmlformats.org/markup-compatibility/2006" xmlns:a14="http://schemas.microsoft.com/office/drawing/2010/main">
      <mc:Choice Requires="a14">
        <xdr:graphicFrame macro="">
          <xdr:nvGraphicFramePr>
            <xdr:cNvPr id="2" name="FisYr 14">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microsoft.com/office/drawing/2010/slicer">
              <sle:slicer xmlns:sle="http://schemas.microsoft.com/office/drawing/2010/slicer" name="FisYr 14"/>
            </a:graphicData>
          </a:graphic>
        </xdr:graphicFrame>
      </mc:Choice>
      <mc:Fallback xmlns="">
        <xdr:sp macro="" textlink="">
          <xdr:nvSpPr>
            <xdr:cNvPr id="0" name=""/>
            <xdr:cNvSpPr>
              <a:spLocks noTextEdit="1"/>
            </xdr:cNvSpPr>
          </xdr:nvSpPr>
          <xdr:spPr>
            <a:xfrm>
              <a:off x="6457950" y="1771650"/>
              <a:ext cx="3781425" cy="4667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523875</xdr:colOff>
      <xdr:row>4</xdr:row>
      <xdr:rowOff>104775</xdr:rowOff>
    </xdr:from>
    <xdr:to>
      <xdr:col>8</xdr:col>
      <xdr:colOff>304800</xdr:colOff>
      <xdr:row>6</xdr:row>
      <xdr:rowOff>123825</xdr:rowOff>
    </xdr:to>
    <mc:AlternateContent xmlns:mc="http://schemas.openxmlformats.org/markup-compatibility/2006" xmlns:a14="http://schemas.microsoft.com/office/drawing/2010/main">
      <mc:Choice Requires="a14">
        <xdr:graphicFrame macro="">
          <xdr:nvGraphicFramePr>
            <xdr:cNvPr id="4" name="FisYr 19">
              <a:extLst>
                <a:ext uri="{FF2B5EF4-FFF2-40B4-BE49-F238E27FC236}">
                  <a16:creationId xmlns:a16="http://schemas.microsoft.com/office/drawing/2014/main" id="{00000000-0008-0000-5300-000004000000}"/>
                </a:ext>
              </a:extLst>
            </xdr:cNvPr>
            <xdr:cNvGraphicFramePr/>
          </xdr:nvGraphicFramePr>
          <xdr:xfrm>
            <a:off x="0" y="0"/>
            <a:ext cx="0" cy="0"/>
          </xdr:xfrm>
          <a:graphic>
            <a:graphicData uri="http://schemas.microsoft.com/office/drawing/2010/slicer">
              <sle:slicer xmlns:sle="http://schemas.microsoft.com/office/drawing/2010/slicer" name="FisYr 19"/>
            </a:graphicData>
          </a:graphic>
        </xdr:graphicFrame>
      </mc:Choice>
      <mc:Fallback xmlns="">
        <xdr:sp macro="" textlink="">
          <xdr:nvSpPr>
            <xdr:cNvPr id="0" name=""/>
            <xdr:cNvSpPr>
              <a:spLocks noTextEdit="1"/>
            </xdr:cNvSpPr>
          </xdr:nvSpPr>
          <xdr:spPr>
            <a:xfrm>
              <a:off x="3181350" y="885825"/>
              <a:ext cx="3705225"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7.xml><?xml version="1.0" encoding="utf-8"?>
<xdr:wsDr xmlns:xdr="http://schemas.openxmlformats.org/drawingml/2006/spreadsheetDrawing" xmlns:a="http://schemas.openxmlformats.org/drawingml/2006/main">
  <xdr:twoCellAnchor editAs="oneCell">
    <xdr:from>
      <xdr:col>5</xdr:col>
      <xdr:colOff>457199</xdr:colOff>
      <xdr:row>12</xdr:row>
      <xdr:rowOff>66676</xdr:rowOff>
    </xdr:from>
    <xdr:to>
      <xdr:col>7</xdr:col>
      <xdr:colOff>809624</xdr:colOff>
      <xdr:row>14</xdr:row>
      <xdr:rowOff>161926</xdr:rowOff>
    </xdr:to>
    <mc:AlternateContent xmlns:mc="http://schemas.openxmlformats.org/markup-compatibility/2006" xmlns:a14="http://schemas.microsoft.com/office/drawing/2010/main">
      <mc:Choice Requires="a14">
        <xdr:graphicFrame macro="">
          <xdr:nvGraphicFramePr>
            <xdr:cNvPr id="2" name="FisYr 18">
              <a:extLst>
                <a:ext uri="{FF2B5EF4-FFF2-40B4-BE49-F238E27FC236}">
                  <a16:creationId xmlns:a16="http://schemas.microsoft.com/office/drawing/2014/main" id="{00000000-0008-0000-5400-000002000000}"/>
                </a:ext>
              </a:extLst>
            </xdr:cNvPr>
            <xdr:cNvGraphicFramePr/>
          </xdr:nvGraphicFramePr>
          <xdr:xfrm>
            <a:off x="0" y="0"/>
            <a:ext cx="0" cy="0"/>
          </xdr:xfrm>
          <a:graphic>
            <a:graphicData uri="http://schemas.microsoft.com/office/drawing/2010/slicer">
              <sle:slicer xmlns:sle="http://schemas.microsoft.com/office/drawing/2010/slicer" name="FisYr 18"/>
            </a:graphicData>
          </a:graphic>
        </xdr:graphicFrame>
      </mc:Choice>
      <mc:Fallback xmlns="">
        <xdr:sp macro="" textlink="">
          <xdr:nvSpPr>
            <xdr:cNvPr id="0" name=""/>
            <xdr:cNvSpPr>
              <a:spLocks noTextEdit="1"/>
            </xdr:cNvSpPr>
          </xdr:nvSpPr>
          <xdr:spPr>
            <a:xfrm>
              <a:off x="5800724" y="2352676"/>
              <a:ext cx="3705225"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66674</xdr:colOff>
      <xdr:row>2</xdr:row>
      <xdr:rowOff>161925</xdr:rowOff>
    </xdr:from>
    <xdr:to>
      <xdr:col>7</xdr:col>
      <xdr:colOff>209549</xdr:colOff>
      <xdr:row>5</xdr:row>
      <xdr:rowOff>19050</xdr:rowOff>
    </xdr:to>
    <mc:AlternateContent xmlns:mc="http://schemas.openxmlformats.org/markup-compatibility/2006" xmlns:a14="http://schemas.microsoft.com/office/drawing/2010/main">
      <mc:Choice Requires="a14">
        <xdr:graphicFrame macro="">
          <xdr:nvGraphicFramePr>
            <xdr:cNvPr id="2" name="FisYr 13">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microsoft.com/office/drawing/2010/slicer">
              <sle:slicer xmlns:sle="http://schemas.microsoft.com/office/drawing/2010/slicer" name="FisYr 13"/>
            </a:graphicData>
          </a:graphic>
        </xdr:graphicFrame>
      </mc:Choice>
      <mc:Fallback xmlns="">
        <xdr:sp macro="" textlink="">
          <xdr:nvSpPr>
            <xdr:cNvPr id="0" name=""/>
            <xdr:cNvSpPr>
              <a:spLocks noTextEdit="1"/>
            </xdr:cNvSpPr>
          </xdr:nvSpPr>
          <xdr:spPr>
            <a:xfrm>
              <a:off x="2990850" y="552450"/>
              <a:ext cx="3810000"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38100</xdr:colOff>
      <xdr:row>0</xdr:row>
      <xdr:rowOff>0</xdr:rowOff>
    </xdr:from>
    <xdr:to>
      <xdr:col>7</xdr:col>
      <xdr:colOff>590550</xdr:colOff>
      <xdr:row>2</xdr:row>
      <xdr:rowOff>57150</xdr:rowOff>
    </xdr:to>
    <mc:AlternateContent xmlns:mc="http://schemas.openxmlformats.org/markup-compatibility/2006" xmlns:a14="http://schemas.microsoft.com/office/drawing/2010/main">
      <mc:Choice Requires="a14">
        <xdr:graphicFrame macro="">
          <xdr:nvGraphicFramePr>
            <xdr:cNvPr id="2" name="FisYr 12">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microsoft.com/office/drawing/2010/slicer">
              <sle:slicer xmlns:sle="http://schemas.microsoft.com/office/drawing/2010/slicer" name="FisYr 12"/>
            </a:graphicData>
          </a:graphic>
        </xdr:graphicFrame>
      </mc:Choice>
      <mc:Fallback xmlns="">
        <xdr:sp macro="" textlink="">
          <xdr:nvSpPr>
            <xdr:cNvPr id="0" name=""/>
            <xdr:cNvSpPr>
              <a:spLocks noTextEdit="1"/>
            </xdr:cNvSpPr>
          </xdr:nvSpPr>
          <xdr:spPr>
            <a:xfrm>
              <a:off x="1581150" y="0"/>
              <a:ext cx="3810000"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73020</xdr:colOff>
      <xdr:row>5</xdr:row>
      <xdr:rowOff>19050</xdr:rowOff>
    </xdr:from>
    <xdr:to>
      <xdr:col>13</xdr:col>
      <xdr:colOff>304799</xdr:colOff>
      <xdr:row>30</xdr:row>
      <xdr:rowOff>38100</xdr:rowOff>
    </xdr:to>
    <xdr:pic>
      <xdr:nvPicPr>
        <xdr:cNvPr id="3" name="Picture 2">
          <a:extLst>
            <a:ext uri="{FF2B5EF4-FFF2-40B4-BE49-F238E27FC236}">
              <a16:creationId xmlns:a16="http://schemas.microsoft.com/office/drawing/2014/main" id="{10E82BFC-F29A-47AD-BBC7-FC1C99C86D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620" y="1000125"/>
          <a:ext cx="7546979"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523878</xdr:colOff>
      <xdr:row>5</xdr:row>
      <xdr:rowOff>38103</xdr:rowOff>
    </xdr:from>
    <xdr:to>
      <xdr:col>9</xdr:col>
      <xdr:colOff>446316</xdr:colOff>
      <xdr:row>27</xdr:row>
      <xdr:rowOff>166341</xdr:rowOff>
    </xdr:to>
    <xdr:pic>
      <xdr:nvPicPr>
        <xdr:cNvPr id="4" name="Picture 3">
          <a:extLst>
            <a:ext uri="{FF2B5EF4-FFF2-40B4-BE49-F238E27FC236}">
              <a16:creationId xmlns:a16="http://schemas.microsoft.com/office/drawing/2014/main" id="{8A87D88F-35A6-4CC1-9BD4-033913066B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8" y="1019178"/>
          <a:ext cx="4799238" cy="4319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314332</xdr:colOff>
      <xdr:row>4</xdr:row>
      <xdr:rowOff>123839</xdr:rowOff>
    </xdr:from>
    <xdr:to>
      <xdr:col>12</xdr:col>
      <xdr:colOff>8732</xdr:colOff>
      <xdr:row>27</xdr:row>
      <xdr:rowOff>10135</xdr:rowOff>
    </xdr:to>
    <xdr:pic>
      <xdr:nvPicPr>
        <xdr:cNvPr id="4" name="Picture 3">
          <a:extLst>
            <a:ext uri="{FF2B5EF4-FFF2-40B4-BE49-F238E27FC236}">
              <a16:creationId xmlns:a16="http://schemas.microsoft.com/office/drawing/2014/main" id="{84A0EA90-580A-4807-BC71-078E2E0B0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32" y="914414"/>
          <a:ext cx="6400000" cy="4267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419107</xdr:colOff>
      <xdr:row>4</xdr:row>
      <xdr:rowOff>104789</xdr:rowOff>
    </xdr:from>
    <xdr:to>
      <xdr:col>12</xdr:col>
      <xdr:colOff>227792</xdr:colOff>
      <xdr:row>27</xdr:row>
      <xdr:rowOff>67295</xdr:rowOff>
    </xdr:to>
    <xdr:pic>
      <xdr:nvPicPr>
        <xdr:cNvPr id="3" name="Picture 2">
          <a:extLst>
            <a:ext uri="{FF2B5EF4-FFF2-40B4-BE49-F238E27FC236}">
              <a16:creationId xmlns:a16="http://schemas.microsoft.com/office/drawing/2014/main" id="{4DD51656-03C5-4EB6-8BA9-52C9DC573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7" y="895364"/>
          <a:ext cx="6514285" cy="434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rescotland.local\dfs\Users\gregor.welsh\Downloads\fire_safety_and_organisational_statistics_tables_2016_17%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rescotland.local\dfs\Revised%20Tables%20and%20Charts\Fire%20Safety%20and%20Organisational%20Statistics%20Tables%202016-17%20NOT%20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al Year - Set as Hidden"/>
      <sheetName val="Information"/>
      <sheetName val="Contents"/>
      <sheetName val="Notes - workforce"/>
      <sheetName val="Table 1a and 1b"/>
      <sheetName val="Table 2, 2a and 2b"/>
      <sheetName val="Table 3"/>
      <sheetName val="Table 4"/>
      <sheetName val="Table 4b"/>
      <sheetName val="Tables 4c and 4d"/>
      <sheetName val="Table 4e"/>
      <sheetName val="Table 5a"/>
      <sheetName val="Table 5b"/>
      <sheetName val="Tables 5c and 5d"/>
      <sheetName val="Table 6"/>
      <sheetName val="Table 7"/>
      <sheetName val="Table 8"/>
      <sheetName val="Table 10 and 10a"/>
      <sheetName val="Table 11"/>
      <sheetName val="Table 12 and 12a"/>
      <sheetName val="Table 13"/>
      <sheetName val="Tables 13a"/>
      <sheetName val="Table 14"/>
      <sheetName val="Table 14a"/>
      <sheetName val="Tables 15, 15a and 15b"/>
      <sheetName val="Table 16"/>
      <sheetName val="Tables 17, 17a and 17b"/>
      <sheetName val="Table 18 and 18a"/>
      <sheetName val="Tables 19"/>
      <sheetName val="Table 19a"/>
      <sheetName val="Table 19b"/>
      <sheetName val="Table 20"/>
      <sheetName val="Table 20a"/>
      <sheetName val="Table 21 and 21a"/>
      <sheetName val="Table 22"/>
      <sheetName val="Table 23"/>
      <sheetName val="Table 23a and 23b"/>
      <sheetName val="Table 24"/>
      <sheetName val="Chart 1"/>
      <sheetName val="Chart 2"/>
      <sheetName val="Chart 3"/>
      <sheetName val="Chart 4"/>
      <sheetName val="Chart 4a"/>
      <sheetName val="Chart 4b"/>
      <sheetName val="Chart 4c"/>
      <sheetName val="Chart 4d"/>
      <sheetName val="Chart 5"/>
      <sheetName val="Chart 6"/>
      <sheetName val="Chart 7"/>
      <sheetName val="Chart 8"/>
      <sheetName val="Chart 9"/>
      <sheetName val="Chart 10"/>
      <sheetName val="Chart 11"/>
      <sheetName val="Chart 12"/>
      <sheetName val="Chart 13"/>
    </sheetNames>
    <sheetDataSet>
      <sheetData sheetId="0" refreshError="1">
        <row r="5">
          <cell r="D5" t="str">
            <v>2016-17</v>
          </cell>
        </row>
      </sheetData>
      <sheetData sheetId="1" refreshError="1"/>
      <sheetData sheetId="2" refreshError="1"/>
      <sheetData sheetId="3" refreshError="1"/>
      <sheetData sheetId="4" refreshError="1">
        <row r="10">
          <cell r="B10">
            <v>3645</v>
          </cell>
          <cell r="C10">
            <v>2870</v>
          </cell>
          <cell r="D10">
            <v>165</v>
          </cell>
          <cell r="E10">
            <v>838</v>
          </cell>
          <cell r="F10">
            <v>316</v>
          </cell>
          <cell r="H10">
            <v>7834</v>
          </cell>
          <cell r="J10">
            <v>7518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al Year - Set as Hidden"/>
      <sheetName val="Information"/>
      <sheetName val="Contents"/>
      <sheetName val="Notes - workforce"/>
      <sheetName val="Table 1a and 1b"/>
      <sheetName val="Table 2, 2a and 2b"/>
      <sheetName val="Table 3"/>
      <sheetName val="Table 4"/>
      <sheetName val="Table 4b"/>
      <sheetName val="Tables 4c and 4d"/>
      <sheetName val="Table 4e"/>
      <sheetName val="Table 5a"/>
      <sheetName val="Table 5b"/>
      <sheetName val="Tables 5c and 5d"/>
      <sheetName val="Table 6"/>
      <sheetName val="Table 7"/>
      <sheetName val="Table 8"/>
      <sheetName val="Table 10 and 10a"/>
      <sheetName val="Table 11"/>
      <sheetName val="Table 12 and 12a"/>
      <sheetName val="Table 13"/>
      <sheetName val="Tables 13a"/>
      <sheetName val="Table 14"/>
      <sheetName val="Table 14a"/>
      <sheetName val="Tables 15, 15a and 15b"/>
      <sheetName val="Table 16"/>
      <sheetName val="Tables 17, 17a and 17b"/>
      <sheetName val="Table 18 and 18a"/>
      <sheetName val="Tables 19"/>
      <sheetName val="Table 19a"/>
      <sheetName val="Table 19b"/>
      <sheetName val="Table 20"/>
      <sheetName val="Table 20a"/>
      <sheetName val="Table 21 and 21a"/>
      <sheetName val="Table 22"/>
      <sheetName val="Table 23"/>
      <sheetName val="Table 23a and 23b"/>
      <sheetName val="Table 24"/>
      <sheetName val="Chart 1"/>
      <sheetName val="Chart 2"/>
      <sheetName val="Chart 3"/>
      <sheetName val="Chart 4"/>
      <sheetName val="Chart 4a"/>
      <sheetName val="Chart 4b"/>
      <sheetName val="Chart 4c"/>
      <sheetName val="Chart 4d"/>
      <sheetName val="Chart 5"/>
      <sheetName val="Chart 6"/>
      <sheetName val="Chart 7"/>
      <sheetName val="Chart 8"/>
      <sheetName val="Chart 9"/>
      <sheetName val="Chart 10"/>
      <sheetName val="Chart 11"/>
      <sheetName val="Chart 12"/>
      <sheetName val="Chart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5">
          <cell r="C5">
            <v>3</v>
          </cell>
          <cell r="D5">
            <v>7</v>
          </cell>
        </row>
        <row r="6">
          <cell r="C6">
            <v>1</v>
          </cell>
          <cell r="D6">
            <v>18</v>
          </cell>
        </row>
        <row r="7">
          <cell r="C7">
            <v>1</v>
          </cell>
          <cell r="D7">
            <v>19</v>
          </cell>
        </row>
        <row r="8">
          <cell r="C8">
            <v>2</v>
          </cell>
          <cell r="D8">
            <v>12</v>
          </cell>
        </row>
        <row r="9">
          <cell r="C9">
            <v>1</v>
          </cell>
          <cell r="D9">
            <v>20</v>
          </cell>
        </row>
        <row r="10">
          <cell r="C10">
            <v>1</v>
          </cell>
          <cell r="D10">
            <v>21</v>
          </cell>
        </row>
        <row r="11">
          <cell r="C11">
            <v>4</v>
          </cell>
          <cell r="D11">
            <v>4</v>
          </cell>
        </row>
        <row r="12">
          <cell r="C12">
            <v>1</v>
          </cell>
          <cell r="D12">
            <v>22</v>
          </cell>
        </row>
        <row r="13">
          <cell r="C13">
            <v>3</v>
          </cell>
          <cell r="D13">
            <v>8</v>
          </cell>
        </row>
        <row r="14">
          <cell r="C14">
            <v>1</v>
          </cell>
          <cell r="D14">
            <v>23</v>
          </cell>
        </row>
        <row r="15">
          <cell r="C15">
            <v>2</v>
          </cell>
          <cell r="D15">
            <v>13</v>
          </cell>
        </row>
        <row r="16">
          <cell r="C16">
            <v>7</v>
          </cell>
          <cell r="D16">
            <v>2</v>
          </cell>
        </row>
        <row r="17">
          <cell r="C17">
            <v>3</v>
          </cell>
          <cell r="D17">
            <v>9</v>
          </cell>
        </row>
        <row r="18">
          <cell r="C18">
            <v>5</v>
          </cell>
          <cell r="D18">
            <v>3</v>
          </cell>
        </row>
        <row r="19">
          <cell r="C19">
            <v>11</v>
          </cell>
          <cell r="D19">
            <v>1</v>
          </cell>
        </row>
        <row r="20">
          <cell r="C20">
            <v>1</v>
          </cell>
          <cell r="D20">
            <v>24</v>
          </cell>
        </row>
        <row r="21">
          <cell r="C21">
            <v>2</v>
          </cell>
          <cell r="D21">
            <v>14</v>
          </cell>
        </row>
        <row r="22">
          <cell r="C22">
            <v>1</v>
          </cell>
          <cell r="D22">
            <v>25</v>
          </cell>
        </row>
        <row r="23">
          <cell r="C23">
            <v>1</v>
          </cell>
          <cell r="D23">
            <v>26</v>
          </cell>
        </row>
        <row r="24">
          <cell r="C24">
            <v>0</v>
          </cell>
          <cell r="D24">
            <v>30</v>
          </cell>
        </row>
        <row r="25">
          <cell r="C25">
            <v>3</v>
          </cell>
          <cell r="D25">
            <v>10</v>
          </cell>
        </row>
        <row r="26">
          <cell r="C26">
            <v>4</v>
          </cell>
          <cell r="D26">
            <v>5</v>
          </cell>
        </row>
        <row r="27">
          <cell r="C27">
            <v>0</v>
          </cell>
          <cell r="D27">
            <v>31</v>
          </cell>
        </row>
        <row r="28">
          <cell r="C28">
            <v>1</v>
          </cell>
          <cell r="D28">
            <v>27</v>
          </cell>
        </row>
        <row r="29">
          <cell r="C29">
            <v>3</v>
          </cell>
          <cell r="D29">
            <v>11</v>
          </cell>
        </row>
        <row r="30">
          <cell r="C30">
            <v>2</v>
          </cell>
          <cell r="D30">
            <v>15</v>
          </cell>
        </row>
        <row r="31">
          <cell r="C31">
            <v>0</v>
          </cell>
          <cell r="D31">
            <v>32</v>
          </cell>
        </row>
        <row r="32">
          <cell r="C32">
            <v>1</v>
          </cell>
          <cell r="D32">
            <v>28</v>
          </cell>
        </row>
        <row r="33">
          <cell r="C33">
            <v>4</v>
          </cell>
          <cell r="D33">
            <v>6</v>
          </cell>
        </row>
        <row r="34">
          <cell r="C34">
            <v>1</v>
          </cell>
          <cell r="D34">
            <v>29</v>
          </cell>
        </row>
        <row r="35">
          <cell r="C35">
            <v>2</v>
          </cell>
          <cell r="D35">
            <v>16</v>
          </cell>
        </row>
        <row r="36">
          <cell r="C36">
            <v>2</v>
          </cell>
          <cell r="D36">
            <v>17</v>
          </cell>
        </row>
      </sheetData>
      <sheetData sheetId="43">
        <row r="5">
          <cell r="C5">
            <v>1</v>
          </cell>
          <cell r="D5">
            <v>22</v>
          </cell>
        </row>
        <row r="6">
          <cell r="C6">
            <v>23</v>
          </cell>
          <cell r="D6">
            <v>2</v>
          </cell>
        </row>
        <row r="7">
          <cell r="C7">
            <v>5</v>
          </cell>
          <cell r="D7">
            <v>16</v>
          </cell>
        </row>
        <row r="8">
          <cell r="C8">
            <v>12</v>
          </cell>
          <cell r="D8">
            <v>6</v>
          </cell>
        </row>
        <row r="9">
          <cell r="C9">
            <v>1</v>
          </cell>
          <cell r="D9">
            <v>23</v>
          </cell>
        </row>
        <row r="10">
          <cell r="C10">
            <v>15</v>
          </cell>
          <cell r="D10">
            <v>3</v>
          </cell>
        </row>
        <row r="11">
          <cell r="C11">
            <v>0</v>
          </cell>
          <cell r="D11">
            <v>28</v>
          </cell>
        </row>
        <row r="12">
          <cell r="C12">
            <v>7</v>
          </cell>
          <cell r="D12">
            <v>14</v>
          </cell>
        </row>
        <row r="13">
          <cell r="C13">
            <v>0</v>
          </cell>
          <cell r="D13">
            <v>29</v>
          </cell>
        </row>
        <row r="14">
          <cell r="C14">
            <v>5</v>
          </cell>
          <cell r="D14">
            <v>17</v>
          </cell>
        </row>
        <row r="15">
          <cell r="C15">
            <v>0</v>
          </cell>
          <cell r="D15">
            <v>30</v>
          </cell>
        </row>
        <row r="16">
          <cell r="C16">
            <v>1</v>
          </cell>
          <cell r="D16">
            <v>24</v>
          </cell>
        </row>
        <row r="17">
          <cell r="C17">
            <v>2</v>
          </cell>
          <cell r="D17">
            <v>21</v>
          </cell>
        </row>
        <row r="18">
          <cell r="C18">
            <v>8</v>
          </cell>
          <cell r="D18">
            <v>12</v>
          </cell>
        </row>
        <row r="19">
          <cell r="C19">
            <v>0</v>
          </cell>
          <cell r="D19">
            <v>31</v>
          </cell>
        </row>
        <row r="20">
          <cell r="C20">
            <v>51</v>
          </cell>
          <cell r="D20">
            <v>1</v>
          </cell>
        </row>
        <row r="21">
          <cell r="C21">
            <v>1</v>
          </cell>
          <cell r="D21">
            <v>25</v>
          </cell>
        </row>
        <row r="22">
          <cell r="C22">
            <v>1</v>
          </cell>
          <cell r="D22">
            <v>26</v>
          </cell>
        </row>
        <row r="23">
          <cell r="C23">
            <v>10</v>
          </cell>
          <cell r="D23">
            <v>9</v>
          </cell>
        </row>
        <row r="24">
          <cell r="C24">
            <v>14</v>
          </cell>
          <cell r="D24">
            <v>4</v>
          </cell>
        </row>
        <row r="25">
          <cell r="C25">
            <v>8</v>
          </cell>
          <cell r="D25">
            <v>13</v>
          </cell>
        </row>
        <row r="26">
          <cell r="C26">
            <v>3</v>
          </cell>
          <cell r="D26">
            <v>20</v>
          </cell>
        </row>
        <row r="27">
          <cell r="C27">
            <v>12</v>
          </cell>
          <cell r="D27">
            <v>7</v>
          </cell>
        </row>
        <row r="28">
          <cell r="C28">
            <v>10</v>
          </cell>
          <cell r="D28">
            <v>10</v>
          </cell>
        </row>
        <row r="29">
          <cell r="C29">
            <v>0</v>
          </cell>
          <cell r="D29">
            <v>32</v>
          </cell>
        </row>
        <row r="30">
          <cell r="C30">
            <v>11</v>
          </cell>
          <cell r="D30">
            <v>8</v>
          </cell>
        </row>
        <row r="31">
          <cell r="C31">
            <v>14</v>
          </cell>
          <cell r="D31">
            <v>5</v>
          </cell>
        </row>
        <row r="32">
          <cell r="C32">
            <v>4</v>
          </cell>
          <cell r="D32">
            <v>18</v>
          </cell>
        </row>
        <row r="33">
          <cell r="C33">
            <v>7</v>
          </cell>
          <cell r="D33">
            <v>15</v>
          </cell>
        </row>
        <row r="34">
          <cell r="C34">
            <v>9</v>
          </cell>
          <cell r="D34">
            <v>11</v>
          </cell>
        </row>
        <row r="35">
          <cell r="C35">
            <v>1</v>
          </cell>
          <cell r="D35">
            <v>27</v>
          </cell>
        </row>
        <row r="36">
          <cell r="C36">
            <v>4</v>
          </cell>
          <cell r="D36">
            <v>19</v>
          </cell>
        </row>
      </sheetData>
      <sheetData sheetId="44">
        <row r="5">
          <cell r="C5">
            <v>0</v>
          </cell>
          <cell r="D5">
            <v>7</v>
          </cell>
        </row>
        <row r="6">
          <cell r="C6">
            <v>0</v>
          </cell>
          <cell r="D6">
            <v>8</v>
          </cell>
        </row>
        <row r="7">
          <cell r="C7">
            <v>0</v>
          </cell>
          <cell r="D7">
            <v>9</v>
          </cell>
        </row>
        <row r="8">
          <cell r="C8">
            <v>25</v>
          </cell>
          <cell r="D8">
            <v>1</v>
          </cell>
        </row>
        <row r="9">
          <cell r="C9">
            <v>0</v>
          </cell>
          <cell r="D9">
            <v>10</v>
          </cell>
        </row>
        <row r="10">
          <cell r="C10">
            <v>1</v>
          </cell>
          <cell r="D10">
            <v>5</v>
          </cell>
        </row>
        <row r="11">
          <cell r="C11">
            <v>0</v>
          </cell>
          <cell r="D11">
            <v>11</v>
          </cell>
        </row>
        <row r="12">
          <cell r="C12">
            <v>0</v>
          </cell>
          <cell r="D12">
            <v>12</v>
          </cell>
        </row>
        <row r="13">
          <cell r="C13">
            <v>0</v>
          </cell>
          <cell r="D13">
            <v>13</v>
          </cell>
        </row>
        <row r="14">
          <cell r="C14">
            <v>0</v>
          </cell>
          <cell r="D14">
            <v>14</v>
          </cell>
        </row>
        <row r="15">
          <cell r="C15">
            <v>0</v>
          </cell>
          <cell r="D15">
            <v>15</v>
          </cell>
        </row>
        <row r="16">
          <cell r="C16">
            <v>0</v>
          </cell>
          <cell r="D16">
            <v>16</v>
          </cell>
        </row>
        <row r="17">
          <cell r="C17">
            <v>0</v>
          </cell>
          <cell r="D17">
            <v>17</v>
          </cell>
        </row>
        <row r="18">
          <cell r="C18">
            <v>0</v>
          </cell>
          <cell r="D18">
            <v>18</v>
          </cell>
        </row>
        <row r="19">
          <cell r="C19">
            <v>0</v>
          </cell>
          <cell r="D19">
            <v>19</v>
          </cell>
        </row>
        <row r="20">
          <cell r="C20">
            <v>9</v>
          </cell>
          <cell r="D20">
            <v>2</v>
          </cell>
        </row>
        <row r="21">
          <cell r="C21">
            <v>0</v>
          </cell>
          <cell r="D21">
            <v>20</v>
          </cell>
        </row>
        <row r="22">
          <cell r="C22">
            <v>0</v>
          </cell>
          <cell r="D22">
            <v>21</v>
          </cell>
        </row>
        <row r="23">
          <cell r="C23">
            <v>0</v>
          </cell>
          <cell r="D23">
            <v>22</v>
          </cell>
        </row>
        <row r="24">
          <cell r="C24">
            <v>0</v>
          </cell>
          <cell r="D24">
            <v>23</v>
          </cell>
        </row>
        <row r="25">
          <cell r="C25">
            <v>3</v>
          </cell>
          <cell r="D25">
            <v>3</v>
          </cell>
        </row>
        <row r="26">
          <cell r="C26">
            <v>0</v>
          </cell>
          <cell r="D26">
            <v>24</v>
          </cell>
        </row>
        <row r="27">
          <cell r="C27">
            <v>0</v>
          </cell>
          <cell r="D27">
            <v>25</v>
          </cell>
        </row>
        <row r="28">
          <cell r="C28">
            <v>3</v>
          </cell>
          <cell r="D28">
            <v>4</v>
          </cell>
        </row>
        <row r="29">
          <cell r="C29">
            <v>0</v>
          </cell>
          <cell r="D29">
            <v>26</v>
          </cell>
        </row>
        <row r="30">
          <cell r="C30">
            <v>0</v>
          </cell>
          <cell r="D30">
            <v>27</v>
          </cell>
        </row>
        <row r="31">
          <cell r="C31">
            <v>0</v>
          </cell>
          <cell r="D31">
            <v>28</v>
          </cell>
        </row>
        <row r="32">
          <cell r="C32">
            <v>0</v>
          </cell>
          <cell r="D32">
            <v>29</v>
          </cell>
        </row>
        <row r="33">
          <cell r="C33">
            <v>1</v>
          </cell>
          <cell r="D33">
            <v>6</v>
          </cell>
        </row>
        <row r="34">
          <cell r="C34">
            <v>0</v>
          </cell>
          <cell r="D34">
            <v>30</v>
          </cell>
        </row>
        <row r="35">
          <cell r="C35">
            <v>0</v>
          </cell>
          <cell r="D35">
            <v>31</v>
          </cell>
        </row>
        <row r="36">
          <cell r="C36">
            <v>0</v>
          </cell>
          <cell r="D36">
            <v>32</v>
          </cell>
        </row>
      </sheetData>
      <sheetData sheetId="45">
        <row r="5">
          <cell r="C5">
            <v>4</v>
          </cell>
          <cell r="D5">
            <v>24</v>
          </cell>
        </row>
        <row r="6">
          <cell r="C6">
            <v>24</v>
          </cell>
          <cell r="D6">
            <v>3</v>
          </cell>
        </row>
        <row r="7">
          <cell r="C7">
            <v>6</v>
          </cell>
          <cell r="D7">
            <v>19</v>
          </cell>
        </row>
        <row r="8">
          <cell r="C8">
            <v>39</v>
          </cell>
          <cell r="D8">
            <v>2</v>
          </cell>
        </row>
        <row r="9">
          <cell r="C9">
            <v>2</v>
          </cell>
          <cell r="D9">
            <v>30</v>
          </cell>
        </row>
        <row r="10">
          <cell r="C10">
            <v>17</v>
          </cell>
          <cell r="D10">
            <v>4</v>
          </cell>
        </row>
        <row r="11">
          <cell r="C11">
            <v>4</v>
          </cell>
          <cell r="D11">
            <v>25</v>
          </cell>
        </row>
        <row r="12">
          <cell r="C12">
            <v>8</v>
          </cell>
          <cell r="D12">
            <v>16</v>
          </cell>
        </row>
        <row r="13">
          <cell r="C13">
            <v>3</v>
          </cell>
          <cell r="D13">
            <v>26</v>
          </cell>
        </row>
        <row r="14">
          <cell r="C14">
            <v>6</v>
          </cell>
          <cell r="D14">
            <v>20</v>
          </cell>
        </row>
        <row r="15">
          <cell r="C15">
            <v>2</v>
          </cell>
          <cell r="D15">
            <v>31</v>
          </cell>
        </row>
        <row r="16">
          <cell r="C16">
            <v>8</v>
          </cell>
          <cell r="D16">
            <v>17</v>
          </cell>
        </row>
        <row r="17">
          <cell r="C17">
            <v>5</v>
          </cell>
          <cell r="D17">
            <v>22</v>
          </cell>
        </row>
        <row r="18">
          <cell r="C18">
            <v>13</v>
          </cell>
          <cell r="D18">
            <v>9</v>
          </cell>
        </row>
        <row r="19">
          <cell r="C19">
            <v>11</v>
          </cell>
          <cell r="D19">
            <v>13</v>
          </cell>
        </row>
        <row r="20">
          <cell r="C20">
            <v>61</v>
          </cell>
          <cell r="D20">
            <v>1</v>
          </cell>
        </row>
        <row r="21">
          <cell r="C21">
            <v>3</v>
          </cell>
          <cell r="D21">
            <v>27</v>
          </cell>
        </row>
        <row r="22">
          <cell r="C22">
            <v>2</v>
          </cell>
          <cell r="D22">
            <v>32</v>
          </cell>
        </row>
        <row r="23">
          <cell r="C23">
            <v>11</v>
          </cell>
          <cell r="D23">
            <v>14</v>
          </cell>
        </row>
        <row r="24">
          <cell r="C24">
            <v>14</v>
          </cell>
          <cell r="D24">
            <v>5</v>
          </cell>
        </row>
        <row r="25">
          <cell r="C25">
            <v>14</v>
          </cell>
          <cell r="D25">
            <v>6</v>
          </cell>
        </row>
        <row r="26">
          <cell r="C26">
            <v>7</v>
          </cell>
          <cell r="D26">
            <v>18</v>
          </cell>
        </row>
        <row r="27">
          <cell r="C27">
            <v>12</v>
          </cell>
          <cell r="D27">
            <v>11</v>
          </cell>
        </row>
        <row r="28">
          <cell r="C28">
            <v>14</v>
          </cell>
          <cell r="D28">
            <v>7</v>
          </cell>
        </row>
        <row r="29">
          <cell r="C29">
            <v>3</v>
          </cell>
          <cell r="D29">
            <v>28</v>
          </cell>
        </row>
        <row r="30">
          <cell r="C30">
            <v>13</v>
          </cell>
          <cell r="D30">
            <v>10</v>
          </cell>
        </row>
        <row r="31">
          <cell r="C31">
            <v>14</v>
          </cell>
          <cell r="D31">
            <v>8</v>
          </cell>
        </row>
        <row r="32">
          <cell r="C32">
            <v>5</v>
          </cell>
          <cell r="D32">
            <v>23</v>
          </cell>
        </row>
        <row r="33">
          <cell r="C33">
            <v>12</v>
          </cell>
          <cell r="D33">
            <v>12</v>
          </cell>
        </row>
        <row r="34">
          <cell r="C34">
            <v>10</v>
          </cell>
          <cell r="D34">
            <v>15</v>
          </cell>
        </row>
        <row r="35">
          <cell r="C35">
            <v>3</v>
          </cell>
          <cell r="D35">
            <v>29</v>
          </cell>
        </row>
        <row r="36">
          <cell r="C36">
            <v>6</v>
          </cell>
          <cell r="D36">
            <v>21</v>
          </cell>
        </row>
      </sheetData>
      <sheetData sheetId="46"/>
      <sheetData sheetId="47"/>
      <sheetData sheetId="48"/>
      <sheetData sheetId="49"/>
      <sheetData sheetId="50"/>
      <sheetData sheetId="51">
        <row r="5">
          <cell r="C5">
            <v>1889</v>
          </cell>
          <cell r="D5">
            <v>15</v>
          </cell>
        </row>
        <row r="6">
          <cell r="C6">
            <v>2329</v>
          </cell>
          <cell r="D6">
            <v>9</v>
          </cell>
        </row>
        <row r="7">
          <cell r="C7">
            <v>2019</v>
          </cell>
          <cell r="D7">
            <v>12</v>
          </cell>
        </row>
        <row r="8">
          <cell r="C8">
            <v>1556</v>
          </cell>
          <cell r="D8">
            <v>21</v>
          </cell>
        </row>
        <row r="9">
          <cell r="C9">
            <v>631</v>
          </cell>
          <cell r="D9">
            <v>29</v>
          </cell>
        </row>
        <row r="10">
          <cell r="C10">
            <v>2112</v>
          </cell>
          <cell r="D10">
            <v>11</v>
          </cell>
        </row>
        <row r="11">
          <cell r="C11">
            <v>3924</v>
          </cell>
          <cell r="D11">
            <v>5</v>
          </cell>
        </row>
        <row r="12">
          <cell r="C12">
            <v>1254</v>
          </cell>
          <cell r="D12">
            <v>25</v>
          </cell>
        </row>
        <row r="13">
          <cell r="C13">
            <v>1378</v>
          </cell>
          <cell r="D13">
            <v>24</v>
          </cell>
        </row>
        <row r="14">
          <cell r="C14">
            <v>1173</v>
          </cell>
          <cell r="D14">
            <v>26</v>
          </cell>
        </row>
        <row r="15">
          <cell r="C15">
            <v>1559</v>
          </cell>
          <cell r="D15">
            <v>20</v>
          </cell>
        </row>
        <row r="16">
          <cell r="C16">
            <v>5031</v>
          </cell>
          <cell r="D16">
            <v>3</v>
          </cell>
        </row>
        <row r="17">
          <cell r="C17">
            <v>1549</v>
          </cell>
          <cell r="D17">
            <v>22</v>
          </cell>
        </row>
        <row r="18">
          <cell r="C18">
            <v>6444</v>
          </cell>
          <cell r="D18">
            <v>1</v>
          </cell>
        </row>
        <row r="19">
          <cell r="C19">
            <v>5993</v>
          </cell>
          <cell r="D19">
            <v>2</v>
          </cell>
        </row>
        <row r="20">
          <cell r="C20">
            <v>4646</v>
          </cell>
          <cell r="D20">
            <v>4</v>
          </cell>
        </row>
        <row r="21">
          <cell r="C21">
            <v>1799</v>
          </cell>
          <cell r="D21">
            <v>16</v>
          </cell>
        </row>
        <row r="22">
          <cell r="C22">
            <v>966</v>
          </cell>
          <cell r="D22">
            <v>28</v>
          </cell>
        </row>
        <row r="23">
          <cell r="C23">
            <v>1783</v>
          </cell>
          <cell r="D23">
            <v>17</v>
          </cell>
        </row>
        <row r="24">
          <cell r="C24">
            <v>340</v>
          </cell>
          <cell r="D24">
            <v>32</v>
          </cell>
        </row>
        <row r="25">
          <cell r="C25">
            <v>1957</v>
          </cell>
          <cell r="D25">
            <v>13</v>
          </cell>
        </row>
        <row r="26">
          <cell r="C26">
            <v>3483</v>
          </cell>
          <cell r="D26">
            <v>6</v>
          </cell>
        </row>
        <row r="27">
          <cell r="C27">
            <v>388</v>
          </cell>
          <cell r="D27">
            <v>30</v>
          </cell>
        </row>
        <row r="28">
          <cell r="C28">
            <v>1953</v>
          </cell>
          <cell r="D28">
            <v>14</v>
          </cell>
        </row>
        <row r="29">
          <cell r="C29">
            <v>2134</v>
          </cell>
          <cell r="D29">
            <v>10</v>
          </cell>
        </row>
        <row r="30">
          <cell r="C30">
            <v>2837</v>
          </cell>
          <cell r="D30">
            <v>8</v>
          </cell>
        </row>
        <row r="31">
          <cell r="C31">
            <v>369</v>
          </cell>
          <cell r="D31">
            <v>31</v>
          </cell>
        </row>
        <row r="32">
          <cell r="C32">
            <v>1474</v>
          </cell>
          <cell r="D32">
            <v>23</v>
          </cell>
        </row>
        <row r="33">
          <cell r="C33">
            <v>3391</v>
          </cell>
          <cell r="D33">
            <v>7</v>
          </cell>
        </row>
        <row r="34">
          <cell r="C34">
            <v>1056</v>
          </cell>
          <cell r="D34">
            <v>27</v>
          </cell>
        </row>
        <row r="35">
          <cell r="C35">
            <v>1591</v>
          </cell>
          <cell r="D35">
            <v>19</v>
          </cell>
        </row>
        <row r="36">
          <cell r="C36">
            <v>1736</v>
          </cell>
          <cell r="D36">
            <v>18</v>
          </cell>
        </row>
      </sheetData>
      <sheetData sheetId="52"/>
      <sheetData sheetId="53">
        <row r="5">
          <cell r="C5">
            <v>435</v>
          </cell>
          <cell r="D5">
            <v>6</v>
          </cell>
        </row>
        <row r="6">
          <cell r="C6">
            <v>362</v>
          </cell>
          <cell r="D6">
            <v>8</v>
          </cell>
        </row>
        <row r="7">
          <cell r="C7">
            <v>99</v>
          </cell>
          <cell r="D7">
            <v>25</v>
          </cell>
        </row>
        <row r="8">
          <cell r="C8">
            <v>332</v>
          </cell>
          <cell r="D8">
            <v>9</v>
          </cell>
        </row>
        <row r="9">
          <cell r="C9">
            <v>68</v>
          </cell>
          <cell r="D9">
            <v>29</v>
          </cell>
        </row>
        <row r="10">
          <cell r="C10">
            <v>363</v>
          </cell>
          <cell r="D10">
            <v>7</v>
          </cell>
        </row>
        <row r="11">
          <cell r="C11">
            <v>656</v>
          </cell>
          <cell r="D11">
            <v>3</v>
          </cell>
        </row>
        <row r="12">
          <cell r="C12">
            <v>164</v>
          </cell>
          <cell r="D12">
            <v>18</v>
          </cell>
        </row>
        <row r="13">
          <cell r="C13">
            <v>81</v>
          </cell>
          <cell r="D13">
            <v>27</v>
          </cell>
        </row>
        <row r="14">
          <cell r="C14">
            <v>139</v>
          </cell>
          <cell r="D14">
            <v>22</v>
          </cell>
        </row>
        <row r="15">
          <cell r="C15">
            <v>80</v>
          </cell>
          <cell r="D15">
            <v>28</v>
          </cell>
        </row>
        <row r="16">
          <cell r="C16">
            <v>783</v>
          </cell>
          <cell r="D16">
            <v>2</v>
          </cell>
        </row>
        <row r="17">
          <cell r="C17">
            <v>159</v>
          </cell>
          <cell r="D17">
            <v>20</v>
          </cell>
        </row>
        <row r="18">
          <cell r="C18">
            <v>482</v>
          </cell>
          <cell r="D18">
            <v>5</v>
          </cell>
        </row>
        <row r="19">
          <cell r="C19">
            <v>1562</v>
          </cell>
          <cell r="D19">
            <v>1</v>
          </cell>
        </row>
        <row r="20">
          <cell r="C20">
            <v>268</v>
          </cell>
          <cell r="D20">
            <v>13</v>
          </cell>
        </row>
        <row r="21">
          <cell r="C21">
            <v>115</v>
          </cell>
          <cell r="D21">
            <v>24</v>
          </cell>
        </row>
        <row r="22">
          <cell r="C22">
            <v>97</v>
          </cell>
          <cell r="D22">
            <v>26</v>
          </cell>
        </row>
        <row r="23">
          <cell r="C23">
            <v>142</v>
          </cell>
          <cell r="D23">
            <v>21</v>
          </cell>
        </row>
        <row r="24">
          <cell r="C24">
            <v>21</v>
          </cell>
          <cell r="D24">
            <v>31</v>
          </cell>
        </row>
        <row r="25">
          <cell r="C25">
            <v>230</v>
          </cell>
          <cell r="D25">
            <v>15</v>
          </cell>
        </row>
        <row r="26">
          <cell r="C26">
            <v>495</v>
          </cell>
          <cell r="D26">
            <v>4</v>
          </cell>
        </row>
        <row r="27">
          <cell r="C27">
            <v>29</v>
          </cell>
          <cell r="D27">
            <v>30</v>
          </cell>
        </row>
        <row r="28">
          <cell r="C28">
            <v>287</v>
          </cell>
          <cell r="D28">
            <v>11</v>
          </cell>
        </row>
        <row r="29">
          <cell r="C29">
            <v>169</v>
          </cell>
          <cell r="D29">
            <v>17</v>
          </cell>
        </row>
        <row r="30">
          <cell r="C30">
            <v>285</v>
          </cell>
          <cell r="D30">
            <v>12</v>
          </cell>
        </row>
        <row r="31">
          <cell r="C31">
            <v>16</v>
          </cell>
          <cell r="D31">
            <v>32</v>
          </cell>
        </row>
        <row r="32">
          <cell r="C32">
            <v>310</v>
          </cell>
          <cell r="D32">
            <v>10</v>
          </cell>
        </row>
        <row r="33">
          <cell r="C33">
            <v>251</v>
          </cell>
          <cell r="D33">
            <v>14</v>
          </cell>
        </row>
        <row r="34">
          <cell r="C34">
            <v>160</v>
          </cell>
          <cell r="D34">
            <v>19</v>
          </cell>
        </row>
        <row r="35">
          <cell r="C35">
            <v>121</v>
          </cell>
          <cell r="D35">
            <v>23</v>
          </cell>
        </row>
        <row r="36">
          <cell r="C36">
            <v>178</v>
          </cell>
          <cell r="D36">
            <v>16</v>
          </cell>
        </row>
      </sheetData>
      <sheetData sheetId="54">
        <row r="5">
          <cell r="C5">
            <v>396</v>
          </cell>
          <cell r="D5">
            <v>6</v>
          </cell>
        </row>
        <row r="6">
          <cell r="C6">
            <v>1720</v>
          </cell>
          <cell r="D6">
            <v>2</v>
          </cell>
        </row>
        <row r="7">
          <cell r="C7">
            <v>2667</v>
          </cell>
          <cell r="D7">
            <v>1</v>
          </cell>
        </row>
        <row r="8">
          <cell r="C8">
            <v>125</v>
          </cell>
          <cell r="D8">
            <v>13</v>
          </cell>
        </row>
        <row r="9">
          <cell r="C9">
            <v>1145</v>
          </cell>
          <cell r="D9">
            <v>3</v>
          </cell>
        </row>
        <row r="10">
          <cell r="C10">
            <v>352</v>
          </cell>
          <cell r="D10">
            <v>8</v>
          </cell>
        </row>
        <row r="11">
          <cell r="C11">
            <v>21</v>
          </cell>
          <cell r="D11">
            <v>15</v>
          </cell>
        </row>
        <row r="12">
          <cell r="C12">
            <v>66</v>
          </cell>
          <cell r="D12">
            <v>14</v>
          </cell>
        </row>
        <row r="13">
          <cell r="C13">
            <v>482</v>
          </cell>
          <cell r="D13">
            <v>5</v>
          </cell>
        </row>
        <row r="14">
          <cell r="C14">
            <v>363</v>
          </cell>
          <cell r="D14">
            <v>7</v>
          </cell>
        </row>
        <row r="15">
          <cell r="C15">
            <v>523</v>
          </cell>
          <cell r="D15">
            <v>4</v>
          </cell>
        </row>
        <row r="16">
          <cell r="C16">
            <v>234</v>
          </cell>
          <cell r="D16">
            <v>12</v>
          </cell>
        </row>
        <row r="17">
          <cell r="C17">
            <v>329</v>
          </cell>
          <cell r="D17">
            <v>9</v>
          </cell>
        </row>
        <row r="18">
          <cell r="C18">
            <v>273</v>
          </cell>
          <cell r="D18">
            <v>10</v>
          </cell>
        </row>
        <row r="19">
          <cell r="C19">
            <v>243</v>
          </cell>
          <cell r="D19">
            <v>11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Welsh, Gregor" refreshedDate="44071.470304166665" createdVersion="6" refreshedVersion="6" minRefreshableVersion="3" recordCount="2">
  <cacheSource type="worksheet">
    <worksheetSource name="Table1"/>
  </cacheSource>
  <cacheFields count="1">
    <cacheField name="FisYr" numFmtId="0">
      <sharedItems count="2">
        <s v="2018-19"/>
        <s v="2019-20"/>
      </sharedItems>
    </cacheField>
  </cacheFields>
  <extLst>
    <ext xmlns:x14="http://schemas.microsoft.com/office/spreadsheetml/2009/9/main" uri="{725AE2AE-9491-48be-B2B4-4EB974FC3084}">
      <x14:pivotCacheDefinition pivotCacheId="119"/>
    </ext>
  </extLst>
</pivotCacheDefinition>
</file>

<file path=xl/pivotCache/pivotCacheDefinition10.xml><?xml version="1.0" encoding="utf-8"?>
<pivotCacheDefinition xmlns="http://schemas.openxmlformats.org/spreadsheetml/2006/main" xmlns:r="http://schemas.openxmlformats.org/officeDocument/2006/relationships" r:id="rId1" refreshedBy="Welsh, Gregor" refreshedDate="44071.470306828705" createdVersion="6" refreshedVersion="6" minRefreshableVersion="3" recordCount="90">
  <cacheSource type="worksheet">
    <worksheetSource ref="A4:J94" sheet="T21a"/>
  </cacheSource>
  <cacheFields count="10">
    <cacheField name="FisYr" numFmtId="0">
      <sharedItems count="6">
        <s v="2014-15"/>
        <s v="2015-16"/>
        <s v="2016-17"/>
        <s v="2017-18"/>
        <s v="2018-19"/>
        <s v="2019-20"/>
      </sharedItems>
    </cacheField>
    <cacheField name="FSEC" numFmtId="0">
      <sharedItems count="15">
        <s v="A"/>
        <s v="B"/>
        <s v="C"/>
        <s v="E"/>
        <s v="F"/>
        <s v="H"/>
        <s v="J"/>
        <s v="K"/>
        <s v="L"/>
        <s v="M"/>
        <s v="N"/>
        <s v="P"/>
        <s v="R"/>
        <s v="S"/>
        <s v="T"/>
      </sharedItems>
    </cacheField>
    <cacheField name="A_Tally" numFmtId="0">
      <sharedItems containsSemiMixedTypes="0" containsString="0" containsNumber="1" containsInteger="1" minValue="20" maxValue="2916"/>
    </cacheField>
    <cacheField name="A_Hours" numFmtId="0">
      <sharedItems containsString="0" containsBlank="1" containsNumber="1" minValue="104.5" maxValue="10285.25"/>
    </cacheField>
    <cacheField name="B_Tally" numFmtId="0">
      <sharedItems containsString="0" containsBlank="1" containsNumber="1" containsInteger="1" minValue="1" maxValue="213"/>
    </cacheField>
    <cacheField name="B_Hours" numFmtId="0">
      <sharedItems containsString="0" containsBlank="1" containsNumber="1" minValue="4.75" maxValue="2008.25"/>
    </cacheField>
    <cacheField name="Enforcement_Tally" numFmtId="0">
      <sharedItems containsString="0" containsBlank="1" containsNumber="1" containsInteger="1" minValue="1" maxValue="14"/>
    </cacheField>
    <cacheField name="Enforcement_Hours" numFmtId="0">
      <sharedItems containsString="0" containsBlank="1" containsNumber="1" minValue="3" maxValue="436.5"/>
    </cacheField>
    <cacheField name="Prohibition_Tally" numFmtId="0">
      <sharedItems containsString="0" containsBlank="1" containsNumber="1" containsInteger="1" minValue="1" maxValue="12"/>
    </cacheField>
    <cacheField name="Prohibition_Hours" numFmtId="0">
      <sharedItems containsString="0" containsBlank="1" containsNumber="1" minValue="2" maxValue="181.25"/>
    </cacheField>
  </cacheFields>
  <extLst>
    <ext xmlns:x14="http://schemas.microsoft.com/office/spreadsheetml/2009/9/main" uri="{725AE2AE-9491-48be-B2B4-4EB974FC3084}">
      <x14:pivotCacheDefinition pivotCacheId="94"/>
    </ext>
  </extLst>
</pivotCacheDefinition>
</file>

<file path=xl/pivotCache/pivotCacheDefinition11.xml><?xml version="1.0" encoding="utf-8"?>
<pivotCacheDefinition xmlns="http://schemas.openxmlformats.org/spreadsheetml/2006/main" xmlns:r="http://schemas.openxmlformats.org/officeDocument/2006/relationships" r:id="rId1" refreshedBy="Welsh, Gregor" refreshedDate="44071.470307175929" createdVersion="6" refreshedVersion="6" minRefreshableVersion="3" recordCount="192">
  <cacheSource type="worksheet">
    <worksheetSource ref="A40:S232" sheet="T20"/>
  </cacheSource>
  <cacheFields count="19">
    <cacheField name="FisYr" numFmtId="0">
      <sharedItems count="6">
        <s v="2014-15"/>
        <s v="2015-16"/>
        <s v="2016-17"/>
        <s v="2017-18"/>
        <s v="2018-19"/>
        <s v="2019-20"/>
      </sharedItems>
    </cacheField>
    <cacheField name="GSSCode" numFmtId="0">
      <sharedItems/>
    </cacheField>
    <cacheField name="Council" numFmtId="0">
      <sharedItems count="32">
        <s v="Clackmannanshire"/>
        <s v="Dumfries and Galloway"/>
        <s v="East Ayrshire"/>
        <s v="East Lothian"/>
        <s v="East Renfrewshire"/>
        <s v="Na h-Eileanan Siar"/>
        <s v="Falkirk"/>
        <s v="Fife"/>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haredItems>
    </cacheField>
    <cacheField name="Total Of Total Of PremisesVisited" numFmtId="0">
      <sharedItems containsSemiMixedTypes="0" containsString="0" containsNumber="1" containsInteger="1" minValue="1" maxValue="1956"/>
    </cacheField>
    <cacheField name="Care Home" numFmtId="0">
      <sharedItems containsString="0" containsBlank="1" containsNumber="1" containsInteger="1" minValue="3" maxValue="165"/>
    </cacheField>
    <cacheField name="Factory or Warehouse" numFmtId="0">
      <sharedItems containsString="0" containsBlank="1" containsNumber="1" containsInteger="1" minValue="1" maxValue="117"/>
    </cacheField>
    <cacheField name="Further Education" numFmtId="0">
      <sharedItems containsString="0" containsBlank="1" containsNumber="1" containsInteger="1" minValue="1" maxValue="12"/>
    </cacheField>
    <cacheField name="HMO" numFmtId="0">
      <sharedItems containsString="0" containsBlank="1" containsNumber="1" containsInteger="1" minValue="1" maxValue="1115"/>
    </cacheField>
    <cacheField name="Hospital / Prison" numFmtId="0">
      <sharedItems containsString="0" containsBlank="1" containsNumber="1" containsInteger="1" minValue="1" maxValue="69"/>
    </cacheField>
    <cacheField name="Hostel" numFmtId="0">
      <sharedItems containsString="0" containsBlank="1" containsNumber="1" containsInteger="1" minValue="1" maxValue="69"/>
    </cacheField>
    <cacheField name="Hotel" numFmtId="0">
      <sharedItems containsString="0" containsBlank="1" containsNumber="1" containsInteger="1" minValue="1" maxValue="236"/>
    </cacheField>
    <cacheField name="Licensed Premises" numFmtId="0">
      <sharedItems containsString="0" containsBlank="1" containsNumber="1" containsInteger="1" minValue="1" maxValue="139"/>
    </cacheField>
    <cacheField name="Office" numFmtId="0">
      <sharedItems containsString="0" containsBlank="1" containsNumber="1" containsInteger="1" minValue="1" maxValue="113"/>
    </cacheField>
    <cacheField name="Other Premises Open to Public" numFmtId="0">
      <sharedItems containsString="0" containsBlank="1" containsNumber="1" containsInteger="1" minValue="1" maxValue="108"/>
    </cacheField>
    <cacheField name="Other Sleeping Accommodation" numFmtId="0">
      <sharedItems containsString="0" containsBlank="1" containsNumber="1" containsInteger="1" minValue="1" maxValue="84"/>
    </cacheField>
    <cacheField name="Other Workplace" numFmtId="0">
      <sharedItems containsString="0" containsBlank="1" containsNumber="1" containsInteger="1" minValue="1" maxValue="89"/>
    </cacheField>
    <cacheField name="Public Building" numFmtId="0">
      <sharedItems containsString="0" containsBlank="1" containsNumber="1" containsInteger="1" minValue="1" maxValue="16"/>
    </cacheField>
    <cacheField name="School" numFmtId="0">
      <sharedItems containsString="0" containsBlank="1" containsNumber="1" containsInteger="1" minValue="1" maxValue="122"/>
    </cacheField>
    <cacheField name="Shop" numFmtId="0">
      <sharedItems containsString="0" containsBlank="1" containsNumber="1" containsInteger="1" minValue="1" maxValue="147"/>
    </cacheField>
  </cacheFields>
  <extLst>
    <ext xmlns:x14="http://schemas.microsoft.com/office/spreadsheetml/2009/9/main" uri="{725AE2AE-9491-48be-B2B4-4EB974FC3084}">
      <x14:pivotCacheDefinition pivotCacheId="93"/>
    </ext>
  </extLst>
</pivotCacheDefinition>
</file>

<file path=xl/pivotCache/pivotCacheDefinition12.xml><?xml version="1.0" encoding="utf-8"?>
<pivotCacheDefinition xmlns="http://schemas.openxmlformats.org/spreadsheetml/2006/main" xmlns:r="http://schemas.openxmlformats.org/officeDocument/2006/relationships" r:id="rId1" refreshedBy="Welsh, Gregor" refreshedDate="44071.470307407406" createdVersion="6" refreshedVersion="6" minRefreshableVersion="3" recordCount="224">
  <cacheSource type="worksheet">
    <worksheetSource ref="A4:O228" sheet="T19"/>
  </cacheSource>
  <cacheFields count="15">
    <cacheField name="FisYr" numFmtId="0">
      <sharedItems count="7">
        <s v="2013-14"/>
        <s v="2014-15"/>
        <s v="2015-16"/>
        <s v="2016-17"/>
        <s v="2017-18"/>
        <s v="2018-19"/>
        <s v="2019-20"/>
      </sharedItems>
    </cacheField>
    <cacheField name="Council" numFmtId="0">
      <sharedItems count="32">
        <s v="Moray"/>
        <s v="Fife"/>
        <s v="Glasgow City"/>
        <s v="Shetland Islands"/>
        <s v="Midlothian"/>
        <s v="North Ayrshire"/>
        <s v="Perth and Kinross"/>
        <s v="Renfrewshire"/>
        <s v="South Lanarkshire"/>
        <s v="Aberdeenshire"/>
        <s v="East Dunbartonshire"/>
        <s v="West Lothian"/>
        <s v="City of Edinburgh"/>
        <s v="Angus"/>
        <s v="Dundee City"/>
        <s v="East Lothian"/>
        <s v="Inverclyde"/>
        <s v="North Lanarkshire"/>
        <s v="Scottish Borders"/>
        <s v="Aberdeen City"/>
        <s v="East Ayrshire"/>
        <s v="East Renfrewshire"/>
        <s v="Clackmannanshire"/>
        <s v="Na h-Eileanan Siar"/>
        <s v="Highland"/>
        <s v="Orkney Islands"/>
        <s v="Argyll and Bute"/>
        <s v="South Ayrshire"/>
        <s v="West Dunbartonshire"/>
        <s v="Falkirk"/>
        <s v="Dumfries and Galloway"/>
        <s v="Stirling"/>
      </sharedItems>
    </cacheField>
    <cacheField name="GSSCode" numFmtId="0">
      <sharedItems/>
    </cacheField>
    <cacheField name="VisitAlarmInstalled" numFmtId="0">
      <sharedItems containsSemiMixedTypes="0" containsString="0" containsNumber="1" containsInteger="1" minValue="55" maxValue="3531"/>
    </cacheField>
    <cacheField name="VisitAdviceOnly" numFmtId="0">
      <sharedItems containsSemiMixedTypes="0" containsString="0" containsNumber="1" containsInteger="1" minValue="150" maxValue="7409"/>
    </cacheField>
    <cacheField name="TotalVisits" numFmtId="0">
      <sharedItems containsSemiMixedTypes="0" containsString="0" containsNumber="1" containsInteger="1" minValue="223" maxValue="10053"/>
    </cacheField>
    <cacheField name="TotalAlarms" numFmtId="0">
      <sharedItems containsSemiMixedTypes="0" containsString="0" containsNumber="1" containsInteger="1" minValue="102" maxValue="5634"/>
    </cacheField>
    <cacheField name="TotalNewAlarms" numFmtId="0">
      <sharedItems containsSemiMixedTypes="0" containsString="0" containsNumber="1" containsInteger="1" minValue="60" maxValue="3943"/>
    </cacheField>
    <cacheField name="TotalReplacedAlarms" numFmtId="0">
      <sharedItems containsSemiMixedTypes="0" containsString="0" containsNumber="1" containsInteger="1" minValue="11" maxValue="1854"/>
    </cacheField>
    <cacheField name="Dwellings" numFmtId="0">
      <sharedItems containsSemiMixedTypes="0" containsString="0" containsNumber="1" containsInteger="1" minValue="10717" maxValue="314604"/>
    </cacheField>
    <cacheField name="VisitsPer100Dwelling" numFmtId="0">
      <sharedItems containsSemiMixedTypes="0" containsString="0" containsNumber="1" minValue="1.2010000000000001" maxValue="10.023"/>
    </cacheField>
    <cacheField name="AlarmsPer100Dwelling" numFmtId="0">
      <sharedItems containsSemiMixedTypes="0" containsString="0" containsNumber="1" minValue="0.49399999999999999" maxValue="3.7"/>
    </cacheField>
    <cacheField name="Households" numFmtId="0">
      <sharedItems containsSemiMixedTypes="0" containsString="0" containsNumber="1" containsInteger="1" minValue="9945" maxValue="294622"/>
    </cacheField>
    <cacheField name="VisitsPer100Household" numFmtId="0">
      <sharedItems containsSemiMixedTypes="0" containsString="0" containsNumber="1" minValue="1.266" maxValue="10.609"/>
    </cacheField>
    <cacheField name="AlarmsPer100Household" numFmtId="0">
      <sharedItems containsSemiMixedTypes="0" containsString="0" containsNumber="1" minValue="0.54400000000000004" maxValue="3.996"/>
    </cacheField>
  </cacheFields>
  <extLst>
    <ext xmlns:x14="http://schemas.microsoft.com/office/spreadsheetml/2009/9/main" uri="{725AE2AE-9491-48be-B2B4-4EB974FC3084}">
      <x14:pivotCacheDefinition pivotCacheId="92"/>
    </ext>
  </extLst>
</pivotCacheDefinition>
</file>

<file path=xl/pivotCache/pivotCacheDefinition13.xml><?xml version="1.0" encoding="utf-8"?>
<pivotCacheDefinition xmlns="http://schemas.openxmlformats.org/spreadsheetml/2006/main" xmlns:r="http://schemas.openxmlformats.org/officeDocument/2006/relationships" r:id="rId1" refreshedBy="Welsh, Gregor" refreshedDate="44071.470307870368" createdVersion="6" refreshedVersion="6" minRefreshableVersion="3" recordCount="32">
  <cacheSource type="worksheet">
    <worksheetSource ref="A4:G36" sheet="T16"/>
  </cacheSource>
  <cacheFields count="7">
    <cacheField name="Local Authority"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 Code" numFmtId="0">
      <sharedItems/>
    </cacheField>
    <cacheField name="2015-16" numFmtId="0">
      <sharedItems containsString="0" containsBlank="1" containsNumber="1" containsInteger="1" minValue="1" maxValue="16"/>
    </cacheField>
    <cacheField name="2016-17" numFmtId="0">
      <sharedItems containsString="0" containsBlank="1" containsNumber="1" containsInteger="1" minValue="1" maxValue="19"/>
    </cacheField>
    <cacheField name="2017-18" numFmtId="0">
      <sharedItems containsString="0" containsBlank="1" containsNumber="1" containsInteger="1" minValue="1" maxValue="20"/>
    </cacheField>
    <cacheField name="2018-19" numFmtId="0">
      <sharedItems containsString="0" containsBlank="1" containsNumber="1" containsInteger="1" minValue="1" maxValue="23"/>
    </cacheField>
    <cacheField name="2019-20" numFmtId="0">
      <sharedItems containsString="0" containsBlank="1" containsNumber="1" containsInteger="1" minValue="1" maxValue="12"/>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Welsh, Gregor" refreshedDate="44071.470307870368" createdVersion="6" refreshedVersion="6" minRefreshableVersion="3" recordCount="10">
  <cacheSource type="worksheet">
    <worksheetSource ref="A4:H14" sheet="T15i"/>
  </cacheSource>
  <cacheFields count="8">
    <cacheField name="Injuries" numFmtId="0">
      <sharedItems count="1">
        <s v="Yes"/>
      </sharedItems>
    </cacheField>
    <cacheField name="Op" numFmtId="0">
      <sharedItems count="2">
        <s v="Operational"/>
        <s v="Non-Operational"/>
      </sharedItems>
    </cacheField>
    <cacheField name="FinYear" numFmtId="0">
      <sharedItems count="9">
        <s v="2011-12"/>
        <s v="2012-13"/>
        <s v="2013-14"/>
        <s v="2014-15"/>
        <s v="2015-16"/>
        <s v="2016-17"/>
        <s v="2017-18"/>
        <s v="2018-19"/>
        <s v="2019-20"/>
      </sharedItems>
    </cacheField>
    <cacheField name="Objects thrown at firefighters/appliances" numFmtId="0">
      <sharedItems containsString="0" containsBlank="1" containsNumber="1" containsInteger="1" minValue="0" maxValue="3"/>
    </cacheField>
    <cacheField name="Physical abuse" numFmtId="0">
      <sharedItems containsString="0" containsBlank="1" containsNumber="1" containsInteger="1" minValue="0" maxValue="4"/>
    </cacheField>
    <cacheField name="Verbal abuse" numFmtId="0">
      <sharedItems containsString="0" containsBlank="1" containsNumber="1" containsInteger="1" minValue="0" maxValue="1"/>
    </cacheField>
    <cacheField name="Other acts of aggression" numFmtId="0">
      <sharedItems containsString="0" containsBlank="1" containsNumber="1" containsInteger="1" minValue="0" maxValue="2"/>
    </cacheField>
    <cacheField name="Total" numFmtId="0">
      <sharedItems containsSemiMixedTypes="0" containsString="0" containsNumber="1" containsInteger="1" minValue="1" maxValue="7"/>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Welsh, Gregor" refreshedDate="44071.470307986114" createdVersion="6" refreshedVersion="6" minRefreshableVersion="3" recordCount="14">
  <cacheSource type="worksheet">
    <worksheetSource ref="A4:H18" sheet="T15"/>
  </cacheSource>
  <cacheFields count="8">
    <cacheField name="Injuries" numFmtId="0">
      <sharedItems count="1">
        <s v="All"/>
      </sharedItems>
    </cacheField>
    <cacheField name="Op" numFmtId="0">
      <sharedItems count="2">
        <s v="Operational"/>
        <s v="Non-Operational"/>
      </sharedItems>
    </cacheField>
    <cacheField name="FinYear" numFmtId="0">
      <sharedItems count="9">
        <s v="2011-12"/>
        <s v="2012-13"/>
        <s v="2013-14"/>
        <s v="2014-15"/>
        <s v="2015-16"/>
        <s v="2016-17"/>
        <s v="2017-18"/>
        <s v="2018-19"/>
        <s v="2019-20"/>
      </sharedItems>
    </cacheField>
    <cacheField name="Objects thrown at firefighters/appliances" numFmtId="0">
      <sharedItems containsSemiMixedTypes="0" containsString="0" containsNumber="1" containsInteger="1" minValue="1" maxValue="49"/>
    </cacheField>
    <cacheField name="Physical abuse" numFmtId="0">
      <sharedItems containsString="0" containsBlank="1" containsNumber="1" containsInteger="1" minValue="2" maxValue="13"/>
    </cacheField>
    <cacheField name="Verbal abuse" numFmtId="0">
      <sharedItems containsSemiMixedTypes="0" containsString="0" containsNumber="1" containsInteger="1" minValue="1" maxValue="37"/>
    </cacheField>
    <cacheField name="Other acts of aggression" numFmtId="0">
      <sharedItems containsString="0" containsBlank="1" containsNumber="1" containsInteger="1" minValue="1" maxValue="15"/>
    </cacheField>
    <cacheField name="Total" numFmtId="0">
      <sharedItems containsSemiMixedTypes="0" containsString="0" containsNumber="1" containsInteger="1" minValue="3" maxValue="109"/>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Welsh, Gregor" refreshedDate="44071.470308101852" createdVersion="6" refreshedVersion="6" minRefreshableVersion="3" recordCount="64">
  <cacheSource type="worksheet">
    <worksheetSource ref="A4:E68" sheet="T11"/>
  </cacheSource>
  <cacheFields count="5">
    <cacheField name="FinYear" numFmtId="0">
      <sharedItems count="9">
        <s v="2011-12"/>
        <s v="2012-13"/>
        <s v="2013-14"/>
        <s v="2014-15"/>
        <s v="2015-16"/>
        <s v="2016-17"/>
        <s v="2017-18"/>
        <s v="2018-19"/>
        <s v="2019-20"/>
      </sharedItems>
    </cacheField>
    <cacheField name="Type" numFmtId="0">
      <sharedItems count="8">
        <s v="Control"/>
        <s v="RDS"/>
        <s v="Support"/>
        <s v="Total"/>
        <s v="Total (ex Vol)"/>
        <s v="Vol"/>
        <s v="WT"/>
        <s v="RDS Fulltime"/>
      </sharedItems>
    </cacheField>
    <cacheField name="White" numFmtId="0">
      <sharedItems containsSemiMixedTypes="0" containsString="0" containsNumber="1" minValue="26.7" maxValue="89.7"/>
    </cacheField>
    <cacheField name="Ethnic Minority" numFmtId="0">
      <sharedItems containsString="0" containsBlank="1" containsNumber="1" minValue="0.1" maxValue="1.8"/>
    </cacheField>
    <cacheField name="Not Stated" numFmtId="0">
      <sharedItems containsSemiMixedTypes="0" containsString="0" containsNumber="1" minValue="9.8000000000000007" maxValue="72.8"/>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Welsh, Gregor" refreshedDate="44071.470308217591" createdVersion="6" refreshedVersion="6" minRefreshableVersion="3" recordCount="136">
  <cacheSource type="worksheet">
    <worksheetSource ref="A4:F140" sheet="T9"/>
  </cacheSource>
  <cacheFields count="6">
    <cacheField name="FinYr" numFmtId="0">
      <sharedItems count="6">
        <s v="2013-14"/>
        <s v="2014-15"/>
        <s v="2015-16"/>
        <s v="2017-18"/>
        <s v="2018-19"/>
        <s v="2019-20"/>
      </sharedItems>
    </cacheField>
    <cacheField name="Type" numFmtId="0">
      <sharedItems count="5">
        <s v="Control"/>
        <s v="RDS"/>
        <s v="Support"/>
        <s v="WT"/>
        <s v="RDS Fulltime"/>
      </sharedItems>
    </cacheField>
    <cacheField name="PostConv" numFmtId="0">
      <sharedItems count="15">
        <s v="Crew Manager"/>
        <s v="Firefighter"/>
        <s v="Group Manager"/>
        <s v="Station Manager"/>
        <s v="Watch Manager"/>
        <s v="Administration"/>
        <s v="Director"/>
        <s v="Professional"/>
        <s v="Service Manager"/>
        <s v="Specialist Technical"/>
        <s v="Team Leader"/>
        <s v="Tech Support"/>
        <s v="Area Manager"/>
        <s v="Brigade Manager"/>
        <s v="Watch Manger"/>
      </sharedItems>
    </cacheField>
    <cacheField name="Total" numFmtId="0">
      <sharedItems containsString="0" containsBlank="1" containsNumber="1" minValue="1" maxValue="2373.7600000000002"/>
    </cacheField>
    <cacheField name="Female" numFmtId="0">
      <sharedItems containsString="0" containsBlank="1" containsNumber="1" minValue="0" maxValue="197.5"/>
    </cacheField>
    <cacheField name="Male" numFmtId="0">
      <sharedItems containsString="0" containsBlank="1" containsNumber="1" minValue="0" maxValue="2267.7600000000002"/>
    </cacheField>
  </cacheFields>
  <extLst>
    <ext xmlns:x14="http://schemas.microsoft.com/office/spreadsheetml/2009/9/main" uri="{725AE2AE-9491-48be-B2B4-4EB974FC3084}">
      <x14:pivotCacheDefinition pivotCacheId="89"/>
    </ext>
  </extLst>
</pivotCacheDefinition>
</file>

<file path=xl/pivotCache/pivotCacheDefinition18.xml><?xml version="1.0" encoding="utf-8"?>
<pivotCacheDefinition xmlns="http://schemas.openxmlformats.org/spreadsheetml/2006/main" xmlns:r="http://schemas.openxmlformats.org/officeDocument/2006/relationships" r:id="rId1" refreshedBy="Welsh, Gregor" refreshedDate="44071.470308564814" createdVersion="6" refreshedVersion="6" minRefreshableVersion="3" recordCount="37">
  <cacheSource type="worksheet">
    <worksheetSource ref="A4:E41" sheet="T8"/>
  </cacheSource>
  <cacheFields count="5">
    <cacheField name="FinYr" numFmtId="0">
      <sharedItems count="7">
        <s v="2013-14"/>
        <s v="2014-15"/>
        <s v="2015-16"/>
        <s v="2016-17"/>
        <s v="2017-18"/>
        <s v="2018-19"/>
        <s v="2019-20"/>
      </sharedItems>
    </cacheField>
    <cacheField name="Type" numFmtId="0">
      <sharedItems count="6">
        <s v="Control"/>
        <s v="RDS"/>
        <s v="Support"/>
        <s v="Vol"/>
        <s v="WT"/>
        <s v="RDS Fulltime"/>
      </sharedItems>
    </cacheField>
    <cacheField name="Total" numFmtId="0">
      <sharedItems containsSemiMixedTypes="0" containsString="0" containsNumber="1" containsInteger="1" minValue="18" maxValue="4001"/>
    </cacheField>
    <cacheField name="Female" numFmtId="0">
      <sharedItems containsSemiMixedTypes="0" containsString="0" containsNumber="1" containsInteger="1" minValue="1" maxValue="545"/>
    </cacheField>
    <cacheField name="Male" numFmtId="0">
      <sharedItems containsSemiMixedTypes="0" containsString="0" containsNumber="1" containsInteger="1" minValue="17" maxValue="3842"/>
    </cacheField>
  </cacheFields>
  <extLst>
    <ext xmlns:x14="http://schemas.microsoft.com/office/spreadsheetml/2009/9/main" uri="{725AE2AE-9491-48be-B2B4-4EB974FC3084}">
      <x14:pivotCacheDefinition pivotCacheId="88"/>
    </ext>
  </extLst>
</pivotCacheDefinition>
</file>

<file path=xl/pivotCache/pivotCacheDefinition19.xml><?xml version="1.0" encoding="utf-8"?>
<pivotCacheDefinition xmlns="http://schemas.openxmlformats.org/spreadsheetml/2006/main" xmlns:r="http://schemas.openxmlformats.org/officeDocument/2006/relationships" r:id="rId1" refreshedBy="Welsh, Gregor" refreshedDate="44071.470309027776" createdVersion="6" refreshedVersion="6" minRefreshableVersion="3" recordCount="179">
  <cacheSource type="worksheet">
    <worksheetSource ref="A4:F183" sheet="T7"/>
  </cacheSource>
  <cacheFields count="6">
    <cacheField name="FinYr" numFmtId="0">
      <sharedItems count="7">
        <s v="2013-14"/>
        <s v="2014-15"/>
        <s v="2015-16"/>
        <s v="2016-17"/>
        <s v="2017-18"/>
        <s v="2018-19"/>
        <s v="2019-20"/>
      </sharedItems>
    </cacheField>
    <cacheField name="Type" numFmtId="0">
      <sharedItems count="6">
        <s v="Control"/>
        <s v="RDS"/>
        <s v="Support"/>
        <s v="Vol"/>
        <s v="WT"/>
        <s v="RDS Fulltime"/>
      </sharedItems>
    </cacheField>
    <cacheField name="PostConv" numFmtId="0">
      <sharedItems count="16">
        <s v="Crew Manager"/>
        <s v="Firefighter"/>
        <s v="Group Manager"/>
        <s v="Station Manager"/>
        <s v="Watch Manager"/>
        <s v="Administration"/>
        <s v="Director"/>
        <s v="Professional"/>
        <s v="Service Manager"/>
        <s v="Specialist Technical"/>
        <s v="Team Leader"/>
        <s v="Technical Support"/>
        <s v="Area Manager"/>
        <s v="Brigade Manager"/>
        <s v="Tech Support"/>
        <s v="Watch Manger"/>
      </sharedItems>
    </cacheField>
    <cacheField name="Total" numFmtId="0">
      <sharedItems containsSemiMixedTypes="0" containsString="0" containsNumber="1" containsInteger="1" minValue="0" maxValue="2374"/>
    </cacheField>
    <cacheField name="Female" numFmtId="0">
      <sharedItems containsString="0" containsBlank="1" containsNumber="1" containsInteger="1" minValue="0" maxValue="248"/>
    </cacheField>
    <cacheField name="Male" numFmtId="0">
      <sharedItems containsString="0" containsBlank="1" containsNumber="1" containsInteger="1" minValue="0" maxValue="2268"/>
    </cacheField>
  </cacheFields>
  <extLst>
    <ext xmlns:x14="http://schemas.microsoft.com/office/spreadsheetml/2009/9/main" uri="{725AE2AE-9491-48be-B2B4-4EB974FC3084}">
      <x14:pivotCacheDefinition pivotCacheId="87"/>
    </ext>
  </extLst>
</pivotCacheDefinition>
</file>

<file path=xl/pivotCache/pivotCacheDefinition2.xml><?xml version="1.0" encoding="utf-8"?>
<pivotCacheDefinition xmlns="http://schemas.openxmlformats.org/spreadsheetml/2006/main" xmlns:r="http://schemas.openxmlformats.org/officeDocument/2006/relationships" r:id="rId1" refreshedBy="Welsh, Gregor" refreshedDate="44071.470304513889" createdVersion="6" refreshedVersion="6" minRefreshableVersion="3" recordCount="8">
  <cacheSource type="worksheet">
    <worksheetSource ref="A15:J23" sheet="Tduty"/>
  </cacheSource>
  <cacheFields count="10">
    <cacheField name="FinYear" numFmtId="0">
      <sharedItems count="2">
        <s v="2018-19"/>
        <s v="2019-20"/>
      </sharedItems>
    </cacheField>
    <cacheField name="EmployeeGroup" numFmtId="0">
      <sharedItems count="4">
        <s v="DD"/>
        <s v="FDS"/>
        <s v="RBC"/>
        <s v="WT Trainee"/>
      </sharedItems>
    </cacheField>
    <cacheField name="Total" numFmtId="0">
      <sharedItems containsSemiMixedTypes="0" containsString="0" containsNumber="1" containsInteger="1" minValue="49" maxValue="2966"/>
    </cacheField>
    <cacheField name="Area Manager" numFmtId="0">
      <sharedItems containsString="0" containsBlank="1" containsNumber="1" containsInteger="1" minValue="31" maxValue="33"/>
    </cacheField>
    <cacheField name="Brigade Manager" numFmtId="0">
      <sharedItems containsString="0" containsBlank="1" containsNumber="1" containsInteger="1" minValue="4" maxValue="6"/>
    </cacheField>
    <cacheField name="Crew Manager" numFmtId="0">
      <sharedItems containsString="0" containsBlank="1" containsNumber="1" containsInteger="1" minValue="91" maxValue="597"/>
    </cacheField>
    <cacheField name="Firefighter" numFmtId="0">
      <sharedItems containsString="0" containsBlank="1" containsNumber="1" containsInteger="1" minValue="28" maxValue="1993"/>
    </cacheField>
    <cacheField name="Group Manager" numFmtId="0">
      <sharedItems containsString="0" containsBlank="1" containsNumber="1" containsInteger="1" minValue="80" maxValue="80"/>
    </cacheField>
    <cacheField name="Station Manager" numFmtId="0">
      <sharedItems containsString="0" containsBlank="1" containsNumber="1" containsInteger="1" minValue="147" maxValue="153"/>
    </cacheField>
    <cacheField name="Watch Manager" numFmtId="0">
      <sharedItems containsString="0" containsBlank="1" containsNumber="1" containsInteger="1" minValue="232" maxValue="377"/>
    </cacheField>
  </cacheFields>
  <extLst>
    <ext xmlns:x14="http://schemas.microsoft.com/office/spreadsheetml/2009/9/main" uri="{725AE2AE-9491-48be-B2B4-4EB974FC3084}">
      <x14:pivotCacheDefinition pivotCacheId="100"/>
    </ext>
  </extLst>
</pivotCacheDefinition>
</file>

<file path=xl/pivotCache/pivotCacheDefinition20.xml><?xml version="1.0" encoding="utf-8"?>
<pivotCacheDefinition xmlns="http://schemas.openxmlformats.org/spreadsheetml/2006/main" xmlns:r="http://schemas.openxmlformats.org/officeDocument/2006/relationships" r:id="rId1" refreshedBy="Welsh, Gregor" refreshedDate="44071.470309143515" createdVersion="6" refreshedVersion="6" minRefreshableVersion="3" recordCount="42">
  <cacheSource type="worksheet">
    <worksheetSource ref="A4:L46" sheet="T5d"/>
  </cacheSource>
  <cacheFields count="12">
    <cacheField name="FinYr" numFmtId="0">
      <sharedItems count="7">
        <s v="2013-14"/>
        <s v="2014-15"/>
        <s v="2015-16"/>
        <s v="2016-17"/>
        <s v="2017-18"/>
        <s v="2018-19"/>
        <s v="2019-20"/>
      </sharedItems>
    </cacheField>
    <cacheField name="ReportingLevel" numFmtId="0">
      <sharedItems count="3">
        <s v="3:SDA"/>
        <s v="4:National"/>
        <s v="Total"/>
      </sharedItems>
    </cacheField>
    <cacheField name="Code" numFmtId="0">
      <sharedItems containsNonDate="0" containsString="0" containsBlank="1"/>
    </cacheField>
    <cacheField name="lvl" numFmtId="0">
      <sharedItems count="5">
        <s v="ALL"/>
        <s v="West"/>
        <s v="East"/>
        <s v="North"/>
        <s v="Scotland"/>
      </sharedItems>
    </cacheField>
    <cacheField name="Total" numFmtId="0">
      <sharedItems containsSemiMixedTypes="0" containsString="0" containsNumber="1" minValue="90" maxValue="811.3"/>
    </cacheField>
    <cacheField name="Director" numFmtId="0">
      <sharedItems containsString="0" containsBlank="1" containsNumber="1" containsInteger="1" minValue="2" maxValue="3"/>
    </cacheField>
    <cacheField name="Service Manager" numFmtId="0">
      <sharedItems containsSemiMixedTypes="0" containsString="0" containsNumber="1" minValue="2" maxValue="69.7"/>
    </cacheField>
    <cacheField name="Team Leader" numFmtId="0">
      <sharedItems containsSemiMixedTypes="0" containsString="0" containsNumber="1" minValue="2" maxValue="35.9"/>
    </cacheField>
    <cacheField name="Professional" numFmtId="0">
      <sharedItems containsSemiMixedTypes="0" containsString="0" containsNumber="1" minValue="5" maxValue="89"/>
    </cacheField>
    <cacheField name="Specialist Technical" numFmtId="0">
      <sharedItems containsSemiMixedTypes="0" containsString="0" containsNumber="1" minValue="33.935714285714283" maxValue="383"/>
    </cacheField>
    <cacheField name="Tech Support" numFmtId="0">
      <sharedItems containsSemiMixedTypes="0" containsString="0" containsNumber="1" minValue="0" maxValue="199.5"/>
    </cacheField>
    <cacheField name="Administration" numFmtId="0">
      <sharedItems containsSemiMixedTypes="0" containsString="0" containsNumber="1" minValue="10.092857142857142" maxValue="223.6"/>
    </cacheField>
  </cacheFields>
  <extLst>
    <ext xmlns:x14="http://schemas.microsoft.com/office/spreadsheetml/2009/9/main" uri="{725AE2AE-9491-48be-B2B4-4EB974FC3084}">
      <x14:pivotCacheDefinition pivotCacheId="86"/>
    </ext>
  </extLst>
</pivotCacheDefinition>
</file>

<file path=xl/pivotCache/pivotCacheDefinition21.xml><?xml version="1.0" encoding="utf-8"?>
<pivotCacheDefinition xmlns="http://schemas.openxmlformats.org/spreadsheetml/2006/main" xmlns:r="http://schemas.openxmlformats.org/officeDocument/2006/relationships" r:id="rId1" refreshedBy="Welsh, Gregor" refreshedDate="44071.470309259261" createdVersion="6" refreshedVersion="6" minRefreshableVersion="3" recordCount="7">
  <cacheSource type="worksheet">
    <worksheetSource ref="A4:K11" sheet="T5c"/>
  </cacheSource>
  <cacheFields count="11">
    <cacheField name="FinYr" numFmtId="0">
      <sharedItems count="7">
        <s v="2013-14"/>
        <s v="2014-15"/>
        <s v="2015-16"/>
        <s v="2016-17"/>
        <s v="2017-18"/>
        <s v="2018-19"/>
        <s v="2019-20"/>
      </sharedItems>
    </cacheField>
    <cacheField name="ReportingLevel" numFmtId="0">
      <sharedItems count="1">
        <s v="4:National"/>
      </sharedItems>
    </cacheField>
    <cacheField name="lvl" numFmtId="0">
      <sharedItems count="1">
        <s v="Scotland"/>
      </sharedItems>
    </cacheField>
    <cacheField name="Code" numFmtId="0">
      <sharedItems/>
    </cacheField>
    <cacheField name="Total" numFmtId="0">
      <sharedItems containsSemiMixedTypes="0" containsString="0" containsNumber="1" minValue="160" maxValue="220.79"/>
    </cacheField>
    <cacheField name="Area Manager" numFmtId="0">
      <sharedItems containsString="0" containsBlank="1" containsNumber="1" containsInteger="1" minValue="1" maxValue="1"/>
    </cacheField>
    <cacheField name="Group Manager" numFmtId="0">
      <sharedItems containsSemiMixedTypes="0" containsString="0" containsNumber="1" containsInteger="1" minValue="4" maxValue="6"/>
    </cacheField>
    <cacheField name="Station Manager" numFmtId="0">
      <sharedItems containsSemiMixedTypes="0" containsString="0" containsNumber="1" minValue="6.8333333333333339" maxValue="12.85"/>
    </cacheField>
    <cacheField name="Watch Manager" numFmtId="0">
      <sharedItems containsSemiMixedTypes="0" containsString="0" containsNumber="1" minValue="40" maxValue="51.56"/>
    </cacheField>
    <cacheField name="Crew Manager" numFmtId="0">
      <sharedItems containsSemiMixedTypes="0" containsString="0" containsNumber="1" minValue="26" maxValue="51.01"/>
    </cacheField>
    <cacheField name="Control Operator" numFmtId="0">
      <sharedItems containsSemiMixedTypes="0" containsString="0" containsNumber="1" minValue="76" maxValue="119"/>
    </cacheField>
  </cacheFields>
  <extLst>
    <ext xmlns:x14="http://schemas.microsoft.com/office/spreadsheetml/2009/9/main" uri="{725AE2AE-9491-48be-B2B4-4EB974FC3084}">
      <x14:pivotCacheDefinition pivotCacheId="85"/>
    </ext>
  </extLst>
</pivotCacheDefinition>
</file>

<file path=xl/pivotCache/pivotCacheDefinition22.xml><?xml version="1.0" encoding="utf-8"?>
<pivotCacheDefinition xmlns="http://schemas.openxmlformats.org/spreadsheetml/2006/main" xmlns:r="http://schemas.openxmlformats.org/officeDocument/2006/relationships" r:id="rId1" refreshedBy="Welsh, Gregor" refreshedDate="44071.470309490738" createdVersion="6" refreshedVersion="6" minRefreshableVersion="3" recordCount="222">
  <cacheSource type="worksheet">
    <worksheetSource ref="A4:H226" sheet="T5b"/>
  </cacheSource>
  <cacheFields count="8">
    <cacheField name="FinYr" numFmtId="0">
      <sharedItems count="7">
        <s v="2013-14"/>
        <s v="2014-15"/>
        <s v="2015-16"/>
        <s v="2016-17"/>
        <s v="2017-18"/>
        <s v="2018-19"/>
        <s v="2019-20"/>
      </sharedItems>
    </cacheField>
    <cacheField name="ReportingLevel" numFmtId="0">
      <sharedItems count="1">
        <s v="1:LA"/>
      </sharedItems>
    </cacheField>
    <cacheField name="Code" numFmtId="0">
      <sharedItems containsNonDate="0" containsString="0" containsBlank="1"/>
    </cacheField>
    <cacheField name="lvl" numFmtId="0">
      <sharedItems count="33">
        <s v="ALL"/>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haredItems>
    </cacheField>
    <cacheField name="Total" numFmtId="0">
      <sharedItems containsString="0" containsBlank="1" containsNumber="1" minValue="0" maxValue="2668.5"/>
    </cacheField>
    <cacheField name="Watch Manager" numFmtId="0">
      <sharedItems containsString="0" containsBlank="1" containsNumber="1" minValue="0" maxValue="263.75"/>
    </cacheField>
    <cacheField name="Crew Manager" numFmtId="0">
      <sharedItems containsString="0" containsBlank="1" containsNumber="1" minValue="0" maxValue="499"/>
    </cacheField>
    <cacheField name="Firefighter" numFmtId="0">
      <sharedItems containsString="0" containsBlank="1" containsNumber="1" minValue="0" maxValue="1913.55"/>
    </cacheField>
  </cacheFields>
  <extLst>
    <ext xmlns:x14="http://schemas.microsoft.com/office/spreadsheetml/2009/9/main" uri="{725AE2AE-9491-48be-B2B4-4EB974FC3084}">
      <x14:pivotCacheDefinition pivotCacheId="84"/>
    </ext>
  </extLst>
</pivotCacheDefinition>
</file>

<file path=xl/pivotCache/pivotCacheDefinition23.xml><?xml version="1.0" encoding="utf-8"?>
<pivotCacheDefinition xmlns="http://schemas.openxmlformats.org/spreadsheetml/2006/main" xmlns:r="http://schemas.openxmlformats.org/officeDocument/2006/relationships" r:id="rId1" refreshedBy="Welsh, Gregor" refreshedDate="44071.470309953707" createdVersion="6" refreshedVersion="6" minRefreshableVersion="3" recordCount="389">
  <cacheSource type="worksheet">
    <worksheetSource ref="A4:L393" sheet="T5a"/>
  </cacheSource>
  <cacheFields count="12">
    <cacheField name="FinYr" numFmtId="0">
      <sharedItems count="7">
        <s v="2013-14"/>
        <s v="2014-15"/>
        <s v="2015-16"/>
        <s v="2016-17"/>
        <s v="2017-18"/>
        <s v="2018-19"/>
        <s v="2019-20"/>
      </sharedItems>
    </cacheField>
    <cacheField name="ReportingLevel" numFmtId="0">
      <sharedItems count="6">
        <s v="1:LA"/>
        <s v="2:LSO"/>
        <s v="3:SDA"/>
        <s v="4:National"/>
        <s v="Total"/>
        <s v="4:SDA"/>
      </sharedItems>
    </cacheField>
    <cacheField name="Code" numFmtId="0">
      <sharedItems containsNonDate="0" containsString="0" containsBlank="1"/>
    </cacheField>
    <cacheField name="lvl" numFmtId="0">
      <sharedItems count="49">
        <s v="ALL"/>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Stirling, Clackmannanshire and Fife"/>
      </sharedItems>
    </cacheField>
    <cacheField name="Total" numFmtId="0">
      <sharedItems containsString="0" containsBlank="1" containsNumber="1" minValue="0" maxValue="4000.76"/>
    </cacheField>
    <cacheField name="Area Manager" numFmtId="0">
      <sharedItems containsString="0" containsBlank="1" containsNumber="1" containsInteger="1" minValue="0" maxValue="35"/>
    </cacheField>
    <cacheField name="Brigade Manager" numFmtId="0">
      <sharedItems containsString="0" containsBlank="1" containsNumber="1" containsInteger="1" minValue="0" maxValue="10"/>
    </cacheField>
    <cacheField name="Crew Manager" numFmtId="0">
      <sharedItems containsString="0" containsBlank="1" containsNumber="1" minValue="0" maxValue="689"/>
    </cacheField>
    <cacheField name="Firefighter" numFmtId="0">
      <sharedItems containsString="0" containsBlank="1" containsNumber="1" minValue="0" maxValue="2373.7600000000002"/>
    </cacheField>
    <cacheField name="Group Manager" numFmtId="0">
      <sharedItems containsString="0" containsBlank="1" containsNumber="1" containsInteger="1" minValue="0" maxValue="115"/>
    </cacheField>
    <cacheField name="Station Manager" numFmtId="0">
      <sharedItems containsString="0" containsBlank="1" containsNumber="1" containsInteger="1" minValue="0" maxValue="153"/>
    </cacheField>
    <cacheField name="Watch Manager" numFmtId="0">
      <sharedItems containsString="0" containsBlank="1" containsNumber="1" minValue="0" maxValue="679"/>
    </cacheField>
  </cacheFields>
  <extLst>
    <ext xmlns:x14="http://schemas.microsoft.com/office/spreadsheetml/2009/9/main" uri="{725AE2AE-9491-48be-B2B4-4EB974FC3084}">
      <x14:pivotCacheDefinition pivotCacheId="83"/>
    </ext>
  </extLst>
</pivotCacheDefinition>
</file>

<file path=xl/pivotCache/pivotCacheDefinition24.xml><?xml version="1.0" encoding="utf-8"?>
<pivotCacheDefinition xmlns="http://schemas.openxmlformats.org/spreadsheetml/2006/main" xmlns:r="http://schemas.openxmlformats.org/officeDocument/2006/relationships" r:id="rId1" refreshedBy="Welsh, Gregor" refreshedDate="44071.470310069446" createdVersion="6" refreshedVersion="6" minRefreshableVersion="3" recordCount="28">
  <cacheSource type="worksheet">
    <worksheetSource ref="A4:L32" sheet="T4d"/>
  </cacheSource>
  <cacheFields count="12">
    <cacheField name="FinYr" numFmtId="0">
      <sharedItems count="7">
        <s v="2013-14"/>
        <s v="2014-15"/>
        <s v="2015-16"/>
        <s v="2016-17"/>
        <s v="2017-18"/>
        <s v="2018-19"/>
        <s v="2019-20"/>
      </sharedItems>
    </cacheField>
    <cacheField name="ReportingLevel" numFmtId="0">
      <sharedItems count="2">
        <s v="3:SDA"/>
        <s v="4:National"/>
      </sharedItems>
    </cacheField>
    <cacheField name="Code" numFmtId="0">
      <sharedItems/>
    </cacheField>
    <cacheField name="lvl" numFmtId="0">
      <sharedItems count="4">
        <s v="West"/>
        <s v="East"/>
        <s v="North"/>
        <s v="Scotland"/>
      </sharedItems>
    </cacheField>
    <cacheField name="Total" numFmtId="0">
      <sharedItems containsSemiMixedTypes="0" containsString="0" containsNumber="1" containsInteger="1" minValue="95" maxValue="416"/>
    </cacheField>
    <cacheField name="Director" numFmtId="0">
      <sharedItems containsString="0" containsBlank="1" containsNumber="1" containsInteger="1" minValue="2" maxValue="3"/>
    </cacheField>
    <cacheField name="Service Manager" numFmtId="0">
      <sharedItems containsSemiMixedTypes="0" containsString="0" containsNumber="1" containsInteger="1" minValue="2" maxValue="56"/>
    </cacheField>
    <cacheField name="Team Leader" numFmtId="0">
      <sharedItems containsSemiMixedTypes="0" containsString="0" containsNumber="1" containsInteger="1" minValue="2" maxValue="13"/>
    </cacheField>
    <cacheField name="Professional" numFmtId="0">
      <sharedItems containsSemiMixedTypes="0" containsString="0" containsNumber="1" containsInteger="1" minValue="5" maxValue="71"/>
    </cacheField>
    <cacheField name="Specialist Technical" numFmtId="0">
      <sharedItems containsSemiMixedTypes="0" containsString="0" containsNumber="1" containsInteger="1" minValue="35" maxValue="144"/>
    </cacheField>
    <cacheField name="Tech Support" numFmtId="0">
      <sharedItems containsSemiMixedTypes="0" containsString="0" containsNumber="1" containsInteger="1" minValue="0" maxValue="149"/>
    </cacheField>
    <cacheField name="Administration" numFmtId="0">
      <sharedItems containsSemiMixedTypes="0" containsString="0" containsNumber="1" containsInteger="1" minValue="12" maxValue="144"/>
    </cacheField>
  </cacheFields>
  <extLst>
    <ext xmlns:x14="http://schemas.microsoft.com/office/spreadsheetml/2009/9/main" uri="{725AE2AE-9491-48be-B2B4-4EB974FC3084}">
      <x14:pivotCacheDefinition pivotCacheId="81"/>
    </ext>
  </extLst>
</pivotCacheDefinition>
</file>

<file path=xl/pivotCache/pivotCacheDefinition25.xml><?xml version="1.0" encoding="utf-8"?>
<pivotCacheDefinition xmlns="http://schemas.openxmlformats.org/spreadsheetml/2006/main" xmlns:r="http://schemas.openxmlformats.org/officeDocument/2006/relationships" r:id="rId1" refreshedBy="Welsh, Gregor" refreshedDate="44071.470310532408" createdVersion="6" refreshedVersion="6" minRefreshableVersion="3" recordCount="7">
  <cacheSource type="worksheet">
    <worksheetSource ref="A4:K11" sheet="T4c"/>
  </cacheSource>
  <cacheFields count="11">
    <cacheField name="FinYr" numFmtId="0">
      <sharedItems count="7">
        <s v="2013-14"/>
        <s v="2014-15"/>
        <s v="2015-16"/>
        <s v="2016-17"/>
        <s v="2017-18"/>
        <s v="2018-19"/>
        <s v="2019-20"/>
      </sharedItems>
    </cacheField>
    <cacheField name="ReportingLevel" numFmtId="0">
      <sharedItems count="1">
        <s v="4:National"/>
      </sharedItems>
    </cacheField>
    <cacheField name="lvl" numFmtId="0">
      <sharedItems count="1">
        <s v="Scotland"/>
      </sharedItems>
    </cacheField>
    <cacheField name="Code" numFmtId="0">
      <sharedItems/>
    </cacheField>
    <cacheField name="Total" numFmtId="0">
      <sharedItems containsSemiMixedTypes="0" containsString="0" containsNumber="1" containsInteger="1" minValue="165" maxValue="230"/>
    </cacheField>
    <cacheField name="Area Manager" numFmtId="0">
      <sharedItems containsSemiMixedTypes="0" containsString="0" containsNumber="1" containsInteger="1" minValue="0" maxValue="1"/>
    </cacheField>
    <cacheField name="Group Manager" numFmtId="0">
      <sharedItems containsSemiMixedTypes="0" containsString="0" containsNumber="1" containsInteger="1" minValue="4" maxValue="6"/>
    </cacheField>
    <cacheField name="Station Manager" numFmtId="0">
      <sharedItems containsSemiMixedTypes="0" containsString="0" containsNumber="1" containsInteger="1" minValue="7" maxValue="13"/>
    </cacheField>
    <cacheField name="Watch Manager" numFmtId="0">
      <sharedItems containsSemiMixedTypes="0" containsString="0" containsNumber="1" containsInteger="1" minValue="41" maxValue="52"/>
    </cacheField>
    <cacheField name="Crew Manager" numFmtId="0">
      <sharedItems containsSemiMixedTypes="0" containsString="0" containsNumber="1" containsInteger="1" minValue="26" maxValue="52"/>
    </cacheField>
    <cacheField name="Control Operator" numFmtId="0">
      <sharedItems containsSemiMixedTypes="0" containsString="0" containsNumber="1" containsInteger="1" minValue="80" maxValue="124"/>
    </cacheField>
  </cacheFields>
  <extLst>
    <ext xmlns:x14="http://schemas.microsoft.com/office/spreadsheetml/2009/9/main" uri="{725AE2AE-9491-48be-B2B4-4EB974FC3084}">
      <x14:pivotCacheDefinition pivotCacheId="80"/>
    </ext>
  </extLst>
</pivotCacheDefinition>
</file>

<file path=xl/pivotCache/pivotCacheDefinition26.xml><?xml version="1.0" encoding="utf-8"?>
<pivotCacheDefinition xmlns="http://schemas.openxmlformats.org/spreadsheetml/2006/main" xmlns:r="http://schemas.openxmlformats.org/officeDocument/2006/relationships" r:id="rId1" refreshedBy="Welsh, Gregor" refreshedDate="44071.470310879631" createdVersion="6" refreshedVersion="6" minRefreshableVersion="3" recordCount="215">
  <cacheSource type="worksheet">
    <worksheetSource ref="A4:H219" sheet="T4b"/>
  </cacheSource>
  <cacheFields count="8">
    <cacheField name="FinYr" numFmtId="0">
      <sharedItems count="7">
        <s v="2013-14"/>
        <s v="2014-15"/>
        <s v="2015-16"/>
        <s v="2016-17"/>
        <s v="2017-18"/>
        <s v="2018-19"/>
        <s v="2019-20"/>
      </sharedItems>
    </cacheField>
    <cacheField name="ReportingLevel" numFmtId="0">
      <sharedItems count="1">
        <s v="1:LA"/>
      </sharedItems>
    </cacheField>
    <cacheField name="Code" numFmtId="0">
      <sharedItems/>
    </cacheField>
    <cacheField name="lvl" numFmtId="0">
      <sharedItems count="32">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haredItems>
    </cacheField>
    <cacheField name="Total" numFmtId="0">
      <sharedItems containsSemiMixedTypes="0" containsString="0" containsNumber="1" containsInteger="1" minValue="0" maxValue="564"/>
    </cacheField>
    <cacheField name="Watch Manager" numFmtId="0">
      <sharedItems containsString="0" containsBlank="1" containsNumber="1" containsInteger="1" minValue="0" maxValue="56"/>
    </cacheField>
    <cacheField name="Crew Manager" numFmtId="0">
      <sharedItems containsSemiMixedTypes="0" containsString="0" containsNumber="1" containsInteger="1" minValue="0" maxValue="115"/>
    </cacheField>
    <cacheField name="Firefighter" numFmtId="0">
      <sharedItems containsSemiMixedTypes="0" containsString="0" containsNumber="1" containsInteger="1" minValue="0" maxValue="394"/>
    </cacheField>
  </cacheFields>
  <extLst>
    <ext xmlns:x14="http://schemas.microsoft.com/office/spreadsheetml/2009/9/main" uri="{725AE2AE-9491-48be-B2B4-4EB974FC3084}">
      <x14:pivotCacheDefinition pivotCacheId="79"/>
    </ext>
  </extLst>
</pivotCacheDefinition>
</file>

<file path=xl/pivotCache/pivotCacheDefinition27.xml><?xml version="1.0" encoding="utf-8"?>
<pivotCacheDefinition xmlns="http://schemas.openxmlformats.org/spreadsheetml/2006/main" xmlns:r="http://schemas.openxmlformats.org/officeDocument/2006/relationships" r:id="rId1" refreshedBy="Welsh, Gregor" refreshedDate="44071.470311226854" createdVersion="6" refreshedVersion="6" minRefreshableVersion="3" recordCount="30">
  <cacheSource type="worksheet">
    <worksheetSource ref="A4:J34" sheet="T2b"/>
  </cacheSource>
  <cacheFields count="10">
    <cacheField name="FinYear" numFmtId="0">
      <sharedItems count="7">
        <s v="2013-14"/>
        <s v="2014-15"/>
        <s v="2015-16"/>
        <s v="2016-17"/>
        <s v="2017-18"/>
        <s v="2018-19"/>
        <s v="2019-20"/>
      </sharedItems>
    </cacheField>
    <cacheField name="Type" numFmtId="0">
      <sharedItems count="5">
        <s v="Control"/>
        <s v="RDS"/>
        <s v="Vol"/>
        <s v="WT"/>
        <s v="RDS Fulltime"/>
      </sharedItems>
    </cacheField>
    <cacheField name="Total" numFmtId="0">
      <sharedItems containsSemiMixedTypes="0" containsString="0" containsNumber="1" containsInteger="1" minValue="18" maxValue="4001"/>
    </cacheField>
    <cacheField name="Area Manager" numFmtId="0">
      <sharedItems containsString="0" containsBlank="1" containsNumber="1" containsInteger="1" minValue="0" maxValue="35"/>
    </cacheField>
    <cacheField name="Brigade Manager" numFmtId="0">
      <sharedItems containsString="0" containsBlank="1" containsNumber="1" containsInteger="1" minValue="0" maxValue="9"/>
    </cacheField>
    <cacheField name="Crew Manager" numFmtId="0">
      <sharedItems containsString="0" containsBlank="1" containsNumber="1" containsInteger="1" minValue="26" maxValue="689"/>
    </cacheField>
    <cacheField name="Firefighter" numFmtId="0">
      <sharedItems containsString="0" containsBlank="1" containsNumber="1" containsInteger="1" minValue="80" maxValue="2374"/>
    </cacheField>
    <cacheField name="Group Manager" numFmtId="0">
      <sharedItems containsString="0" containsBlank="1" containsNumber="1" containsInteger="1" minValue="0" maxValue="115"/>
    </cacheField>
    <cacheField name="Station Manager" numFmtId="0">
      <sharedItems containsString="0" containsBlank="1" containsNumber="1" containsInteger="1" minValue="0" maxValue="153"/>
    </cacheField>
    <cacheField name="Watch Manager" numFmtId="0">
      <sharedItems containsString="0" containsBlank="1" containsNumber="1" containsInteger="1" minValue="9" maxValue="679"/>
    </cacheField>
  </cacheFields>
  <extLst>
    <ext xmlns:x14="http://schemas.microsoft.com/office/spreadsheetml/2009/9/main" uri="{725AE2AE-9491-48be-B2B4-4EB974FC3084}">
      <x14:pivotCacheDefinition pivotCacheId="77"/>
    </ext>
  </extLst>
</pivotCacheDefinition>
</file>

<file path=xl/pivotCache/pivotCacheDefinition28.xml><?xml version="1.0" encoding="utf-8"?>
<pivotCacheDefinition xmlns="http://schemas.openxmlformats.org/spreadsheetml/2006/main" xmlns:r="http://schemas.openxmlformats.org/officeDocument/2006/relationships" r:id="rId1" refreshedBy="Welsh, Gregor" refreshedDate="44071.470311689816" createdVersion="6" refreshedVersion="6" minRefreshableVersion="3" recordCount="28">
  <cacheSource type="worksheet">
    <worksheetSource ref="A4:J32" sheet="T2a"/>
  </cacheSource>
  <cacheFields count="10">
    <cacheField name="FinYear" numFmtId="0">
      <sharedItems count="7">
        <s v="2013-14"/>
        <s v="2014-15"/>
        <s v="2015-16"/>
        <s v="2016-17"/>
        <s v="2017-18"/>
        <s v="2018-19"/>
        <s v="2019-20"/>
      </sharedItems>
    </cacheField>
    <cacheField name="ReportingLevel" numFmtId="0">
      <sharedItems count="4">
        <s v="1:LA"/>
        <s v="2:LSO"/>
        <s v="3:SDA"/>
        <s v="4:National"/>
      </sharedItems>
    </cacheField>
    <cacheField name="Total" numFmtId="0">
      <sharedItems containsSemiMixedTypes="0" containsString="0" containsNumber="1" containsInteger="1" minValue="50" maxValue="3392"/>
    </cacheField>
    <cacheField name="Area Manager" numFmtId="0">
      <sharedItems containsString="0" containsBlank="1" containsNumber="1" containsInteger="1" minValue="3" maxValue="18"/>
    </cacheField>
    <cacheField name="Brigade Manager" numFmtId="0">
      <sharedItems containsString="0" containsBlank="1" containsNumber="1" containsInteger="1" minValue="3" maxValue="7"/>
    </cacheField>
    <cacheField name="Crew Manager" numFmtId="0">
      <sharedItems containsString="0" containsBlank="1" containsNumber="1" containsInteger="1" minValue="4" maxValue="608"/>
    </cacheField>
    <cacheField name="Firefighter" numFmtId="0">
      <sharedItems containsString="0" containsBlank="1" containsNumber="1" containsInteger="1" minValue="1" maxValue="2355"/>
    </cacheField>
    <cacheField name="Group Manager" numFmtId="0">
      <sharedItems containsString="0" containsBlank="1" containsNumber="1" containsInteger="1" minValue="9" maxValue="69"/>
    </cacheField>
    <cacheField name="Station Manager" numFmtId="0">
      <sharedItems containsString="0" containsBlank="1" containsNumber="1" containsInteger="1" minValue="1" maxValue="118"/>
    </cacheField>
    <cacheField name="Watch Manager" numFmtId="0">
      <sharedItems containsSemiMixedTypes="0" containsString="0" containsNumber="1" containsInteger="1" minValue="7" maxValue="416"/>
    </cacheField>
  </cacheFields>
  <extLst>
    <ext xmlns:x14="http://schemas.microsoft.com/office/spreadsheetml/2009/9/main" uri="{725AE2AE-9491-48be-B2B4-4EB974FC3084}">
      <x14:pivotCacheDefinition pivotCacheId="76"/>
    </ext>
  </extLst>
</pivotCacheDefinition>
</file>

<file path=xl/pivotCache/pivotCacheDefinition29.xml><?xml version="1.0" encoding="utf-8"?>
<pivotCacheDefinition xmlns="http://schemas.openxmlformats.org/spreadsheetml/2006/main" xmlns:r="http://schemas.openxmlformats.org/officeDocument/2006/relationships" r:id="rId1" refreshedBy="Welsh, Gregor" refreshedDate="44071.47031203704" createdVersion="6" refreshedVersion="6" minRefreshableVersion="3" recordCount="28">
  <cacheSource type="worksheet">
    <worksheetSource ref="A4:I32" sheet="T2"/>
  </cacheSource>
  <cacheFields count="9">
    <cacheField name="FinYear" numFmtId="0">
      <sharedItems count="7">
        <s v="2013-14"/>
        <s v="2014-15"/>
        <s v="2015-16"/>
        <s v="2016-17"/>
        <s v="2017-18"/>
        <s v="2018-19"/>
        <s v="2019-20"/>
      </sharedItems>
    </cacheField>
    <cacheField name="ReportingLevel" numFmtId="0">
      <sharedItems count="4">
        <s v="1:LA"/>
        <s v="2:LSO"/>
        <s v="3:SDA"/>
        <s v="4:National"/>
      </sharedItems>
    </cacheField>
    <cacheField name="Total" numFmtId="0">
      <sharedItems containsSemiMixedTypes="0" containsString="0" containsNumber="1" containsInteger="1" minValue="270" maxValue="6691"/>
    </cacheField>
    <cacheField name="Control" numFmtId="0">
      <sharedItems containsString="0" containsBlank="1" containsNumber="1" containsInteger="1" minValue="165" maxValue="230"/>
    </cacheField>
    <cacheField name="RDS" numFmtId="0">
      <sharedItems containsString="0" containsBlank="1" containsNumber="1" containsInteger="1" minValue="2863" maxValue="2950"/>
    </cacheField>
    <cacheField name="RDS Fulltime" numFmtId="0">
      <sharedItems containsString="0" containsBlank="1" containsNumber="1" containsInteger="1" minValue="18" maxValue="36"/>
    </cacheField>
    <cacheField name="Support" numFmtId="0">
      <sharedItems containsString="0" containsBlank="1" containsNumber="1" containsInteger="1" minValue="237" maxValue="724"/>
    </cacheField>
    <cacheField name="Vol" numFmtId="0">
      <sharedItems containsString="0" containsBlank="1" containsNumber="1" containsInteger="1" minValue="315" maxValue="378"/>
    </cacheField>
    <cacheField name="WT" numFmtId="0">
      <sharedItems containsSemiMixedTypes="0" containsString="0" containsNumber="1" containsInteger="1" minValue="50" maxValue="3392"/>
    </cacheField>
  </cacheFields>
  <extLst>
    <ext xmlns:x14="http://schemas.microsoft.com/office/spreadsheetml/2009/9/main" uri="{725AE2AE-9491-48be-B2B4-4EB974FC3084}">
      <x14:pivotCacheDefinition pivotCacheId="75"/>
    </ext>
  </extLst>
</pivotCacheDefinition>
</file>

<file path=xl/pivotCache/pivotCacheDefinition3.xml><?xml version="1.0" encoding="utf-8"?>
<pivotCacheDefinition xmlns="http://schemas.openxmlformats.org/spreadsheetml/2006/main" xmlns:r="http://schemas.openxmlformats.org/officeDocument/2006/relationships" r:id="rId1" refreshedBy="Welsh, Gregor" refreshedDate="44071.470304861112" createdVersion="6" refreshedVersion="6" minRefreshableVersion="3" recordCount="99">
  <cacheSource type="worksheet">
    <worksheetSource ref="A50:I149" sheet="Tduty"/>
  </cacheSource>
  <cacheFields count="9">
    <cacheField name="FinYr" numFmtId="0">
      <sharedItems count="2">
        <s v="2018-19"/>
        <s v="2019-20"/>
      </sharedItems>
    </cacheField>
    <cacheField name="ReportingLevel" numFmtId="0">
      <sharedItems count="4">
        <s v="1:LA"/>
        <s v="2:LSO"/>
        <s v="3:SDA"/>
        <s v="4:National"/>
      </sharedItems>
    </cacheField>
    <cacheField name="Code" numFmtId="0">
      <sharedItems containsBlank="1"/>
    </cacheField>
    <cacheField name="lvl" numFmtId="0">
      <sharedItems count="45">
        <s v="Clackmannanshire"/>
        <s v="Dumfries and Galloway"/>
        <s v="East Ayrshire"/>
        <s v="East Lothian"/>
        <s v="East Renfrewshire"/>
        <s v="Falkirk"/>
        <s v="Highland"/>
        <s v="Inverclyde"/>
        <s v="Midlothian"/>
        <s v="Moray"/>
        <s v="North Ayrshire"/>
        <s v="Perth and Kinross"/>
        <s v="Scottish Border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Stirling, Clackmannanshire and Fife"/>
      </sharedItems>
    </cacheField>
    <cacheField name="Total" numFmtId="0">
      <sharedItems containsSemiMixedTypes="0" containsString="0" containsNumber="1" containsInteger="1" minValue="13" maxValue="517"/>
    </cacheField>
    <cacheField name="DD" numFmtId="0">
      <sharedItems containsString="0" containsBlank="1" containsNumber="1" containsInteger="1" minValue="4" maxValue="76"/>
    </cacheField>
    <cacheField name="FDS" numFmtId="0">
      <sharedItems containsString="0" containsBlank="1" containsNumber="1" containsInteger="1" minValue="6" maxValue="43"/>
    </cacheField>
    <cacheField name="RBC" numFmtId="0">
      <sharedItems containsString="0" containsBlank="1" containsNumber="1" containsInteger="1" minValue="24" maxValue="517"/>
    </cacheField>
    <cacheField name="WT Trainee" numFmtId="0">
      <sharedItems containsString="0" containsBlank="1" containsNumber="1" containsInteger="1" minValue="49" maxValue="60"/>
    </cacheField>
  </cacheFields>
  <extLst>
    <ext xmlns:x14="http://schemas.microsoft.com/office/spreadsheetml/2009/9/main" uri="{725AE2AE-9491-48be-B2B4-4EB974FC3084}">
      <x14:pivotCacheDefinition pivotCacheId="99"/>
    </ext>
  </extLst>
</pivotCacheDefinition>
</file>

<file path=xl/pivotCache/pivotCacheDefinition30.xml><?xml version="1.0" encoding="utf-8"?>
<pivotCacheDefinition xmlns="http://schemas.openxmlformats.org/spreadsheetml/2006/main" xmlns:r="http://schemas.openxmlformats.org/officeDocument/2006/relationships" r:id="rId1" refreshedBy="Welsh, Gregor" refreshedDate="44071.470312268517" createdVersion="6" refreshedVersion="6" minRefreshableVersion="3" recordCount="361">
  <cacheSource type="worksheet">
    <worksheetSource ref="A4:L365" sheet="T4a"/>
  </cacheSource>
  <cacheFields count="12">
    <cacheField name="FinYr" numFmtId="0">
      <sharedItems count="7">
        <s v="2013-14"/>
        <s v="2014-15"/>
        <s v="2015-16"/>
        <s v="2016-17"/>
        <s v="2017-18"/>
        <s v="2018-19"/>
        <s v="2019-20"/>
      </sharedItems>
    </cacheField>
    <cacheField name="ReportingLevel" numFmtId="0">
      <sharedItems count="4">
        <s v="1:LA"/>
        <s v="2:LSO"/>
        <s v="3:SDA"/>
        <s v="4:National"/>
      </sharedItems>
    </cacheField>
    <cacheField name="Code" numFmtId="0">
      <sharedItems containsBlank="1"/>
    </cacheField>
    <cacheField name="lvl" numFmtId="0">
      <sharedItems count="48">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Stirling, Clackmannanshire and Fife"/>
      </sharedItems>
    </cacheField>
    <cacheField name="Total" numFmtId="0">
      <sharedItems containsSemiMixedTypes="0" containsString="0" containsNumber="1" containsInteger="1" minValue="0" maxValue="560"/>
    </cacheField>
    <cacheField name="Area Manager" numFmtId="0">
      <sharedItems containsString="0" containsBlank="1" containsNumber="1" containsInteger="1" minValue="0" maxValue="18"/>
    </cacheField>
    <cacheField name="Brigade Manager" numFmtId="0">
      <sharedItems containsString="0" containsBlank="1" containsNumber="1" containsInteger="1" minValue="1" maxValue="7"/>
    </cacheField>
    <cacheField name="Crew Manager" numFmtId="0">
      <sharedItems containsString="0" containsBlank="1" containsNumber="1" containsInteger="1" minValue="0" maxValue="119"/>
    </cacheField>
    <cacheField name="Firefighter" numFmtId="0">
      <sharedItems containsString="0" containsBlank="1" containsNumber="1" containsInteger="1" minValue="0" maxValue="373"/>
    </cacheField>
    <cacheField name="Group Manager" numFmtId="0">
      <sharedItems containsString="0" containsBlank="1" containsNumber="1" containsInteger="1" minValue="1" maxValue="22"/>
    </cacheField>
    <cacheField name="Station Manager" numFmtId="0">
      <sharedItems containsString="0" containsBlank="1" containsNumber="1" containsInteger="1" minValue="0" maxValue="19"/>
    </cacheField>
    <cacheField name="Watch Manager" numFmtId="0">
      <sharedItems containsSemiMixedTypes="0" containsString="0" containsNumber="1" containsInteger="1" minValue="0" maxValue="93"/>
    </cacheField>
  </cacheFields>
  <extLst>
    <ext xmlns:x14="http://schemas.microsoft.com/office/spreadsheetml/2009/9/main" uri="{725AE2AE-9491-48be-B2B4-4EB974FC3084}">
      <x14:pivotCacheDefinition pivotCacheId="74"/>
    </ext>
  </extLst>
</pivotCacheDefinition>
</file>

<file path=xl/pivotCache/pivotCacheDefinition31.xml><?xml version="1.0" encoding="utf-8"?>
<pivotCacheDefinition xmlns="http://schemas.openxmlformats.org/spreadsheetml/2006/main" xmlns:r="http://schemas.openxmlformats.org/officeDocument/2006/relationships" r:id="rId1" refreshedBy="Welsh, Gregor" refreshedDate="44071.47031261574" createdVersion="6" refreshedVersion="6" minRefreshableVersion="3" recordCount="137">
  <cacheSource type="worksheet">
    <worksheetSource ref="A4:H133100" sheet="T14a"/>
  </cacheSource>
  <cacheFields count="8">
    <cacheField name="FisYr" numFmtId="0">
      <sharedItems containsBlank="1" count="5">
        <s v="2016-17"/>
        <s v="2017-18"/>
        <s v="2018-19"/>
        <s v="2019-20"/>
        <m/>
      </sharedItems>
    </cacheField>
    <cacheField name="Council" numFmtId="0">
      <sharedItems containsBlank="1"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m/>
      </sharedItems>
    </cacheField>
    <cacheField name="LACode" numFmtId="0">
      <sharedItems containsBlank="1"/>
    </cacheField>
    <cacheField name="Total" numFmtId="0">
      <sharedItems containsString="0" containsBlank="1" containsNumber="1" containsInteger="1" minValue="4" maxValue="176"/>
    </cacheField>
    <cacheField name="Aerial Appliances" numFmtId="0">
      <sharedItems containsString="0" containsBlank="1" containsNumber="1" containsInteger="1" minValue="1" maxValue="10"/>
    </cacheField>
    <cacheField name="Other Appliances" numFmtId="0">
      <sharedItems containsString="0" containsBlank="1" containsNumber="1" containsInteger="1" minValue="2" maxValue="52"/>
    </cacheField>
    <cacheField name="Pumping Appliances" numFmtId="0">
      <sharedItems containsString="0" containsBlank="1" containsNumber="1" containsInteger="1" minValue="4" maxValue="136"/>
    </cacheField>
    <cacheField name="Resilience" numFmtId="0">
      <sharedItems containsString="0" containsBlank="1" containsNumber="1" containsInteger="1" minValue="2" maxValue="20"/>
    </cacheField>
  </cacheFields>
  <extLst>
    <ext xmlns:x14="http://schemas.microsoft.com/office/spreadsheetml/2009/9/main" uri="{725AE2AE-9491-48be-B2B4-4EB974FC3084}">
      <x14:pivotCacheDefinition pivotCacheId="72"/>
    </ext>
  </extLst>
</pivotCacheDefinition>
</file>

<file path=xl/pivotCache/pivotCacheDefinition32.xml><?xml version="1.0" encoding="utf-8"?>
<pivotCacheDefinition xmlns="http://schemas.openxmlformats.org/spreadsheetml/2006/main" xmlns:r="http://schemas.openxmlformats.org/officeDocument/2006/relationships" r:id="rId1" refreshedBy="Welsh, Gregor" refreshedDate="44071.470312847225" createdVersion="6" refreshedVersion="6" minRefreshableVersion="3" recordCount="79">
  <cacheSource type="worksheet">
    <worksheetSource ref="A75:D153134" sheet="T14"/>
  </cacheSource>
  <cacheFields count="4">
    <cacheField name="FYear" numFmtId="0">
      <sharedItems containsBlank="1" count="5">
        <s v="2016-17"/>
        <s v="2017-18"/>
        <s v="2018-19"/>
        <s v="2019-20"/>
        <m/>
      </sharedItems>
    </cacheField>
    <cacheField name="CategoryPrior" numFmtId="0">
      <sharedItems containsBlank="1" count="5">
        <s v="Non-Op"/>
        <s v="Op"/>
        <s v="Reserve"/>
        <s v="Training"/>
        <m/>
      </sharedItems>
    </cacheField>
    <cacheField name="CPrior" numFmtId="0">
      <sharedItems containsBlank="1" count="9">
        <s v="Non-Operational Other"/>
        <s v="Combined Aerial &amp; Pumping"/>
        <s v="Fire Boats"/>
        <s v="Operational Other"/>
        <s v="Primarily For Rescue Vehicles"/>
        <s v="Pumping Appliances"/>
        <s v="Resilience"/>
        <s v="Small Firefighting Vehicles"/>
        <m/>
      </sharedItems>
    </cacheField>
    <cacheField name="2016-17" numFmtId="0">
      <sharedItems containsString="0" containsBlank="1" containsNumber="1" containsInteger="1" minValue="1" maxValue="787"/>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r:id="rId1" refreshedBy="Welsh, Gregor" refreshedDate="44071.470312847225" createdVersion="6" refreshedVersion="6" minRefreshableVersion="3" recordCount="54">
  <cacheSource type="worksheet">
    <worksheetSource ref="A4:D58" sheet="T14"/>
  </cacheSource>
  <cacheFields count="4">
    <cacheField name="FinYear" numFmtId="0">
      <sharedItems count="4">
        <s v="2016-17"/>
        <s v="2017-18"/>
        <s v="2018-19"/>
        <s v="2019-20"/>
      </sharedItems>
    </cacheField>
    <cacheField name="Category" numFmtId="0">
      <sharedItems count="4">
        <s v="Non-Op"/>
        <s v="Op"/>
        <s v="Reserve"/>
        <s v="Training"/>
      </sharedItems>
    </cacheField>
    <cacheField name="C18" numFmtId="0">
      <sharedItems count="6">
        <s v="Non-Operational"/>
        <s v="Officer Response Vehicles"/>
        <s v="Aerial Appliances"/>
        <s v="Other Appliances"/>
        <s v="Pumping Appliances"/>
        <s v="Resilience"/>
      </sharedItems>
    </cacheField>
    <cacheField name="2017-18" numFmtId="0">
      <sharedItems containsSemiMixedTypes="0" containsString="0" containsNumber="1" containsInteger="1" minValue="1" maxValue="777"/>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r:id="rId1" refreshedBy="Welsh, Gregor" refreshedDate="44071.470313078702" createdVersion="6" refreshedVersion="6" minRefreshableVersion="3" recordCount="123">
  <cacheSource type="worksheet">
    <worksheetSource ref="A4:E128" sheet="T2U"/>
  </cacheSource>
  <cacheFields count="5">
    <cacheField name="FisYr" numFmtId="0">
      <sharedItems containsBlank="1" count="3">
        <s v="2018-19"/>
        <s v="2019-20"/>
        <m/>
      </sharedItems>
    </cacheField>
    <cacheField name="Metric" numFmtId="0">
      <sharedItems containsBlank="1" count="3">
        <s v="Headcount"/>
        <s v="FTE"/>
        <m/>
      </sharedItems>
    </cacheField>
    <cacheField name="Unit" numFmtId="0">
      <sharedItems containsBlank="1" count="18">
        <s v="Asset Management"/>
        <s v="Business Support"/>
        <s v="Response and Resilience"/>
        <s v="Service Delivery"/>
        <s v="Senior Leadership Team"/>
        <s v="Strategic Planning Performance and Communication"/>
        <s v="Trainees"/>
        <s v="Training and Employee Development"/>
        <s v="Human Resources Organisational Development"/>
        <s v="Information Communication Technology "/>
        <s v="Prevention and Protection"/>
        <s v="Service Transformation"/>
        <s v="Finance &amp; Procurement"/>
        <s v="Health, Safety and Organisational Wellbeing"/>
        <s v="Health and Safety"/>
        <s v="People &amp; Organisational Development"/>
        <m/>
        <s v="COP1" u="1"/>
      </sharedItems>
    </cacheField>
    <cacheField name="StaffType" numFmtId="0">
      <sharedItems containsBlank="1" count="7">
        <s v="WT"/>
        <s v="Control"/>
        <s v="RDS Fulltime"/>
        <s v="Support"/>
        <s v="Vol"/>
        <s v="RDS"/>
        <m/>
      </sharedItems>
    </cacheField>
    <cacheField name="Total" numFmtId="0">
      <sharedItems containsString="0" containsBlank="1" containsNumber="1" minValue="0" maxValue="3358"/>
    </cacheField>
  </cacheFields>
  <extLst>
    <ext xmlns:x14="http://schemas.microsoft.com/office/spreadsheetml/2009/9/main" uri="{725AE2AE-9491-48be-B2B4-4EB974FC3084}">
      <x14:pivotCacheDefinition pivotCacheId="105"/>
    </ext>
  </extLst>
</pivotCacheDefinition>
</file>

<file path=xl/pivotCache/pivotCacheDefinition35.xml><?xml version="1.0" encoding="utf-8"?>
<pivotCacheDefinition xmlns="http://schemas.openxmlformats.org/spreadsheetml/2006/main" xmlns:r="http://schemas.openxmlformats.org/officeDocument/2006/relationships" r:id="rId1" refreshedBy="Welsh, Gregor" refreshedDate="44071.470313425925" createdVersion="6" refreshedVersion="6" minRefreshableVersion="3" recordCount="30">
  <cacheSource type="worksheet">
    <worksheetSource name="Table9"/>
  </cacheSource>
  <cacheFields count="5">
    <cacheField name="FisYr" numFmtId="0">
      <sharedItems count="5">
        <s v="2015-16"/>
        <s v="2016-17"/>
        <s v="2017-18"/>
        <s v="2018-19"/>
        <s v="2019-20"/>
      </sharedItems>
    </cacheField>
    <cacheField name="Tenure" numFmtId="0">
      <sharedItems count="6">
        <s v="Housing Association"/>
        <s v="Local Authority"/>
        <s v="Not Known"/>
        <s v="Other"/>
        <s v="Owner Occupier"/>
        <s v="Private Let"/>
      </sharedItems>
    </cacheField>
    <cacheField name="Visits" numFmtId="0">
      <sharedItems containsSemiMixedTypes="0" containsString="0" containsNumber="1" containsInteger="1" minValue="101" maxValue="39726"/>
    </cacheField>
    <cacheField name="WithAlarmsFitted" numFmtId="0">
      <sharedItems containsSemiMixedTypes="0" containsString="0" containsNumber="1" containsInteger="1" minValue="17" maxValue="21875"/>
    </cacheField>
    <cacheField name="pcAlarmsFitted" numFmtId="0">
      <sharedItems containsSemiMixedTypes="0" containsString="0" containsNumber="1" minValue="7.89" maxValue="55.06"/>
    </cacheField>
  </cacheFields>
  <extLst>
    <ext xmlns:x14="http://schemas.microsoft.com/office/spreadsheetml/2009/9/main" uri="{725AE2AE-9491-48be-B2B4-4EB974FC3084}">
      <x14:pivotCacheDefinition pivotCacheId="111"/>
    </ext>
  </extLst>
</pivotCacheDefinition>
</file>

<file path=xl/pivotCache/pivotCacheDefinition36.xml><?xml version="1.0" encoding="utf-8"?>
<pivotCacheDefinition xmlns="http://schemas.openxmlformats.org/spreadsheetml/2006/main" xmlns:r="http://schemas.openxmlformats.org/officeDocument/2006/relationships" r:id="rId1" refreshedBy="Welsh, Gregor" refreshedDate="44071.470313541664" createdVersion="6" refreshedVersion="6" minRefreshableVersion="3" recordCount="30">
  <cacheSource type="worksheet">
    <worksheetSource name="Table5"/>
  </cacheSource>
  <cacheFields count="7">
    <cacheField name="FisYr" numFmtId="0">
      <sharedItems count="6">
        <s v="2014-15"/>
        <s v="2016-17"/>
        <s v="2019-20"/>
        <s v="2017-18"/>
        <s v="2018-19"/>
        <s v="2015-16"/>
      </sharedItems>
    </cacheField>
    <cacheField name="SIMD2020_Quintile" numFmtId="0">
      <sharedItems containsSemiMixedTypes="0" containsString="0" containsNumber="1" containsInteger="1" minValue="1" maxValue="5" count="5">
        <n v="1"/>
        <n v="4"/>
        <n v="5"/>
        <n v="2"/>
        <n v="3"/>
      </sharedItems>
    </cacheField>
    <cacheField name="Visits" numFmtId="0">
      <sharedItems containsSemiMixedTypes="0" containsString="0" containsNumber="1" containsInteger="1" minValue="8715" maxValue="19687"/>
    </cacheField>
    <cacheField name="WithAlarmsFitted" numFmtId="0">
      <sharedItems containsSemiMixedTypes="0" containsString="0" containsNumber="1" containsInteger="1" minValue="3807" maxValue="6558"/>
    </cacheField>
    <cacheField name="pcAlarmsFitted" numFmtId="0">
      <sharedItems containsSemiMixedTypes="0" containsString="0" containsNumber="1" minValue="23.7" maxValue="52.6"/>
    </cacheField>
    <cacheField name="RateAlarmsFittedper100OccupiedDwellings" numFmtId="0">
      <sharedItems containsSemiMixedTypes="0" containsString="0" containsNumber="1" minValue="0.82" maxValue="1.29"/>
    </cacheField>
    <cacheField name="OccupiedDwellings" numFmtId="0">
      <sharedItems containsSemiMixedTypes="0" containsString="0" containsNumber="1" containsInteger="1" minValue="449892" maxValue="536037"/>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r:id="rId1" refreshedBy="Welsh, Gregor" refreshedDate="44071.470313773149" createdVersion="6" refreshedVersion="6" minRefreshableVersion="3" recordCount="30">
  <cacheSource type="worksheet">
    <worksheetSource name="Table6"/>
  </cacheSource>
  <cacheFields count="8">
    <cacheField name="FisYr" numFmtId="0">
      <sharedItems count="6">
        <s v="2014-15"/>
        <s v="2016-17"/>
        <s v="2019-20"/>
        <s v="2017-18"/>
        <s v="2018-19"/>
        <s v="2015-16"/>
      </sharedItems>
    </cacheField>
    <cacheField name="SIMD2020_Quintile" numFmtId="0">
      <sharedItems containsSemiMixedTypes="0" containsString="0" containsNumber="1" containsInteger="1" minValue="1" maxValue="5" count="5">
        <n v="1"/>
        <n v="4"/>
        <n v="5"/>
        <n v="2"/>
        <n v="3"/>
      </sharedItems>
    </cacheField>
    <cacheField name="Visits" numFmtId="0">
      <sharedItems containsSemiMixedTypes="0" containsString="0" containsNumber="1" containsInteger="1" minValue="5312" maxValue="8894"/>
    </cacheField>
    <cacheField name="WithAlarmsFitted" numFmtId="0">
      <sharedItems containsSemiMixedTypes="0" containsString="0" containsNumber="1" containsInteger="1" minValue="2755" maxValue="4750"/>
    </cacheField>
    <cacheField name="pcAlarmsFitted" numFmtId="0">
      <sharedItems containsSemiMixedTypes="0" containsString="0" containsNumber="1" minValue="46.3" maxValue="57.6"/>
    </cacheField>
    <cacheField name="RateAlarmsFittedper100OccupiedDwellings" numFmtId="0">
      <sharedItems containsSemiMixedTypes="0" containsString="0" containsNumber="1" minValue="0.51" maxValue="0.99"/>
    </cacheField>
    <cacheField name="OccupiedDwellings" numFmtId="0">
      <sharedItems containsSemiMixedTypes="0" containsString="0" containsNumber="1" containsInteger="1" minValue="449892" maxValue="536037"/>
    </cacheField>
    <cacheField name="Column1" numFmtId="0">
      <sharedItems containsSemiMixedTypes="0" containsString="0" containsNumber="1" minValue="1.0099550539580655" maxValue="1.8533143570391146"/>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r:id="rId1" refreshedBy="Welsh, Gregor" refreshedDate="44071.470313888887" createdVersion="6" refreshedVersion="6" minRefreshableVersion="3" recordCount="136">
  <cacheSource type="worksheet">
    <worksheetSource ref="A4:J140" sheet="T14ap"/>
  </cacheSource>
  <cacheFields count="10">
    <cacheField name="FisYr" numFmtId="0">
      <sharedItems count="4">
        <s v="2016-17"/>
        <s v="2017-18"/>
        <s v="2018-19"/>
        <s v="2019-20"/>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Code" numFmtId="0">
      <sharedItems/>
    </cacheField>
    <cacheField name="Total" numFmtId="0">
      <sharedItems containsSemiMixedTypes="0" containsString="0" containsNumber="1" containsInteger="1" minValue="4" maxValue="176"/>
    </cacheField>
    <cacheField name="Combined Aerial &amp; Pumping" numFmtId="0">
      <sharedItems containsString="0" containsBlank="1" containsNumber="1" containsInteger="1" minValue="1" maxValue="10"/>
    </cacheField>
    <cacheField name="Operational Other" numFmtId="0">
      <sharedItems containsString="0" containsBlank="1" containsNumber="1" containsInteger="1" minValue="2" maxValue="22"/>
    </cacheField>
    <cacheField name="Primarily For Rescue Vehicles" numFmtId="0">
      <sharedItems containsString="0" containsBlank="1" containsNumber="1" containsInteger="1" minValue="1" maxValue="8"/>
    </cacheField>
    <cacheField name="Pumping Appliances" numFmtId="0">
      <sharedItems containsSemiMixedTypes="0" containsString="0" containsNumber="1" containsInteger="1" minValue="4" maxValue="136"/>
    </cacheField>
    <cacheField name="Resilience" numFmtId="0">
      <sharedItems containsString="0" containsBlank="1" containsNumber="1" containsInteger="1" minValue="2" maxValue="20"/>
    </cacheField>
    <cacheField name="Small Firefighting Vehicles" numFmtId="0">
      <sharedItems containsString="0" containsBlank="1" containsNumber="1" containsInteger="1" minValue="2" maxValue="42"/>
    </cacheField>
  </cacheFields>
  <extLst>
    <ext xmlns:x14="http://schemas.microsoft.com/office/spreadsheetml/2009/9/main" uri="{725AE2AE-9491-48be-B2B4-4EB974FC3084}">
      <x14:pivotCacheDefinition pivotCacheId="112"/>
    </ext>
  </extLst>
</pivotCacheDefinition>
</file>

<file path=xl/pivotCache/pivotCacheDefinition39.xml><?xml version="1.0" encoding="utf-8"?>
<pivotCacheDefinition xmlns="http://schemas.openxmlformats.org/spreadsheetml/2006/main" xmlns:r="http://schemas.openxmlformats.org/officeDocument/2006/relationships" r:id="rId1" refreshedBy="Welsh, Gregor" refreshedDate="44071.470314120372" createdVersion="6" refreshedVersion="6" minRefreshableVersion="3" recordCount="32">
  <cacheSource type="worksheet">
    <worksheetSource ref="A110:D142" sheet="Tentrant"/>
  </cacheSource>
  <cacheFields count="4">
    <cacheField name="Type" numFmtId="0">
      <sharedItems count="7">
        <s v="RDS"/>
        <s v="Support"/>
        <s v="Total"/>
        <s v="Total (ex Vol)"/>
        <s v="Control"/>
        <s v="Vol"/>
        <s v="WT"/>
      </sharedItems>
    </cacheField>
    <cacheField name="Eth" numFmtId="0">
      <sharedItems count="3">
        <s v="Ethnic Minority"/>
        <s v="Not Stated"/>
        <s v="White"/>
      </sharedItems>
    </cacheField>
    <cacheField name="FinYear" numFmtId="0">
      <sharedItems count="2">
        <s v="2018-19"/>
        <s v="2019-20"/>
      </sharedItems>
    </cacheField>
    <cacheField name="Per" numFmtId="0">
      <sharedItems containsSemiMixedTypes="0" containsString="0" containsNumber="1" minValue="0.5" maxValue="100"/>
    </cacheField>
  </cacheFields>
  <extLst>
    <ext xmlns:x14="http://schemas.microsoft.com/office/spreadsheetml/2009/9/main" uri="{725AE2AE-9491-48be-B2B4-4EB974FC3084}">
      <x14:pivotCacheDefinition pivotCacheId="107"/>
    </ext>
  </extLst>
</pivotCacheDefinition>
</file>

<file path=xl/pivotCache/pivotCacheDefinition4.xml><?xml version="1.0" encoding="utf-8"?>
<pivotCacheDefinition xmlns="http://schemas.openxmlformats.org/spreadsheetml/2006/main" xmlns:r="http://schemas.openxmlformats.org/officeDocument/2006/relationships" r:id="rId1" refreshedBy="Welsh, Gregor" refreshedDate="44071.470305092589" createdVersion="6" refreshedVersion="6" minRefreshableVersion="3" recordCount="27">
  <cacheSource type="worksheet">
    <worksheetSource ref="A4:H31" sheet="T10c"/>
  </cacheSource>
  <cacheFields count="8">
    <cacheField name="FinYr" numFmtId="0">
      <sharedItems count="3">
        <s v="2017-18"/>
        <s v="2018-19"/>
        <s v="2019-20"/>
      </sharedItems>
    </cacheField>
    <cacheField name="ServiceLength" numFmtId="0">
      <sharedItems count="9">
        <s v="10-14"/>
        <s v="15-19"/>
        <s v="20-24"/>
        <s v="25-29"/>
        <s v="30-34"/>
        <s v="35-39"/>
        <s v="5-9"/>
        <s v="Over 40"/>
        <s v="Under 5"/>
      </sharedItems>
    </cacheField>
    <cacheField name="Total" numFmtId="0">
      <sharedItems containsSemiMixedTypes="0" containsString="0" containsNumber="1" containsInteger="1" minValue="30" maxValue="1746"/>
    </cacheField>
    <cacheField name="Control" numFmtId="0">
      <sharedItems containsSemiMixedTypes="0" containsString="0" containsNumber="1" containsInteger="1" minValue="3" maxValue="62"/>
    </cacheField>
    <cacheField name="RDS" numFmtId="0">
      <sharedItems containsSemiMixedTypes="0" containsString="0" containsNumber="1" containsInteger="1" minValue="22" maxValue="801"/>
    </cacheField>
    <cacheField name="Vol" numFmtId="0">
      <sharedItems containsSemiMixedTypes="0" containsString="0" containsNumber="1" containsInteger="1" minValue="1" maxValue="97"/>
    </cacheField>
    <cacheField name="WT" numFmtId="0">
      <sharedItems containsSemiMixedTypes="0" containsString="0" containsNumber="1" containsInteger="1" minValue="1" maxValue="879"/>
    </cacheField>
    <cacheField name="RDS Fulltime" numFmtId="0">
      <sharedItems containsString="0" containsBlank="1" containsNumber="1" containsInteger="1" minValue="1" maxValue="10"/>
    </cacheField>
  </cacheFields>
  <extLst>
    <ext xmlns:x14="http://schemas.microsoft.com/office/spreadsheetml/2009/9/main" uri="{725AE2AE-9491-48be-B2B4-4EB974FC3084}">
      <x14:pivotCacheDefinition pivotCacheId="98"/>
    </ext>
  </extLst>
</pivotCacheDefinition>
</file>

<file path=xl/pivotCache/pivotCacheDefinition40.xml><?xml version="1.0" encoding="utf-8"?>
<pivotCacheDefinition xmlns="http://schemas.openxmlformats.org/spreadsheetml/2006/main" xmlns:r="http://schemas.openxmlformats.org/officeDocument/2006/relationships" r:id="rId1" refreshedBy="Welsh, Gregor" refreshedDate="44071.470314583334" createdVersion="6" refreshedVersion="6" minRefreshableVersion="3" recordCount="18">
  <cacheSource type="worksheet">
    <worksheetSource ref="A80:D98" sheet="Tentrant"/>
  </cacheSource>
  <cacheFields count="4">
    <cacheField name="FisYr" numFmtId="0">
      <sharedItems count="2">
        <s v="2018-19"/>
        <s v="2019-20"/>
      </sharedItems>
    </cacheField>
    <cacheField name="Gender" numFmtId="0">
      <sharedItems count="2">
        <s v="Female"/>
        <s v="Male"/>
      </sharedItems>
    </cacheField>
    <cacheField name="StaffType" numFmtId="0">
      <sharedItems count="5">
        <s v="Control"/>
        <s v="RDS"/>
        <s v="Support"/>
        <s v="Vol"/>
        <s v="WT"/>
      </sharedItems>
    </cacheField>
    <cacheField name="Total Of PositionRef" numFmtId="0">
      <sharedItems containsSemiMixedTypes="0" containsString="0" containsNumber="1" containsInteger="1" minValue="5" maxValue="209"/>
    </cacheField>
  </cacheFields>
  <extLst>
    <ext xmlns:x14="http://schemas.microsoft.com/office/spreadsheetml/2009/9/main" uri="{725AE2AE-9491-48be-B2B4-4EB974FC3084}">
      <x14:pivotCacheDefinition pivotCacheId="108"/>
    </ext>
  </extLst>
</pivotCacheDefinition>
</file>

<file path=xl/pivotCache/pivotCacheDefinition41.xml><?xml version="1.0" encoding="utf-8"?>
<pivotCacheDefinition xmlns="http://schemas.openxmlformats.org/spreadsheetml/2006/main" xmlns:r="http://schemas.openxmlformats.org/officeDocument/2006/relationships" r:id="rId1" refreshedBy="Welsh, Gregor" refreshedDate="44071.470314930557" createdVersion="6" refreshedVersion="6" minRefreshableVersion="3" recordCount="73">
  <cacheSource type="worksheet">
    <worksheetSource ref="A4:D77" sheet="Tentrant"/>
  </cacheSource>
  <cacheFields count="4">
    <cacheField name="FisYr" numFmtId="0">
      <sharedItems count="2">
        <s v="2018-19"/>
        <s v="2019-20"/>
      </sharedItems>
    </cacheField>
    <cacheField name="AgeRange" numFmtId="0">
      <sharedItems count="11">
        <s v="20-24"/>
        <s v="25-29"/>
        <s v="30-34"/>
        <s v="35-39"/>
        <s v="40-44"/>
        <s v="45-49"/>
        <s v="50-54"/>
        <s v="55-59"/>
        <s v="60-64"/>
        <s v="65-69"/>
        <s v="Under 20"/>
      </sharedItems>
    </cacheField>
    <cacheField name="StaffType" numFmtId="0">
      <sharedItems count="5">
        <s v="Control"/>
        <s v="RDS"/>
        <s v="Support"/>
        <s v="Vol"/>
        <s v="WT"/>
      </sharedItems>
    </cacheField>
    <cacheField name="Total Of PositionRef" numFmtId="0">
      <sharedItems containsSemiMixedTypes="0" containsString="0" containsNumber="1" containsInteger="1" minValue="1" maxValue="61"/>
    </cacheField>
  </cacheFields>
  <extLst>
    <ext xmlns:x14="http://schemas.microsoft.com/office/spreadsheetml/2009/9/main" uri="{725AE2AE-9491-48be-B2B4-4EB974FC3084}">
      <x14:pivotCacheDefinition pivotCacheId="109"/>
    </ext>
  </extLst>
</pivotCacheDefinition>
</file>

<file path=xl/pivotCache/pivotCacheDefinition42.xml><?xml version="1.0" encoding="utf-8"?>
<pivotCacheDefinition xmlns="http://schemas.openxmlformats.org/spreadsheetml/2006/main" xmlns:r="http://schemas.openxmlformats.org/officeDocument/2006/relationships" r:id="rId1" refreshedBy="Welsh, Gregor" refreshedDate="44071.47031527778" createdVersion="6" refreshedVersion="6" minRefreshableVersion="3" recordCount="34">
  <cacheSource type="worksheet">
    <worksheetSource ref="A150:E184" sheet="Tentrant"/>
  </cacheSource>
  <cacheFields count="5">
    <cacheField name="FYear" numFmtId="0">
      <sharedItems/>
    </cacheField>
    <cacheField name="FinYear" numFmtId="0">
      <sharedItems count="2">
        <s v="2018-19"/>
        <s v="2019-20"/>
      </sharedItems>
    </cacheField>
    <cacheField name="DisStat" numFmtId="0">
      <sharedItems count="3">
        <s v="Disabled"/>
        <s v="Not Disabled"/>
        <s v="Not Known"/>
      </sharedItems>
    </cacheField>
    <cacheField name="Type" numFmtId="0">
      <sharedItems count="7">
        <s v="RDS"/>
        <s v="Support"/>
        <s v="Total"/>
        <s v="TotalExVol"/>
        <s v="WT"/>
        <s v="Control"/>
        <s v="Vol"/>
      </sharedItems>
    </cacheField>
    <cacheField name="Total" numFmtId="0">
      <sharedItems containsSemiMixedTypes="0" containsString="0" containsNumber="1" minValue="0.4" maxValue="100"/>
    </cacheField>
  </cacheFields>
  <extLst>
    <ext xmlns:x14="http://schemas.microsoft.com/office/spreadsheetml/2009/9/main" uri="{725AE2AE-9491-48be-B2B4-4EB974FC3084}">
      <x14:pivotCacheDefinition pivotCacheId="114"/>
    </ext>
  </extLst>
</pivotCacheDefinition>
</file>

<file path=xl/pivotCache/pivotCacheDefinition43.xml><?xml version="1.0" encoding="utf-8"?>
<pivotCacheDefinition xmlns="http://schemas.openxmlformats.org/spreadsheetml/2006/main" xmlns:r="http://schemas.openxmlformats.org/officeDocument/2006/relationships" r:id="rId1" refreshedBy="Welsh, Gregor" refreshedDate="44071.470315740742" createdVersion="6" refreshedVersion="6" minRefreshableVersion="3" recordCount="150">
  <cacheSource type="worksheet">
    <worksheetSource ref="A4:H154" sheet="T4e"/>
  </cacheSource>
  <cacheFields count="8">
    <cacheField name="FinYr" numFmtId="0">
      <sharedItems count="7">
        <s v="2013-14"/>
        <s v="2014-15"/>
        <s v="2015-16"/>
        <s v="2016-17"/>
        <s v="2017-18"/>
        <s v="2018-19"/>
        <s v="2019-20"/>
      </sharedItems>
    </cacheField>
    <cacheField name="ReportingLevel" numFmtId="0">
      <sharedItems count="2">
        <s v="1:LA"/>
        <s v="1:LA_x0009_"/>
      </sharedItems>
    </cacheField>
    <cacheField name="Code" numFmtId="0">
      <sharedItems/>
    </cacheField>
    <cacheField name="lvl" numFmtId="0">
      <sharedItems count="32">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haredItems>
    </cacheField>
    <cacheField name="Total" numFmtId="0">
      <sharedItems containsSemiMixedTypes="0" containsString="0" containsNumber="1" containsInteger="1" minValue="0" maxValue="225"/>
    </cacheField>
    <cacheField name="Watch Manager" numFmtId="0">
      <sharedItems containsString="0" containsBlank="1" containsNumber="1" containsInteger="1" minValue="0" maxValue="25"/>
    </cacheField>
    <cacheField name="Crew Manager" numFmtId="0">
      <sharedItems containsString="0" containsBlank="1" containsNumber="1" containsInteger="1" minValue="0" maxValue="47"/>
    </cacheField>
    <cacheField name="Firefighter" numFmtId="0">
      <sharedItems containsSemiMixedTypes="0" containsString="0" containsNumber="1" containsInteger="1" minValue="0" maxValue="180"/>
    </cacheField>
  </cacheFields>
  <extLst>
    <ext xmlns:x14="http://schemas.microsoft.com/office/spreadsheetml/2009/9/main" uri="{725AE2AE-9491-48be-B2B4-4EB974FC3084}">
      <x14:pivotCacheDefinition pivotCacheId="115"/>
    </ext>
  </extLst>
</pivotCacheDefinition>
</file>

<file path=xl/pivotCache/pivotCacheDefinition44.xml><?xml version="1.0" encoding="utf-8"?>
<pivotCacheDefinition xmlns="http://schemas.openxmlformats.org/spreadsheetml/2006/main" xmlns:r="http://schemas.openxmlformats.org/officeDocument/2006/relationships" r:id="rId1" refreshedBy="Welsh, Gregor" refreshedDate="44071.470316087965" createdVersion="6" refreshedVersion="6" minRefreshableVersion="3" recordCount="193">
  <cacheSource type="worksheet">
    <worksheetSource ref="A4:K197" sheet="T22"/>
  </cacheSource>
  <cacheFields count="11">
    <cacheField name="FisYr" numFmtId="0">
      <sharedItems count="6">
        <s v="2014-15"/>
        <s v="2015-16"/>
        <s v="2016-17"/>
        <s v="2017-18"/>
        <s v="2018-19"/>
        <s v="2019-20"/>
      </sharedItems>
    </cacheField>
    <cacheField name="Council"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Na h-Eileanan Siar_x0009_"/>
      </sharedItems>
    </cacheField>
    <cacheField name="GSSCode" numFmtId="0">
      <sharedItems/>
    </cacheField>
    <cacheField name="A_Tally" numFmtId="0">
      <sharedItems containsString="0" containsBlank="1" containsNumber="1" containsInteger="1" minValue="1" maxValue="1812"/>
    </cacheField>
    <cacheField name="A_Hours" numFmtId="0">
      <sharedItems containsString="0" containsBlank="1" containsNumber="1" minValue="27.25" maxValue="7682.25"/>
    </cacheField>
    <cacheField name="B_Tally" numFmtId="0">
      <sharedItems containsString="0" containsBlank="1" containsNumber="1" containsInteger="1" minValue="1" maxValue="144"/>
    </cacheField>
    <cacheField name="B_Hours" numFmtId="0">
      <sharedItems containsString="0" containsBlank="1" containsNumber="1" minValue="4.25" maxValue="1064.25"/>
    </cacheField>
    <cacheField name="Enforcement_Tally" numFmtId="0">
      <sharedItems containsString="0" containsBlank="1" containsNumber="1" containsInteger="1" minValue="1" maxValue="10"/>
    </cacheField>
    <cacheField name="Enforcement_Hours" numFmtId="0">
      <sharedItems containsString="0" containsBlank="1" containsNumber="1" minValue="5.5" maxValue="256.5"/>
    </cacheField>
    <cacheField name="Prohibition_Tally" numFmtId="0">
      <sharedItems containsString="0" containsBlank="1" containsNumber="1" containsInteger="1" minValue="1" maxValue="7"/>
    </cacheField>
    <cacheField name="Prohibition_Hours" numFmtId="0">
      <sharedItems containsString="0" containsBlank="1" containsNumber="1" minValue="2.5" maxValue="123"/>
    </cacheField>
  </cacheFields>
  <extLst>
    <ext xmlns:x14="http://schemas.microsoft.com/office/spreadsheetml/2009/9/main" uri="{725AE2AE-9491-48be-B2B4-4EB974FC3084}">
      <x14:pivotCacheDefinition pivotCacheId="116"/>
    </ext>
  </extLst>
</pivotCacheDefinition>
</file>

<file path=xl/pivotCache/pivotCacheDefinition45.xml><?xml version="1.0" encoding="utf-8"?>
<pivotCacheDefinition xmlns="http://schemas.openxmlformats.org/spreadsheetml/2006/main" xmlns:r="http://schemas.openxmlformats.org/officeDocument/2006/relationships" r:id="rId1" refreshedBy="Welsh, Gregor" refreshedDate="44071.470316435189" createdVersion="6" refreshedVersion="6" minRefreshableVersion="3" recordCount="55">
  <cacheSource type="worksheet">
    <worksheetSource ref="A4:D59" sheet="Tleave"/>
  </cacheSource>
  <cacheFields count="4">
    <cacheField name="FisYr" numFmtId="0">
      <sharedItems count="2">
        <s v="2018-19"/>
        <s v="2019-20"/>
      </sharedItems>
    </cacheField>
    <cacheField name="LeavingReason" numFmtId="0">
      <sharedItems count="11">
        <s v="Dismissal"/>
        <s v="End of contract"/>
        <s v="Other"/>
        <s v="Resignation"/>
        <s v="Retirement - 30 Years Service"/>
        <s v="Retirement - Age"/>
        <s v="Retirement - Early"/>
        <s v="Retirement - Health"/>
        <s v="Transfer - To another F&amp;R Service"/>
        <s v="TUPE Transfer"/>
        <s v="Voluntary Severance"/>
      </sharedItems>
    </cacheField>
    <cacheField name="StaffType" numFmtId="0">
      <sharedItems count="5">
        <s v="RDS"/>
        <s v="Support"/>
        <s v="WT"/>
        <s v="Control"/>
        <s v="Vol"/>
      </sharedItems>
    </cacheField>
    <cacheField name="Total Of Headcount" numFmtId="0">
      <sharedItems containsSemiMixedTypes="0" containsString="0" containsNumber="1" containsInteger="1" minValue="1" maxValue="163"/>
    </cacheField>
  </cacheFields>
  <extLst>
    <ext xmlns:x14="http://schemas.microsoft.com/office/spreadsheetml/2009/9/main" uri="{725AE2AE-9491-48be-B2B4-4EB974FC3084}">
      <x14:pivotCacheDefinition pivotCacheId="117"/>
    </ext>
  </extLst>
</pivotCacheDefinition>
</file>

<file path=xl/pivotCache/pivotCacheDefinition5.xml><?xml version="1.0" encoding="utf-8"?>
<pivotCacheDefinition xmlns="http://schemas.openxmlformats.org/spreadsheetml/2006/main" xmlns:r="http://schemas.openxmlformats.org/officeDocument/2006/relationships" r:id="rId1" refreshedBy="Welsh, Gregor" refreshedDate="44071.470305555558" createdVersion="6" refreshedVersion="6" minRefreshableVersion="3" recordCount="81">
  <cacheSource type="worksheet">
    <worksheetSource ref="A4:I85" sheet="T10"/>
  </cacheSource>
  <cacheFields count="9">
    <cacheField name="FinYr" numFmtId="0">
      <sharedItems count="7">
        <s v="2013-14"/>
        <s v="2014-15"/>
        <s v="2015-16"/>
        <s v="2016-17"/>
        <s v="2017-18"/>
        <s v="2018-19"/>
        <s v="2019-20"/>
      </sharedItems>
    </cacheField>
    <cacheField name="AgeRange" numFmtId="0">
      <sharedItems count="17">
        <s v="20-29"/>
        <s v="30-39"/>
        <s v="40-44"/>
        <s v="45-49"/>
        <s v="50-54"/>
        <s v="55-65"/>
        <s v="66 and over"/>
        <s v="Under 20"/>
        <s v="20-24"/>
        <s v="25-29"/>
        <s v="30-34"/>
        <s v="35-39"/>
        <s v="55-59"/>
        <s v="60-64"/>
        <s v="65-69"/>
        <s v="70-74"/>
        <s v="Not Recorded"/>
      </sharedItems>
    </cacheField>
    <cacheField name="Total" numFmtId="0">
      <sharedItems containsSemiMixedTypes="0" containsString="0" containsNumber="1" containsInteger="1" minValue="2" maxValue="2223"/>
    </cacheField>
    <cacheField name="WT" numFmtId="0">
      <sharedItems containsString="0" containsBlank="1" containsNumber="1" containsInteger="1" minValue="0" maxValue="1254"/>
    </cacheField>
    <cacheField name="RDS" numFmtId="0">
      <sharedItems containsString="0" containsBlank="1" containsNumber="1" containsInteger="1" minValue="0" maxValue="691"/>
    </cacheField>
    <cacheField name="Control" numFmtId="0">
      <sharedItems containsString="0" containsBlank="1" containsNumber="1" containsInteger="1" minValue="0" maxValue="52"/>
    </cacheField>
    <cacheField name="Support" numFmtId="0">
      <sharedItems containsString="0" containsBlank="1" containsNumber="1" containsInteger="1" minValue="0" maxValue="248"/>
    </cacheField>
    <cacheField name="Vol" numFmtId="0">
      <sharedItems containsString="0" containsBlank="1" containsNumber="1" containsInteger="1" minValue="0" maxValue="89"/>
    </cacheField>
    <cacheField name="RDS Fulltime" numFmtId="0">
      <sharedItems containsString="0" containsBlank="1" containsNumber="1" containsInteger="1" minValue="1" maxValue="10"/>
    </cacheField>
  </cacheFields>
  <extLst>
    <ext xmlns:x14="http://schemas.microsoft.com/office/spreadsheetml/2009/9/main" uri="{725AE2AE-9491-48be-B2B4-4EB974FC3084}">
      <x14:pivotCacheDefinition pivotCacheId="97"/>
    </ext>
  </extLst>
</pivotCacheDefinition>
</file>

<file path=xl/pivotCache/pivotCacheDefinition6.xml><?xml version="1.0" encoding="utf-8"?>
<pivotCacheDefinition xmlns="http://schemas.openxmlformats.org/spreadsheetml/2006/main" xmlns:r="http://schemas.openxmlformats.org/officeDocument/2006/relationships" r:id="rId1" refreshedBy="Welsh, Gregor" refreshedDate="44071.470305902774" createdVersion="6" refreshedVersion="6" minRefreshableVersion="3" recordCount="370">
  <cacheSource type="worksheet">
    <worksheetSource ref="A4:K374" sheet="T3"/>
  </cacheSource>
  <cacheFields count="11">
    <cacheField name="FinYr" numFmtId="0">
      <sharedItems count="7">
        <s v="2013-14"/>
        <s v="2014-15"/>
        <s v="2015-16"/>
        <s v="2016-17"/>
        <s v="2017-18"/>
        <s v="2018-19"/>
        <s v="2019-20"/>
      </sharedItems>
    </cacheField>
    <cacheField name="ReportingLevel" numFmtId="0">
      <sharedItems count="4">
        <s v="1:LA"/>
        <s v="2:LSO"/>
        <s v="3:SDA"/>
        <s v="4:National"/>
      </sharedItems>
    </cacheField>
    <cacheField name="Code" numFmtId="0">
      <sharedItems containsBlank="1"/>
    </cacheField>
    <cacheField name="lvl" numFmtId="0">
      <sharedItems count="48">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Stirling, Clackmannanshire and Fife"/>
      </sharedItems>
    </cacheField>
    <cacheField name="Total" numFmtId="0">
      <sharedItems containsSemiMixedTypes="0" containsString="0" containsNumber="1" containsInteger="1" minValue="5" maxValue="717"/>
    </cacheField>
    <cacheField name="Control" numFmtId="0">
      <sharedItems containsString="0" containsBlank="1" containsNumber="1" containsInteger="1" minValue="165" maxValue="230"/>
    </cacheField>
    <cacheField name="RDS" numFmtId="0">
      <sharedItems containsString="0" containsBlank="1" containsNumber="1" containsInteger="1" minValue="0" maxValue="564"/>
    </cacheField>
    <cacheField name="RDS Fulltime" numFmtId="0">
      <sharedItems containsString="0" containsBlank="1" containsNumber="1" containsInteger="1" minValue="1" maxValue="7"/>
    </cacheField>
    <cacheField name="Support" numFmtId="0">
      <sharedItems containsString="0" containsBlank="1" containsNumber="1" containsInteger="1" minValue="95" maxValue="416"/>
    </cacheField>
    <cacheField name="Vol" numFmtId="0">
      <sharedItems containsString="0" containsBlank="1" containsNumber="1" containsInteger="1" minValue="0" maxValue="225"/>
    </cacheField>
    <cacheField name="WT" numFmtId="0">
      <sharedItems containsString="0" containsBlank="1" containsNumber="1" containsInteger="1" minValue="0" maxValue="560"/>
    </cacheField>
  </cacheFields>
  <extLst>
    <ext xmlns:x14="http://schemas.microsoft.com/office/spreadsheetml/2009/9/main" uri="{725AE2AE-9491-48be-B2B4-4EB974FC3084}">
      <x14:pivotCacheDefinition pivotCacheId="78"/>
    </ext>
  </extLst>
</pivotCacheDefinition>
</file>

<file path=xl/pivotCache/pivotCacheDefinition7.xml><?xml version="1.0" encoding="utf-8"?>
<pivotCacheDefinition xmlns="http://schemas.openxmlformats.org/spreadsheetml/2006/main" xmlns:r="http://schemas.openxmlformats.org/officeDocument/2006/relationships" r:id="rId1" refreshedBy="Welsh, Gregor" refreshedDate="44071.47030601852" createdVersion="6" refreshedVersion="6" minRefreshableVersion="3" recordCount="192">
  <cacheSource type="worksheet">
    <worksheetSource ref="A15:G207" sheet="T13"/>
  </cacheSource>
  <cacheFields count="7">
    <cacheField name="FisYr" numFmtId="0">
      <sharedItems count="6">
        <s v="2014-15"/>
        <s v="2015-16"/>
        <s v="2016-17"/>
        <s v="2017-18"/>
        <s v="2018-19"/>
        <s v="2019-20"/>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Code" numFmtId="0">
      <sharedItems/>
    </cacheField>
    <cacheField name="Wholetime" numFmtId="0">
      <sharedItems containsString="0" containsBlank="1" containsNumber="1" containsInteger="1" minValue="1" maxValue="11"/>
    </cacheField>
    <cacheField name="Retained" numFmtId="0">
      <sharedItems containsString="0" containsBlank="1" containsNumber="1" containsInteger="1" minValue="1" maxValue="51"/>
    </cacheField>
    <cacheField name="Volunteer" numFmtId="0">
      <sharedItems containsString="0" containsBlank="1" containsNumber="1" containsInteger="1" minValue="1" maxValue="25"/>
    </cacheField>
    <cacheField name="Total" numFmtId="0">
      <sharedItems containsSemiMixedTypes="0" containsString="0" containsNumber="1" containsInteger="1" minValue="2" maxValue="61"/>
    </cacheField>
  </cacheFields>
  <extLst>
    <ext xmlns:x14="http://schemas.microsoft.com/office/spreadsheetml/2009/9/main" uri="{725AE2AE-9491-48be-B2B4-4EB974FC3084}">
      <x14:pivotCacheDefinition pivotCacheId="71"/>
    </ext>
  </extLst>
</pivotCacheDefinition>
</file>

<file path=xl/pivotCache/pivotCacheDefinition8.xml><?xml version="1.0" encoding="utf-8"?>
<pivotCacheDefinition xmlns="http://schemas.openxmlformats.org/spreadsheetml/2006/main" xmlns:r="http://schemas.openxmlformats.org/officeDocument/2006/relationships" r:id="rId1" refreshedBy="Welsh, Gregor" refreshedDate="44071.470306481482" createdVersion="6" refreshedVersion="6" minRefreshableVersion="3" recordCount="64">
  <cacheSource type="worksheet">
    <worksheetSource ref="A25:I89" sheet="T13cm"/>
  </cacheSource>
  <cacheFields count="9">
    <cacheField name="FisYr" numFmtId="0">
      <sharedItems count="2">
        <s v="2018-19"/>
        <s v="2019-20"/>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Code" numFmtId="0">
      <sharedItems/>
    </cacheField>
    <cacheField name="Total" numFmtId="0">
      <sharedItems containsSemiMixedTypes="0" containsString="0" containsNumber="1" containsInteger="1" minValue="2" maxValue="61"/>
    </cacheField>
    <cacheField name="Retained" numFmtId="0">
      <sharedItems containsString="0" containsBlank="1" containsNumber="1" containsInteger="1" minValue="1" maxValue="51"/>
    </cacheField>
    <cacheField name="Volunteer" numFmtId="0">
      <sharedItems containsString="0" containsBlank="1" containsNumber="1" containsInteger="1" minValue="1" maxValue="25"/>
    </cacheField>
    <cacheField name="Wholetime" numFmtId="0">
      <sharedItems containsString="0" containsBlank="1" containsNumber="1" containsInteger="1" minValue="1" maxValue="11"/>
    </cacheField>
    <cacheField name="Wholetime and Day" numFmtId="0">
      <sharedItems containsString="0" containsBlank="1" containsNumber="1" containsInteger="1" minValue="1" maxValue="1"/>
    </cacheField>
    <cacheField name="Wholetime and Retained" numFmtId="0">
      <sharedItems containsString="0" containsBlank="1" containsNumber="1" containsInteger="1" minValue="1" maxValue="3"/>
    </cacheField>
  </cacheFields>
  <extLst>
    <ext xmlns:x14="http://schemas.microsoft.com/office/spreadsheetml/2009/9/main" uri="{725AE2AE-9491-48be-B2B4-4EB974FC3084}">
      <x14:pivotCacheDefinition pivotCacheId="120"/>
    </ext>
  </extLst>
</pivotCacheDefinition>
</file>

<file path=xl/pivotCache/pivotCacheDefinition9.xml><?xml version="1.0" encoding="utf-8"?>
<pivotCacheDefinition xmlns="http://schemas.openxmlformats.org/spreadsheetml/2006/main" xmlns:r="http://schemas.openxmlformats.org/officeDocument/2006/relationships" r:id="rId1" refreshedBy="Welsh, Gregor" refreshedDate="44071.470306597221" createdVersion="6" refreshedVersion="6" minRefreshableVersion="3" recordCount="90">
  <cacheSource type="worksheet">
    <worksheetSource ref="A4:I94" sheet="T23"/>
  </cacheSource>
  <cacheFields count="9">
    <cacheField name="FisYr" numFmtId="0">
      <sharedItems count="6">
        <s v="2014-15"/>
        <s v="2015-16"/>
        <s v="2016-17"/>
        <s v="2017-18"/>
        <s v="2018-19"/>
        <s v="2019-20"/>
      </sharedItems>
    </cacheField>
    <cacheField name="FSEC" numFmtId="0">
      <sharedItems count="15">
        <s v="A"/>
        <s v="B"/>
        <s v="C"/>
        <s v="E"/>
        <s v="F"/>
        <s v="H"/>
        <s v="J"/>
        <s v="K"/>
        <s v="L"/>
        <s v="M"/>
        <s v="N"/>
        <s v="P"/>
        <s v="R"/>
        <s v="S"/>
        <s v="T"/>
      </sharedItems>
    </cacheField>
    <cacheField name="PremisesType" numFmtId="0">
      <sharedItems/>
    </cacheField>
    <cacheField name="Total" numFmtId="0">
      <sharedItems containsSemiMixedTypes="0" containsString="0" containsNumber="1" containsInteger="1" minValue="21" maxValue="3062"/>
    </cacheField>
    <cacheField name="H" numFmtId="0">
      <sharedItems containsSemiMixedTypes="0" containsString="0" containsNumber="1" containsInteger="1" minValue="2" maxValue="487"/>
    </cacheField>
    <cacheField name="L" numFmtId="0">
      <sharedItems containsString="0" containsBlank="1" containsNumber="1" containsInteger="1" minValue="1" maxValue="668"/>
    </cacheField>
    <cacheField name="M" numFmtId="0">
      <sharedItems containsSemiMixedTypes="0" containsString="0" containsNumber="1" containsInteger="1" minValue="9" maxValue="2548"/>
    </cacheField>
    <cacheField name="VH" numFmtId="0">
      <sharedItems containsString="0" containsBlank="1" containsNumber="1" containsInteger="1" minValue="1" maxValue="86"/>
    </cacheField>
    <cacheField name="VL" numFmtId="0">
      <sharedItems containsString="0" containsBlank="1" containsNumber="1" containsInteger="1" minValue="1" maxValue="141"/>
    </cacheField>
  </cacheFields>
  <extLst>
    <ext xmlns:x14="http://schemas.microsoft.com/office/spreadsheetml/2009/9/main" uri="{725AE2AE-9491-48be-B2B4-4EB974FC3084}">
      <x14:pivotCacheDefinition pivotCacheId="96"/>
    </ext>
  </extLst>
</pivotCacheDefinition>
</file>

<file path=xl/pivotCache/pivotCacheRecords1.xml><?xml version="1.0" encoding="utf-8"?>
<pivotCacheRecords xmlns="http://schemas.openxmlformats.org/spreadsheetml/2006/main" xmlns:r="http://schemas.openxmlformats.org/officeDocument/2006/relationships" count="2">
  <r>
    <x v="0"/>
  </r>
  <r>
    <x v="1"/>
  </r>
</pivotCacheRecords>
</file>

<file path=xl/pivotCache/pivotCacheRecords10.xml><?xml version="1.0" encoding="utf-8"?>
<pivotCacheRecords xmlns="http://schemas.openxmlformats.org/spreadsheetml/2006/main" xmlns:r="http://schemas.openxmlformats.org/officeDocument/2006/relationships" count="90">
  <r>
    <x v="0"/>
    <x v="0"/>
    <n v="330"/>
    <n v="2088.25"/>
    <n v="4"/>
    <n v="37.5"/>
    <m/>
    <m/>
    <m/>
    <m/>
  </r>
  <r>
    <x v="0"/>
    <x v="1"/>
    <n v="1456"/>
    <n v="8821.25"/>
    <n v="50"/>
    <n v="482.25"/>
    <n v="1"/>
    <n v="31"/>
    <m/>
    <m/>
  </r>
  <r>
    <x v="0"/>
    <x v="2"/>
    <n v="1871"/>
    <n v="7024.75"/>
    <n v="76"/>
    <n v="361.75"/>
    <n v="2"/>
    <n v="19.25"/>
    <n v="1"/>
    <n v="7.5"/>
  </r>
  <r>
    <x v="0"/>
    <x v="3"/>
    <n v="127"/>
    <n v="588.75"/>
    <n v="11"/>
    <n v="66.25"/>
    <m/>
    <m/>
    <n v="1"/>
    <n v="5.5"/>
  </r>
  <r>
    <x v="0"/>
    <x v="4"/>
    <n v="1022"/>
    <n v="6361.5"/>
    <n v="87"/>
    <n v="868.25"/>
    <n v="6"/>
    <n v="150.5"/>
    <m/>
    <m/>
  </r>
  <r>
    <x v="0"/>
    <x v="5"/>
    <n v="234"/>
    <n v="1136.75"/>
    <n v="17"/>
    <n v="120"/>
    <m/>
    <m/>
    <m/>
    <m/>
  </r>
  <r>
    <x v="0"/>
    <x v="6"/>
    <n v="27"/>
    <n v="201"/>
    <n v="1"/>
    <n v="4.75"/>
    <m/>
    <m/>
    <m/>
    <m/>
  </r>
  <r>
    <x v="0"/>
    <x v="7"/>
    <n v="67"/>
    <n v="370.5"/>
    <n v="1"/>
    <n v="7.25"/>
    <m/>
    <m/>
    <m/>
    <m/>
  </r>
  <r>
    <x v="0"/>
    <x v="8"/>
    <n v="553"/>
    <n v="2713"/>
    <n v="43"/>
    <n v="383.25"/>
    <m/>
    <m/>
    <m/>
    <m/>
  </r>
  <r>
    <x v="0"/>
    <x v="9"/>
    <n v="257"/>
    <n v="1527"/>
    <n v="3"/>
    <n v="23.5"/>
    <m/>
    <m/>
    <m/>
    <m/>
  </r>
  <r>
    <x v="0"/>
    <x v="10"/>
    <n v="644"/>
    <n v="3222.75"/>
    <n v="39"/>
    <n v="284.75"/>
    <m/>
    <m/>
    <m/>
    <m/>
  </r>
  <r>
    <x v="0"/>
    <x v="11"/>
    <n v="343"/>
    <n v="1793.75"/>
    <n v="13"/>
    <n v="95"/>
    <m/>
    <m/>
    <n v="1"/>
    <n v="12.5"/>
  </r>
  <r>
    <x v="0"/>
    <x v="12"/>
    <n v="388"/>
    <n v="2008.75"/>
    <n v="24"/>
    <n v="214.75"/>
    <m/>
    <m/>
    <m/>
    <m/>
  </r>
  <r>
    <x v="0"/>
    <x v="13"/>
    <n v="333"/>
    <n v="1754.75"/>
    <n v="11"/>
    <n v="75"/>
    <n v="1"/>
    <n v="5.5"/>
    <m/>
    <m/>
  </r>
  <r>
    <x v="0"/>
    <x v="14"/>
    <n v="164"/>
    <n v="872.25"/>
    <n v="10"/>
    <n v="110.25"/>
    <m/>
    <m/>
    <m/>
    <m/>
  </r>
  <r>
    <x v="1"/>
    <x v="0"/>
    <n v="409"/>
    <n v="2440"/>
    <n v="42"/>
    <n v="504.75"/>
    <n v="1"/>
    <n v="32"/>
    <m/>
    <m/>
  </r>
  <r>
    <x v="1"/>
    <x v="1"/>
    <n v="1667"/>
    <n v="9716.25"/>
    <n v="93"/>
    <n v="978.75"/>
    <n v="3"/>
    <n v="76.25"/>
    <m/>
    <m/>
  </r>
  <r>
    <x v="1"/>
    <x v="2"/>
    <n v="2916"/>
    <n v="10285.25"/>
    <n v="146"/>
    <n v="902.5"/>
    <n v="2"/>
    <n v="14.5"/>
    <n v="1"/>
    <n v="3.75"/>
  </r>
  <r>
    <x v="1"/>
    <x v="3"/>
    <n v="109"/>
    <n v="654.75"/>
    <n v="10"/>
    <n v="118.75"/>
    <n v="1"/>
    <n v="26.5"/>
    <m/>
    <m/>
  </r>
  <r>
    <x v="1"/>
    <x v="4"/>
    <n v="1100"/>
    <n v="6862.25"/>
    <n v="163"/>
    <n v="2008.25"/>
    <n v="14"/>
    <n v="436.5"/>
    <m/>
    <m/>
  </r>
  <r>
    <x v="1"/>
    <x v="5"/>
    <n v="317"/>
    <n v="1475"/>
    <n v="34"/>
    <n v="285.75"/>
    <m/>
    <m/>
    <m/>
    <m/>
  </r>
  <r>
    <x v="1"/>
    <x v="6"/>
    <n v="35"/>
    <n v="248.75"/>
    <n v="1"/>
    <n v="6.5"/>
    <m/>
    <m/>
    <m/>
    <m/>
  </r>
  <r>
    <x v="1"/>
    <x v="7"/>
    <n v="48"/>
    <n v="249.5"/>
    <n v="1"/>
    <n v="20.25"/>
    <m/>
    <m/>
    <m/>
    <m/>
  </r>
  <r>
    <x v="1"/>
    <x v="8"/>
    <n v="437"/>
    <n v="2243.5"/>
    <n v="57"/>
    <n v="475.25"/>
    <n v="2"/>
    <n v="26.25"/>
    <m/>
    <m/>
  </r>
  <r>
    <x v="1"/>
    <x v="9"/>
    <n v="216"/>
    <n v="1257"/>
    <n v="12"/>
    <n v="100"/>
    <m/>
    <m/>
    <n v="1"/>
    <n v="2.5"/>
  </r>
  <r>
    <x v="1"/>
    <x v="10"/>
    <n v="598"/>
    <n v="3214.5"/>
    <n v="41"/>
    <n v="283"/>
    <m/>
    <m/>
    <n v="1"/>
    <n v="11.5"/>
  </r>
  <r>
    <x v="1"/>
    <x v="11"/>
    <n v="303"/>
    <n v="1550.75"/>
    <n v="17"/>
    <n v="153"/>
    <m/>
    <m/>
    <m/>
    <m/>
  </r>
  <r>
    <x v="1"/>
    <x v="12"/>
    <n v="476"/>
    <n v="2044.25"/>
    <n v="9"/>
    <n v="74.75"/>
    <m/>
    <m/>
    <m/>
    <m/>
  </r>
  <r>
    <x v="1"/>
    <x v="13"/>
    <n v="364"/>
    <n v="1734.75"/>
    <n v="15"/>
    <n v="95.75"/>
    <m/>
    <m/>
    <m/>
    <m/>
  </r>
  <r>
    <x v="1"/>
    <x v="14"/>
    <n v="190"/>
    <n v="988.5"/>
    <n v="8"/>
    <n v="62.25"/>
    <m/>
    <m/>
    <n v="1"/>
    <n v="5.5"/>
  </r>
  <r>
    <x v="2"/>
    <x v="0"/>
    <n v="359"/>
    <n v="1911.75"/>
    <n v="37"/>
    <n v="370.75"/>
    <m/>
    <m/>
    <m/>
    <m/>
  </r>
  <r>
    <x v="2"/>
    <x v="1"/>
    <n v="1660"/>
    <n v="9324.75"/>
    <n v="59"/>
    <n v="711.5"/>
    <m/>
    <m/>
    <m/>
    <m/>
  </r>
  <r>
    <x v="2"/>
    <x v="2"/>
    <n v="2531"/>
    <n v="8986"/>
    <n v="119"/>
    <n v="614"/>
    <n v="9"/>
    <n v="69.25"/>
    <n v="4"/>
    <n v="22.25"/>
  </r>
  <r>
    <x v="2"/>
    <x v="3"/>
    <n v="119"/>
    <n v="607"/>
    <n v="9"/>
    <n v="83.5"/>
    <n v="1"/>
    <n v="6.75"/>
    <m/>
    <m/>
  </r>
  <r>
    <x v="2"/>
    <x v="4"/>
    <n v="990"/>
    <n v="5995.25"/>
    <n v="148"/>
    <n v="1626.25"/>
    <n v="8"/>
    <n v="268.5"/>
    <n v="3"/>
    <n v="20.75"/>
  </r>
  <r>
    <x v="2"/>
    <x v="5"/>
    <n v="338"/>
    <n v="1664"/>
    <n v="33"/>
    <n v="287.5"/>
    <n v="2"/>
    <n v="39"/>
    <n v="2"/>
    <n v="7.25"/>
  </r>
  <r>
    <x v="2"/>
    <x v="6"/>
    <n v="20"/>
    <n v="104.5"/>
    <n v="1"/>
    <n v="11.5"/>
    <m/>
    <m/>
    <m/>
    <m/>
  </r>
  <r>
    <x v="2"/>
    <x v="7"/>
    <n v="63"/>
    <n v="340.5"/>
    <n v="3"/>
    <n v="33.25"/>
    <m/>
    <m/>
    <m/>
    <m/>
  </r>
  <r>
    <x v="2"/>
    <x v="8"/>
    <n v="421"/>
    <n v="2155.5"/>
    <n v="61"/>
    <n v="470.25"/>
    <n v="1"/>
    <n v="11.75"/>
    <n v="1"/>
    <n v="8.5"/>
  </r>
  <r>
    <x v="2"/>
    <x v="9"/>
    <n v="350"/>
    <n v="2174"/>
    <n v="13"/>
    <n v="160.75"/>
    <m/>
    <m/>
    <m/>
    <m/>
  </r>
  <r>
    <x v="2"/>
    <x v="10"/>
    <n v="497"/>
    <n v="2570.75"/>
    <n v="26"/>
    <n v="227.75"/>
    <m/>
    <m/>
    <n v="2"/>
    <n v="13.5"/>
  </r>
  <r>
    <x v="2"/>
    <x v="11"/>
    <n v="221"/>
    <n v="1244.75"/>
    <n v="14"/>
    <n v="103.25"/>
    <m/>
    <m/>
    <m/>
    <m/>
  </r>
  <r>
    <x v="2"/>
    <x v="12"/>
    <n v="319"/>
    <n v="1744"/>
    <n v="10"/>
    <n v="102.75"/>
    <m/>
    <m/>
    <m/>
    <m/>
  </r>
  <r>
    <x v="2"/>
    <x v="13"/>
    <n v="264"/>
    <n v="1213.5"/>
    <n v="11"/>
    <n v="97.25"/>
    <m/>
    <m/>
    <m/>
    <m/>
  </r>
  <r>
    <x v="2"/>
    <x v="14"/>
    <n v="233"/>
    <n v="1339.75"/>
    <n v="10"/>
    <n v="90.5"/>
    <m/>
    <m/>
    <m/>
    <m/>
  </r>
  <r>
    <x v="3"/>
    <x v="0"/>
    <n v="342"/>
    <n v="1662"/>
    <n v="25"/>
    <n v="274.25"/>
    <m/>
    <m/>
    <m/>
    <m/>
  </r>
  <r>
    <x v="3"/>
    <x v="1"/>
    <n v="1599"/>
    <n v="8671.5"/>
    <n v="54"/>
    <n v="593.75"/>
    <m/>
    <m/>
    <m/>
    <m/>
  </r>
  <r>
    <x v="3"/>
    <x v="2"/>
    <n v="1986"/>
    <n v="7167.75"/>
    <n v="91"/>
    <n v="794.5"/>
    <n v="2"/>
    <n v="51.75"/>
    <n v="4"/>
    <n v="16.25"/>
  </r>
  <r>
    <x v="3"/>
    <x v="3"/>
    <n v="94"/>
    <n v="573.5"/>
    <n v="10"/>
    <n v="114.75"/>
    <m/>
    <m/>
    <n v="1"/>
    <n v="2"/>
  </r>
  <r>
    <x v="3"/>
    <x v="4"/>
    <n v="1018"/>
    <n v="5856.5"/>
    <n v="149"/>
    <n v="1800.5"/>
    <n v="9"/>
    <n v="378.75"/>
    <n v="6"/>
    <n v="72.5"/>
  </r>
  <r>
    <x v="3"/>
    <x v="5"/>
    <n v="375"/>
    <n v="1755"/>
    <n v="33"/>
    <n v="257.25"/>
    <m/>
    <m/>
    <n v="1"/>
    <n v="7.5"/>
  </r>
  <r>
    <x v="3"/>
    <x v="6"/>
    <n v="34"/>
    <n v="183"/>
    <n v="3"/>
    <n v="56.5"/>
    <m/>
    <m/>
    <m/>
    <m/>
  </r>
  <r>
    <x v="3"/>
    <x v="7"/>
    <n v="55"/>
    <n v="288"/>
    <n v="4"/>
    <n v="35.75"/>
    <m/>
    <m/>
    <m/>
    <m/>
  </r>
  <r>
    <x v="3"/>
    <x v="8"/>
    <n v="294"/>
    <n v="1469.5"/>
    <n v="38"/>
    <n v="329.5"/>
    <n v="3"/>
    <n v="32"/>
    <n v="3"/>
    <n v="17.75"/>
  </r>
  <r>
    <x v="3"/>
    <x v="9"/>
    <n v="255"/>
    <n v="1437.75"/>
    <n v="13"/>
    <n v="146.5"/>
    <m/>
    <m/>
    <m/>
    <m/>
  </r>
  <r>
    <x v="3"/>
    <x v="10"/>
    <n v="344"/>
    <n v="1674.75"/>
    <n v="18"/>
    <n v="138.25"/>
    <n v="1"/>
    <n v="3"/>
    <n v="2"/>
    <n v="12.5"/>
  </r>
  <r>
    <x v="3"/>
    <x v="11"/>
    <n v="225"/>
    <n v="1105.5"/>
    <n v="15"/>
    <n v="122.25"/>
    <m/>
    <m/>
    <m/>
    <m/>
  </r>
  <r>
    <x v="3"/>
    <x v="12"/>
    <n v="222"/>
    <n v="1205.75"/>
    <n v="6"/>
    <n v="53.25"/>
    <m/>
    <m/>
    <m/>
    <m/>
  </r>
  <r>
    <x v="3"/>
    <x v="13"/>
    <n v="217"/>
    <n v="1101.5"/>
    <n v="3"/>
    <n v="26"/>
    <m/>
    <m/>
    <m/>
    <m/>
  </r>
  <r>
    <x v="3"/>
    <x v="14"/>
    <n v="107"/>
    <n v="536.5"/>
    <n v="6"/>
    <n v="39"/>
    <m/>
    <m/>
    <m/>
    <m/>
  </r>
  <r>
    <x v="4"/>
    <x v="0"/>
    <n v="449"/>
    <n v="2244.5"/>
    <n v="22"/>
    <n v="166.5"/>
    <m/>
    <m/>
    <m/>
    <m/>
  </r>
  <r>
    <x v="4"/>
    <x v="1"/>
    <n v="1731"/>
    <n v="9112.75"/>
    <n v="44"/>
    <n v="463.25"/>
    <n v="1"/>
    <n v="33.25"/>
    <m/>
    <m/>
  </r>
  <r>
    <x v="4"/>
    <x v="2"/>
    <n v="1804"/>
    <n v="6780"/>
    <n v="58"/>
    <n v="572.5"/>
    <n v="5"/>
    <n v="167.25"/>
    <n v="12"/>
    <n v="181.25"/>
  </r>
  <r>
    <x v="4"/>
    <x v="3"/>
    <n v="85"/>
    <n v="435.5"/>
    <n v="3"/>
    <n v="61.25"/>
    <n v="1"/>
    <n v="38.25"/>
    <m/>
    <m/>
  </r>
  <r>
    <x v="4"/>
    <x v="4"/>
    <n v="921"/>
    <n v="5130.75"/>
    <n v="109"/>
    <n v="1313.75"/>
    <n v="5"/>
    <n v="154"/>
    <n v="4"/>
    <n v="34"/>
  </r>
  <r>
    <x v="4"/>
    <x v="5"/>
    <n v="301"/>
    <n v="1377.25"/>
    <n v="22"/>
    <n v="192.75"/>
    <m/>
    <m/>
    <m/>
    <m/>
  </r>
  <r>
    <x v="4"/>
    <x v="6"/>
    <n v="30"/>
    <n v="199.75"/>
    <n v="1"/>
    <n v="11.25"/>
    <m/>
    <m/>
    <m/>
    <m/>
  </r>
  <r>
    <x v="4"/>
    <x v="7"/>
    <n v="59"/>
    <n v="321.75"/>
    <n v="1"/>
    <n v="14"/>
    <m/>
    <m/>
    <m/>
    <m/>
  </r>
  <r>
    <x v="4"/>
    <x v="8"/>
    <n v="329"/>
    <n v="1704"/>
    <n v="45"/>
    <n v="386.75"/>
    <n v="5"/>
    <n v="80"/>
    <m/>
    <m/>
  </r>
  <r>
    <x v="4"/>
    <x v="9"/>
    <n v="457"/>
    <n v="2188.5"/>
    <n v="13"/>
    <n v="156.75"/>
    <m/>
    <m/>
    <m/>
    <m/>
  </r>
  <r>
    <x v="4"/>
    <x v="10"/>
    <n v="366"/>
    <n v="1827.5"/>
    <n v="16"/>
    <n v="156.5"/>
    <n v="3"/>
    <n v="45.25"/>
    <n v="3"/>
    <n v="16"/>
  </r>
  <r>
    <x v="4"/>
    <x v="11"/>
    <n v="273"/>
    <n v="1407.5"/>
    <n v="10"/>
    <n v="106.75"/>
    <m/>
    <m/>
    <n v="1"/>
    <n v="6.25"/>
  </r>
  <r>
    <x v="4"/>
    <x v="12"/>
    <n v="261"/>
    <n v="1459.5"/>
    <n v="6"/>
    <n v="50.75"/>
    <m/>
    <m/>
    <m/>
    <m/>
  </r>
  <r>
    <x v="4"/>
    <x v="13"/>
    <n v="263"/>
    <n v="1314"/>
    <n v="4"/>
    <n v="38"/>
    <m/>
    <m/>
    <m/>
    <m/>
  </r>
  <r>
    <x v="4"/>
    <x v="14"/>
    <n v="179"/>
    <n v="949"/>
    <n v="10"/>
    <n v="68.5"/>
    <n v="1"/>
    <m/>
    <m/>
    <m/>
  </r>
  <r>
    <x v="5"/>
    <x v="0"/>
    <n v="294"/>
    <m/>
    <n v="4"/>
    <m/>
    <m/>
    <m/>
    <m/>
    <m/>
  </r>
  <r>
    <x v="5"/>
    <x v="1"/>
    <n v="1451"/>
    <m/>
    <n v="35"/>
    <m/>
    <m/>
    <m/>
    <m/>
    <m/>
  </r>
  <r>
    <x v="5"/>
    <x v="2"/>
    <n v="1738"/>
    <m/>
    <n v="213"/>
    <m/>
    <n v="1"/>
    <m/>
    <n v="5"/>
    <m/>
  </r>
  <r>
    <x v="5"/>
    <x v="3"/>
    <n v="70"/>
    <m/>
    <n v="1"/>
    <m/>
    <m/>
    <m/>
    <m/>
    <m/>
  </r>
  <r>
    <x v="5"/>
    <x v="4"/>
    <n v="1017"/>
    <m/>
    <n v="64"/>
    <m/>
    <m/>
    <m/>
    <m/>
    <m/>
  </r>
  <r>
    <x v="5"/>
    <x v="5"/>
    <n v="458"/>
    <m/>
    <n v="12"/>
    <m/>
    <m/>
    <m/>
    <n v="2"/>
    <m/>
  </r>
  <r>
    <x v="5"/>
    <x v="6"/>
    <n v="25"/>
    <m/>
    <m/>
    <m/>
    <m/>
    <m/>
    <m/>
    <m/>
  </r>
  <r>
    <x v="5"/>
    <x v="7"/>
    <n v="38"/>
    <m/>
    <n v="1"/>
    <m/>
    <m/>
    <m/>
    <m/>
    <m/>
  </r>
  <r>
    <x v="5"/>
    <x v="8"/>
    <n v="259"/>
    <m/>
    <n v="30"/>
    <m/>
    <m/>
    <m/>
    <n v="1"/>
    <m/>
  </r>
  <r>
    <x v="5"/>
    <x v="9"/>
    <n v="266"/>
    <m/>
    <n v="5"/>
    <m/>
    <m/>
    <m/>
    <m/>
    <m/>
  </r>
  <r>
    <x v="5"/>
    <x v="10"/>
    <n v="350"/>
    <m/>
    <n v="8"/>
    <m/>
    <m/>
    <m/>
    <n v="1"/>
    <m/>
  </r>
  <r>
    <x v="5"/>
    <x v="11"/>
    <n v="275"/>
    <m/>
    <n v="4"/>
    <m/>
    <m/>
    <m/>
    <n v="2"/>
    <m/>
  </r>
  <r>
    <x v="5"/>
    <x v="12"/>
    <n v="234"/>
    <m/>
    <n v="7"/>
    <m/>
    <m/>
    <m/>
    <n v="1"/>
    <m/>
  </r>
  <r>
    <x v="5"/>
    <x v="13"/>
    <n v="283"/>
    <m/>
    <n v="2"/>
    <m/>
    <m/>
    <m/>
    <m/>
    <m/>
  </r>
  <r>
    <x v="5"/>
    <x v="14"/>
    <n v="115"/>
    <m/>
    <n v="2"/>
    <m/>
    <m/>
    <m/>
    <m/>
    <m/>
  </r>
</pivotCacheRecords>
</file>

<file path=xl/pivotCache/pivotCacheRecords11.xml><?xml version="1.0" encoding="utf-8"?>
<pivotCacheRecords xmlns="http://schemas.openxmlformats.org/spreadsheetml/2006/main" xmlns:r="http://schemas.openxmlformats.org/officeDocument/2006/relationships" count="192">
  <r>
    <x v="0"/>
    <s v="S12000005"/>
    <x v="0"/>
    <n v="44"/>
    <n v="22"/>
    <n v="1"/>
    <m/>
    <n v="2"/>
    <m/>
    <m/>
    <n v="5"/>
    <n v="1"/>
    <n v="3"/>
    <n v="1"/>
    <n v="4"/>
    <m/>
    <m/>
    <n v="3"/>
    <n v="2"/>
  </r>
  <r>
    <x v="0"/>
    <s v="S12000006"/>
    <x v="1"/>
    <n v="213"/>
    <n v="38"/>
    <n v="12"/>
    <n v="1"/>
    <n v="29"/>
    <n v="7"/>
    <n v="3"/>
    <n v="58"/>
    <n v="12"/>
    <n v="9"/>
    <n v="17"/>
    <n v="1"/>
    <n v="2"/>
    <n v="2"/>
    <n v="1"/>
    <n v="21"/>
  </r>
  <r>
    <x v="0"/>
    <s v="S12000008"/>
    <x v="2"/>
    <n v="153"/>
    <n v="30"/>
    <n v="13"/>
    <m/>
    <n v="19"/>
    <n v="10"/>
    <m/>
    <n v="22"/>
    <n v="11"/>
    <n v="7"/>
    <n v="11"/>
    <m/>
    <n v="4"/>
    <m/>
    <n v="5"/>
    <n v="21"/>
  </r>
  <r>
    <x v="0"/>
    <s v="S12000010"/>
    <x v="3"/>
    <n v="102"/>
    <n v="22"/>
    <n v="3"/>
    <n v="1"/>
    <n v="24"/>
    <n v="8"/>
    <n v="7"/>
    <n v="6"/>
    <n v="4"/>
    <n v="1"/>
    <n v="12"/>
    <n v="2"/>
    <m/>
    <n v="1"/>
    <n v="5"/>
    <n v="6"/>
  </r>
  <r>
    <x v="0"/>
    <s v="S12000011"/>
    <x v="4"/>
    <n v="119"/>
    <n v="14"/>
    <m/>
    <n v="1"/>
    <n v="14"/>
    <n v="1"/>
    <m/>
    <n v="7"/>
    <n v="18"/>
    <n v="11"/>
    <n v="8"/>
    <n v="2"/>
    <n v="8"/>
    <n v="3"/>
    <n v="7"/>
    <n v="25"/>
  </r>
  <r>
    <x v="0"/>
    <s v="S12000013"/>
    <x v="5"/>
    <n v="19"/>
    <n v="6"/>
    <m/>
    <m/>
    <n v="7"/>
    <n v="2"/>
    <m/>
    <n v="2"/>
    <m/>
    <n v="1"/>
    <m/>
    <m/>
    <m/>
    <m/>
    <n v="1"/>
    <m/>
  </r>
  <r>
    <x v="0"/>
    <s v="S12000014"/>
    <x v="6"/>
    <n v="243"/>
    <n v="52"/>
    <n v="30"/>
    <m/>
    <n v="15"/>
    <n v="12"/>
    <n v="1"/>
    <n v="20"/>
    <n v="27"/>
    <n v="10"/>
    <n v="17"/>
    <n v="2"/>
    <n v="10"/>
    <n v="7"/>
    <n v="23"/>
    <n v="17"/>
  </r>
  <r>
    <x v="0"/>
    <s v="S12000015"/>
    <x v="7"/>
    <n v="498"/>
    <n v="118"/>
    <n v="14"/>
    <n v="2"/>
    <n v="222"/>
    <n v="13"/>
    <n v="1"/>
    <n v="57"/>
    <n v="11"/>
    <n v="10"/>
    <n v="22"/>
    <n v="3"/>
    <n v="5"/>
    <n v="4"/>
    <n v="3"/>
    <n v="13"/>
  </r>
  <r>
    <x v="0"/>
    <s v="S12000017"/>
    <x v="8"/>
    <n v="276"/>
    <n v="83"/>
    <n v="5"/>
    <m/>
    <n v="59"/>
    <n v="12"/>
    <n v="10"/>
    <n v="92"/>
    <n v="5"/>
    <m/>
    <m/>
    <n v="5"/>
    <n v="2"/>
    <m/>
    <m/>
    <n v="3"/>
  </r>
  <r>
    <x v="0"/>
    <s v="S12000018"/>
    <x v="9"/>
    <n v="147"/>
    <n v="40"/>
    <n v="7"/>
    <n v="1"/>
    <n v="9"/>
    <n v="2"/>
    <m/>
    <n v="4"/>
    <n v="7"/>
    <n v="24"/>
    <n v="9"/>
    <m/>
    <n v="7"/>
    <n v="3"/>
    <n v="13"/>
    <n v="21"/>
  </r>
  <r>
    <x v="0"/>
    <s v="S12000019"/>
    <x v="10"/>
    <n v="126"/>
    <n v="18"/>
    <n v="1"/>
    <n v="1"/>
    <n v="35"/>
    <n v="3"/>
    <n v="5"/>
    <n v="2"/>
    <n v="4"/>
    <n v="1"/>
    <m/>
    <n v="2"/>
    <n v="2"/>
    <m/>
    <n v="14"/>
    <n v="38"/>
  </r>
  <r>
    <x v="0"/>
    <s v="S12000020"/>
    <x v="11"/>
    <n v="114"/>
    <n v="15"/>
    <n v="16"/>
    <m/>
    <n v="14"/>
    <m/>
    <m/>
    <n v="46"/>
    <n v="4"/>
    <n v="3"/>
    <n v="6"/>
    <n v="8"/>
    <m/>
    <n v="1"/>
    <m/>
    <n v="1"/>
  </r>
  <r>
    <x v="0"/>
    <s v="S12000021"/>
    <x v="12"/>
    <n v="109"/>
    <n v="58"/>
    <n v="1"/>
    <m/>
    <n v="2"/>
    <n v="7"/>
    <n v="1"/>
    <n v="6"/>
    <n v="1"/>
    <n v="6"/>
    <n v="9"/>
    <n v="1"/>
    <n v="3"/>
    <n v="1"/>
    <n v="2"/>
    <n v="11"/>
  </r>
  <r>
    <x v="0"/>
    <s v="S12000023"/>
    <x v="13"/>
    <n v="16"/>
    <n v="10"/>
    <m/>
    <m/>
    <n v="1"/>
    <n v="1"/>
    <m/>
    <n v="4"/>
    <m/>
    <m/>
    <m/>
    <m/>
    <m/>
    <m/>
    <m/>
    <m/>
  </r>
  <r>
    <x v="0"/>
    <s v="S12000024"/>
    <x v="14"/>
    <n v="247"/>
    <n v="85"/>
    <n v="3"/>
    <m/>
    <n v="32"/>
    <n v="49"/>
    <n v="1"/>
    <n v="18"/>
    <n v="4"/>
    <n v="11"/>
    <n v="4"/>
    <n v="30"/>
    <n v="1"/>
    <n v="1"/>
    <n v="3"/>
    <n v="5"/>
  </r>
  <r>
    <x v="0"/>
    <s v="S12000026"/>
    <x v="15"/>
    <n v="381"/>
    <n v="34"/>
    <n v="7"/>
    <m/>
    <n v="22"/>
    <n v="17"/>
    <n v="2"/>
    <n v="85"/>
    <n v="21"/>
    <n v="7"/>
    <n v="11"/>
    <n v="41"/>
    <n v="7"/>
    <n v="2"/>
    <n v="8"/>
    <n v="117"/>
  </r>
  <r>
    <x v="0"/>
    <s v="S12000027"/>
    <x v="16"/>
    <n v="32"/>
    <n v="14"/>
    <m/>
    <m/>
    <n v="6"/>
    <n v="1"/>
    <n v="2"/>
    <n v="8"/>
    <m/>
    <n v="1"/>
    <m/>
    <m/>
    <m/>
    <m/>
    <m/>
    <m/>
  </r>
  <r>
    <x v="0"/>
    <s v="S12000028"/>
    <x v="17"/>
    <n v="247"/>
    <n v="46"/>
    <n v="20"/>
    <n v="1"/>
    <n v="23"/>
    <n v="3"/>
    <n v="5"/>
    <n v="39"/>
    <n v="16"/>
    <n v="15"/>
    <n v="8"/>
    <n v="14"/>
    <n v="10"/>
    <n v="1"/>
    <n v="10"/>
    <n v="36"/>
  </r>
  <r>
    <x v="0"/>
    <s v="S12000029"/>
    <x v="18"/>
    <n v="286"/>
    <n v="110"/>
    <n v="5"/>
    <m/>
    <n v="69"/>
    <n v="10"/>
    <m/>
    <n v="36"/>
    <n v="12"/>
    <n v="7"/>
    <n v="9"/>
    <n v="3"/>
    <n v="2"/>
    <n v="1"/>
    <n v="7"/>
    <n v="15"/>
  </r>
  <r>
    <x v="0"/>
    <s v="S12000030"/>
    <x v="19"/>
    <n v="217"/>
    <n v="39"/>
    <n v="1"/>
    <m/>
    <n v="105"/>
    <n v="1"/>
    <n v="3"/>
    <n v="43"/>
    <n v="2"/>
    <n v="2"/>
    <m/>
    <n v="19"/>
    <m/>
    <n v="1"/>
    <n v="1"/>
    <m/>
  </r>
  <r>
    <x v="0"/>
    <s v="S12000033"/>
    <x v="20"/>
    <n v="369"/>
    <n v="71"/>
    <n v="1"/>
    <n v="4"/>
    <n v="164"/>
    <n v="4"/>
    <n v="2"/>
    <n v="72"/>
    <n v="27"/>
    <n v="2"/>
    <n v="6"/>
    <n v="3"/>
    <n v="6"/>
    <m/>
    <n v="1"/>
    <n v="6"/>
  </r>
  <r>
    <x v="0"/>
    <s v="S12000034"/>
    <x v="21"/>
    <n v="267"/>
    <n v="79"/>
    <n v="2"/>
    <m/>
    <n v="48"/>
    <n v="11"/>
    <m/>
    <n v="59"/>
    <n v="14"/>
    <n v="6"/>
    <n v="1"/>
    <n v="28"/>
    <n v="2"/>
    <m/>
    <n v="16"/>
    <n v="1"/>
  </r>
  <r>
    <x v="0"/>
    <s v="S12000035"/>
    <x v="22"/>
    <n v="253"/>
    <n v="27"/>
    <n v="3"/>
    <n v="2"/>
    <n v="2"/>
    <n v="5"/>
    <n v="5"/>
    <n v="101"/>
    <n v="9"/>
    <n v="4"/>
    <n v="2"/>
    <n v="24"/>
    <n v="18"/>
    <n v="2"/>
    <n v="36"/>
    <n v="13"/>
  </r>
  <r>
    <x v="0"/>
    <s v="S12000036"/>
    <x v="23"/>
    <n v="956"/>
    <n v="127"/>
    <n v="15"/>
    <n v="3"/>
    <n v="134"/>
    <n v="40"/>
    <n v="69"/>
    <n v="105"/>
    <n v="127"/>
    <n v="43"/>
    <n v="108"/>
    <n v="42"/>
    <n v="19"/>
    <n v="7"/>
    <n v="28"/>
    <n v="89"/>
  </r>
  <r>
    <x v="0"/>
    <s v="S12000038"/>
    <x v="24"/>
    <n v="215"/>
    <n v="51"/>
    <n v="10"/>
    <m/>
    <n v="16"/>
    <n v="1"/>
    <m/>
    <n v="21"/>
    <n v="31"/>
    <n v="17"/>
    <n v="10"/>
    <m/>
    <n v="9"/>
    <m/>
    <n v="12"/>
    <n v="37"/>
  </r>
  <r>
    <x v="0"/>
    <s v="S12000039"/>
    <x v="25"/>
    <n v="176"/>
    <n v="15"/>
    <n v="104"/>
    <m/>
    <n v="9"/>
    <n v="2"/>
    <m/>
    <n v="17"/>
    <n v="2"/>
    <n v="7"/>
    <n v="5"/>
    <n v="1"/>
    <n v="4"/>
    <n v="1"/>
    <n v="3"/>
    <n v="6"/>
  </r>
  <r>
    <x v="0"/>
    <s v="S12000040"/>
    <x v="26"/>
    <n v="238"/>
    <n v="45"/>
    <n v="29"/>
    <m/>
    <n v="13"/>
    <n v="9"/>
    <n v="4"/>
    <n v="5"/>
    <n v="34"/>
    <n v="13"/>
    <n v="15"/>
    <n v="1"/>
    <n v="3"/>
    <n v="16"/>
    <n v="21"/>
    <n v="30"/>
  </r>
  <r>
    <x v="0"/>
    <s v="S12000041"/>
    <x v="27"/>
    <n v="206"/>
    <n v="38"/>
    <n v="25"/>
    <m/>
    <n v="6"/>
    <n v="13"/>
    <n v="1"/>
    <n v="27"/>
    <n v="34"/>
    <n v="13"/>
    <n v="20"/>
    <n v="9"/>
    <n v="9"/>
    <n v="2"/>
    <n v="4"/>
    <n v="5"/>
  </r>
  <r>
    <x v="0"/>
    <s v="S12000042"/>
    <x v="28"/>
    <n v="460"/>
    <n v="40"/>
    <m/>
    <m/>
    <n v="315"/>
    <n v="37"/>
    <n v="1"/>
    <n v="34"/>
    <n v="23"/>
    <n v="1"/>
    <n v="3"/>
    <n v="2"/>
    <m/>
    <m/>
    <n v="1"/>
    <n v="3"/>
  </r>
  <r>
    <x v="0"/>
    <s v="S12000044"/>
    <x v="29"/>
    <n v="301"/>
    <n v="39"/>
    <n v="26"/>
    <m/>
    <n v="55"/>
    <n v="7"/>
    <m/>
    <n v="20"/>
    <n v="35"/>
    <n v="42"/>
    <n v="9"/>
    <n v="2"/>
    <n v="16"/>
    <n v="5"/>
    <n v="3"/>
    <n v="42"/>
  </r>
  <r>
    <x v="0"/>
    <s v="S12000045"/>
    <x v="30"/>
    <n v="54"/>
    <n v="18"/>
    <n v="4"/>
    <m/>
    <n v="1"/>
    <n v="5"/>
    <m/>
    <n v="5"/>
    <n v="2"/>
    <n v="4"/>
    <n v="2"/>
    <n v="1"/>
    <n v="3"/>
    <n v="1"/>
    <n v="2"/>
    <n v="6"/>
  </r>
  <r>
    <x v="0"/>
    <s v="S12000046"/>
    <x v="31"/>
    <n v="1122"/>
    <n v="102"/>
    <n v="54"/>
    <n v="11"/>
    <n v="475"/>
    <n v="41"/>
    <n v="15"/>
    <n v="83"/>
    <n v="98"/>
    <n v="63"/>
    <n v="31"/>
    <n v="1"/>
    <n v="22"/>
    <n v="6"/>
    <n v="27"/>
    <n v="93"/>
  </r>
  <r>
    <x v="1"/>
    <s v="S12000005"/>
    <x v="0"/>
    <n v="51"/>
    <n v="22"/>
    <n v="2"/>
    <m/>
    <n v="3"/>
    <n v="12"/>
    <m/>
    <n v="2"/>
    <m/>
    <n v="5"/>
    <n v="2"/>
    <n v="2"/>
    <m/>
    <n v="1"/>
    <m/>
    <m/>
  </r>
  <r>
    <x v="1"/>
    <s v="S12000006"/>
    <x v="1"/>
    <n v="296"/>
    <n v="91"/>
    <n v="19"/>
    <n v="1"/>
    <n v="27"/>
    <n v="10"/>
    <n v="3"/>
    <n v="82"/>
    <n v="9"/>
    <n v="7"/>
    <n v="15"/>
    <n v="7"/>
    <n v="3"/>
    <n v="1"/>
    <n v="11"/>
    <n v="10"/>
  </r>
  <r>
    <x v="1"/>
    <s v="S12000008"/>
    <x v="2"/>
    <n v="143"/>
    <n v="57"/>
    <n v="3"/>
    <m/>
    <n v="3"/>
    <n v="8"/>
    <m/>
    <n v="28"/>
    <n v="6"/>
    <n v="12"/>
    <n v="3"/>
    <n v="2"/>
    <n v="1"/>
    <n v="1"/>
    <n v="3"/>
    <n v="16"/>
  </r>
  <r>
    <x v="1"/>
    <s v="S12000010"/>
    <x v="3"/>
    <n v="156"/>
    <n v="27"/>
    <n v="3"/>
    <n v="1"/>
    <n v="13"/>
    <n v="8"/>
    <n v="9"/>
    <n v="32"/>
    <n v="8"/>
    <n v="4"/>
    <n v="7"/>
    <n v="22"/>
    <n v="5"/>
    <n v="5"/>
    <n v="3"/>
    <n v="9"/>
  </r>
  <r>
    <x v="1"/>
    <s v="S12000011"/>
    <x v="4"/>
    <n v="57"/>
    <n v="10"/>
    <m/>
    <n v="1"/>
    <m/>
    <n v="1"/>
    <m/>
    <n v="5"/>
    <n v="4"/>
    <n v="9"/>
    <n v="1"/>
    <n v="1"/>
    <n v="3"/>
    <m/>
    <n v="4"/>
    <n v="18"/>
  </r>
  <r>
    <x v="1"/>
    <s v="S12000013"/>
    <x v="5"/>
    <n v="9"/>
    <n v="4"/>
    <m/>
    <m/>
    <m/>
    <n v="1"/>
    <n v="2"/>
    <n v="1"/>
    <m/>
    <m/>
    <m/>
    <m/>
    <m/>
    <m/>
    <m/>
    <n v="1"/>
  </r>
  <r>
    <x v="1"/>
    <s v="S12000014"/>
    <x v="6"/>
    <n v="160"/>
    <n v="45"/>
    <n v="10"/>
    <n v="2"/>
    <n v="8"/>
    <n v="10"/>
    <n v="1"/>
    <n v="18"/>
    <n v="17"/>
    <n v="8"/>
    <n v="7"/>
    <n v="5"/>
    <n v="3"/>
    <n v="4"/>
    <n v="6"/>
    <n v="16"/>
  </r>
  <r>
    <x v="1"/>
    <s v="S12000015"/>
    <x v="7"/>
    <n v="618"/>
    <n v="137"/>
    <n v="23"/>
    <n v="2"/>
    <n v="272"/>
    <n v="18"/>
    <n v="1"/>
    <n v="61"/>
    <n v="9"/>
    <n v="12"/>
    <n v="18"/>
    <n v="6"/>
    <n v="12"/>
    <n v="4"/>
    <n v="12"/>
    <n v="31"/>
  </r>
  <r>
    <x v="1"/>
    <s v="S12000017"/>
    <x v="8"/>
    <n v="336"/>
    <n v="91"/>
    <n v="2"/>
    <n v="2"/>
    <n v="76"/>
    <n v="17"/>
    <n v="6"/>
    <n v="115"/>
    <n v="8"/>
    <n v="1"/>
    <n v="2"/>
    <n v="7"/>
    <n v="3"/>
    <n v="1"/>
    <m/>
    <n v="5"/>
  </r>
  <r>
    <x v="1"/>
    <s v="S12000018"/>
    <x v="9"/>
    <n v="63"/>
    <n v="21"/>
    <n v="2"/>
    <n v="1"/>
    <n v="6"/>
    <n v="6"/>
    <m/>
    <m/>
    <n v="1"/>
    <n v="4"/>
    <n v="5"/>
    <n v="2"/>
    <n v="4"/>
    <m/>
    <n v="3"/>
    <n v="8"/>
  </r>
  <r>
    <x v="1"/>
    <s v="S12000019"/>
    <x v="10"/>
    <n v="98"/>
    <n v="16"/>
    <n v="4"/>
    <m/>
    <n v="23"/>
    <n v="3"/>
    <n v="3"/>
    <n v="6"/>
    <n v="6"/>
    <n v="1"/>
    <n v="4"/>
    <n v="1"/>
    <n v="2"/>
    <n v="1"/>
    <n v="12"/>
    <n v="16"/>
  </r>
  <r>
    <x v="1"/>
    <s v="S12000020"/>
    <x v="11"/>
    <n v="193"/>
    <n v="38"/>
    <n v="43"/>
    <m/>
    <n v="13"/>
    <n v="11"/>
    <n v="4"/>
    <n v="38"/>
    <n v="2"/>
    <n v="7"/>
    <n v="3"/>
    <n v="28"/>
    <m/>
    <n v="2"/>
    <n v="2"/>
    <n v="2"/>
  </r>
  <r>
    <x v="1"/>
    <s v="S12000021"/>
    <x v="12"/>
    <n v="263"/>
    <n v="72"/>
    <n v="34"/>
    <m/>
    <n v="6"/>
    <n v="5"/>
    <n v="4"/>
    <n v="36"/>
    <n v="4"/>
    <n v="4"/>
    <n v="13"/>
    <n v="30"/>
    <n v="10"/>
    <n v="1"/>
    <n v="5"/>
    <n v="39"/>
  </r>
  <r>
    <x v="1"/>
    <s v="S12000023"/>
    <x v="13"/>
    <n v="32"/>
    <n v="14"/>
    <m/>
    <m/>
    <n v="6"/>
    <n v="1"/>
    <n v="1"/>
    <n v="9"/>
    <m/>
    <m/>
    <m/>
    <n v="1"/>
    <m/>
    <m/>
    <m/>
    <m/>
  </r>
  <r>
    <x v="1"/>
    <s v="S12000024"/>
    <x v="14"/>
    <n v="270"/>
    <n v="88"/>
    <n v="6"/>
    <m/>
    <n v="38"/>
    <n v="65"/>
    <m/>
    <n v="11"/>
    <n v="13"/>
    <n v="3"/>
    <n v="13"/>
    <n v="27"/>
    <n v="3"/>
    <m/>
    <n v="2"/>
    <n v="1"/>
  </r>
  <r>
    <x v="1"/>
    <s v="S12000026"/>
    <x v="15"/>
    <n v="290"/>
    <n v="39"/>
    <n v="10"/>
    <m/>
    <n v="37"/>
    <n v="16"/>
    <n v="1"/>
    <n v="55"/>
    <n v="20"/>
    <n v="13"/>
    <n v="12"/>
    <n v="35"/>
    <n v="10"/>
    <n v="6"/>
    <n v="16"/>
    <n v="20"/>
  </r>
  <r>
    <x v="1"/>
    <s v="S12000027"/>
    <x v="16"/>
    <n v="24"/>
    <n v="10"/>
    <m/>
    <m/>
    <n v="6"/>
    <m/>
    <n v="1"/>
    <n v="4"/>
    <n v="1"/>
    <m/>
    <n v="1"/>
    <n v="1"/>
    <m/>
    <m/>
    <m/>
    <m/>
  </r>
  <r>
    <x v="1"/>
    <s v="S12000028"/>
    <x v="17"/>
    <n v="288"/>
    <n v="58"/>
    <n v="45"/>
    <m/>
    <n v="29"/>
    <n v="19"/>
    <n v="3"/>
    <n v="48"/>
    <n v="15"/>
    <n v="9"/>
    <n v="9"/>
    <n v="15"/>
    <n v="8"/>
    <m/>
    <n v="4"/>
    <n v="26"/>
  </r>
  <r>
    <x v="1"/>
    <s v="S12000029"/>
    <x v="18"/>
    <n v="250"/>
    <n v="102"/>
    <n v="4"/>
    <m/>
    <n v="59"/>
    <n v="15"/>
    <m/>
    <n v="25"/>
    <n v="6"/>
    <n v="16"/>
    <n v="8"/>
    <n v="3"/>
    <n v="3"/>
    <n v="1"/>
    <n v="3"/>
    <n v="5"/>
  </r>
  <r>
    <x v="1"/>
    <s v="S12000030"/>
    <x v="19"/>
    <n v="340"/>
    <n v="40"/>
    <n v="1"/>
    <m/>
    <n v="249"/>
    <n v="13"/>
    <n v="3"/>
    <n v="16"/>
    <n v="3"/>
    <n v="1"/>
    <n v="4"/>
    <n v="3"/>
    <n v="3"/>
    <m/>
    <n v="3"/>
    <n v="1"/>
  </r>
  <r>
    <x v="1"/>
    <s v="S12000033"/>
    <x v="20"/>
    <n v="315"/>
    <n v="41"/>
    <m/>
    <n v="5"/>
    <n v="192"/>
    <n v="23"/>
    <n v="2"/>
    <n v="25"/>
    <n v="10"/>
    <n v="1"/>
    <n v="7"/>
    <n v="2"/>
    <n v="5"/>
    <m/>
    <n v="1"/>
    <n v="1"/>
  </r>
  <r>
    <x v="1"/>
    <s v="S12000034"/>
    <x v="21"/>
    <n v="373"/>
    <n v="109"/>
    <n v="15"/>
    <m/>
    <n v="44"/>
    <n v="13"/>
    <n v="2"/>
    <n v="106"/>
    <n v="24"/>
    <n v="5"/>
    <n v="8"/>
    <n v="38"/>
    <n v="6"/>
    <m/>
    <n v="3"/>
    <m/>
  </r>
  <r>
    <x v="1"/>
    <s v="S12000035"/>
    <x v="22"/>
    <n v="341"/>
    <n v="32"/>
    <n v="11"/>
    <n v="1"/>
    <n v="19"/>
    <n v="11"/>
    <n v="12"/>
    <n v="176"/>
    <n v="3"/>
    <n v="6"/>
    <n v="6"/>
    <n v="30"/>
    <n v="4"/>
    <n v="2"/>
    <n v="10"/>
    <n v="18"/>
  </r>
  <r>
    <x v="1"/>
    <s v="S12000036"/>
    <x v="23"/>
    <n v="857"/>
    <n v="123"/>
    <n v="7"/>
    <n v="4"/>
    <n v="178"/>
    <n v="35"/>
    <n v="33"/>
    <n v="141"/>
    <n v="80"/>
    <n v="52"/>
    <n v="65"/>
    <n v="29"/>
    <n v="11"/>
    <n v="5"/>
    <n v="20"/>
    <n v="74"/>
  </r>
  <r>
    <x v="1"/>
    <s v="S12000038"/>
    <x v="24"/>
    <n v="238"/>
    <n v="45"/>
    <n v="23"/>
    <n v="1"/>
    <n v="70"/>
    <n v="1"/>
    <m/>
    <n v="27"/>
    <n v="10"/>
    <n v="7"/>
    <n v="7"/>
    <m/>
    <n v="11"/>
    <m/>
    <n v="4"/>
    <n v="32"/>
  </r>
  <r>
    <x v="1"/>
    <s v="S12000039"/>
    <x v="25"/>
    <n v="220"/>
    <n v="26"/>
    <n v="117"/>
    <n v="1"/>
    <n v="19"/>
    <n v="7"/>
    <m/>
    <n v="17"/>
    <n v="3"/>
    <n v="9"/>
    <n v="7"/>
    <n v="2"/>
    <m/>
    <m/>
    <n v="5"/>
    <n v="7"/>
  </r>
  <r>
    <x v="1"/>
    <s v="S12000040"/>
    <x v="26"/>
    <n v="176"/>
    <n v="47"/>
    <n v="25"/>
    <m/>
    <n v="4"/>
    <n v="7"/>
    <n v="1"/>
    <n v="33"/>
    <n v="8"/>
    <n v="15"/>
    <n v="7"/>
    <n v="13"/>
    <n v="2"/>
    <n v="2"/>
    <n v="6"/>
    <n v="6"/>
  </r>
  <r>
    <x v="1"/>
    <s v="S12000041"/>
    <x v="27"/>
    <n v="174"/>
    <n v="36"/>
    <n v="8"/>
    <m/>
    <n v="4"/>
    <n v="8"/>
    <m/>
    <n v="12"/>
    <n v="39"/>
    <n v="8"/>
    <n v="19"/>
    <n v="27"/>
    <n v="3"/>
    <m/>
    <n v="7"/>
    <n v="3"/>
  </r>
  <r>
    <x v="1"/>
    <s v="S12000042"/>
    <x v="28"/>
    <n v="598"/>
    <n v="38"/>
    <n v="1"/>
    <m/>
    <n v="489"/>
    <n v="19"/>
    <m/>
    <n v="3"/>
    <n v="21"/>
    <n v="1"/>
    <n v="13"/>
    <m/>
    <n v="3"/>
    <n v="1"/>
    <n v="2"/>
    <n v="7"/>
  </r>
  <r>
    <x v="1"/>
    <s v="S12000044"/>
    <x v="29"/>
    <n v="554"/>
    <n v="87"/>
    <n v="36"/>
    <n v="2"/>
    <n v="30"/>
    <n v="12"/>
    <m/>
    <n v="38"/>
    <n v="23"/>
    <n v="113"/>
    <n v="18"/>
    <n v="5"/>
    <n v="51"/>
    <n v="6"/>
    <n v="15"/>
    <n v="118"/>
  </r>
  <r>
    <x v="1"/>
    <s v="S12000045"/>
    <x v="30"/>
    <n v="95"/>
    <n v="29"/>
    <n v="7"/>
    <m/>
    <n v="24"/>
    <n v="7"/>
    <m/>
    <n v="5"/>
    <n v="2"/>
    <n v="5"/>
    <n v="3"/>
    <n v="1"/>
    <n v="5"/>
    <m/>
    <n v="5"/>
    <n v="2"/>
  </r>
  <r>
    <x v="1"/>
    <s v="S12000046"/>
    <x v="31"/>
    <n v="1956"/>
    <n v="165"/>
    <n v="24"/>
    <n v="12"/>
    <n v="1115"/>
    <n v="69"/>
    <n v="27"/>
    <n v="88"/>
    <n v="139"/>
    <n v="41"/>
    <n v="33"/>
    <n v="6"/>
    <n v="24"/>
    <n v="5"/>
    <n v="61"/>
    <n v="147"/>
  </r>
  <r>
    <x v="2"/>
    <s v="S12000005"/>
    <x v="0"/>
    <n v="68"/>
    <n v="19"/>
    <m/>
    <m/>
    <n v="2"/>
    <n v="15"/>
    <n v="2"/>
    <n v="2"/>
    <n v="2"/>
    <n v="6"/>
    <n v="3"/>
    <n v="1"/>
    <m/>
    <m/>
    <n v="10"/>
    <n v="6"/>
  </r>
  <r>
    <x v="2"/>
    <s v="S12000006"/>
    <x v="1"/>
    <n v="363"/>
    <n v="76"/>
    <n v="22"/>
    <n v="2"/>
    <n v="44"/>
    <n v="11"/>
    <n v="6"/>
    <n v="110"/>
    <n v="5"/>
    <n v="19"/>
    <n v="8"/>
    <n v="10"/>
    <n v="7"/>
    <n v="7"/>
    <n v="18"/>
    <n v="18"/>
  </r>
  <r>
    <x v="2"/>
    <s v="S12000008"/>
    <x v="2"/>
    <n v="164"/>
    <n v="46"/>
    <n v="22"/>
    <m/>
    <n v="9"/>
    <n v="6"/>
    <m/>
    <n v="24"/>
    <n v="4"/>
    <n v="6"/>
    <n v="7"/>
    <n v="9"/>
    <n v="4"/>
    <n v="2"/>
    <n v="2"/>
    <n v="23"/>
  </r>
  <r>
    <x v="2"/>
    <s v="S12000010"/>
    <x v="3"/>
    <n v="139"/>
    <n v="27"/>
    <n v="3"/>
    <m/>
    <n v="12"/>
    <n v="8"/>
    <n v="9"/>
    <n v="13"/>
    <n v="9"/>
    <n v="8"/>
    <n v="11"/>
    <n v="5"/>
    <n v="5"/>
    <n v="1"/>
    <n v="20"/>
    <n v="8"/>
  </r>
  <r>
    <x v="2"/>
    <s v="S12000011"/>
    <x v="4"/>
    <n v="80"/>
    <n v="20"/>
    <m/>
    <m/>
    <n v="9"/>
    <n v="1"/>
    <m/>
    <n v="8"/>
    <n v="4"/>
    <n v="14"/>
    <n v="2"/>
    <n v="4"/>
    <n v="4"/>
    <n v="2"/>
    <n v="2"/>
    <n v="10"/>
  </r>
  <r>
    <x v="2"/>
    <s v="S12000013"/>
    <x v="5"/>
    <n v="21"/>
    <n v="7"/>
    <m/>
    <m/>
    <n v="2"/>
    <n v="2"/>
    <n v="1"/>
    <n v="8"/>
    <m/>
    <m/>
    <m/>
    <n v="1"/>
    <m/>
    <m/>
    <m/>
    <m/>
  </r>
  <r>
    <x v="2"/>
    <s v="S12000014"/>
    <x v="6"/>
    <n v="160"/>
    <n v="47"/>
    <n v="16"/>
    <n v="1"/>
    <n v="9"/>
    <n v="8"/>
    <n v="1"/>
    <n v="13"/>
    <n v="9"/>
    <n v="12"/>
    <n v="2"/>
    <n v="2"/>
    <m/>
    <n v="5"/>
    <n v="22"/>
    <n v="13"/>
  </r>
  <r>
    <x v="2"/>
    <s v="S12000015"/>
    <x v="7"/>
    <n v="482"/>
    <n v="132"/>
    <n v="11"/>
    <n v="6"/>
    <n v="202"/>
    <n v="24"/>
    <m/>
    <n v="31"/>
    <n v="14"/>
    <n v="9"/>
    <n v="17"/>
    <n v="5"/>
    <n v="7"/>
    <n v="2"/>
    <n v="7"/>
    <n v="15"/>
  </r>
  <r>
    <x v="2"/>
    <s v="S12000017"/>
    <x v="8"/>
    <n v="268"/>
    <n v="93"/>
    <n v="4"/>
    <m/>
    <n v="47"/>
    <n v="18"/>
    <n v="10"/>
    <n v="67"/>
    <n v="8"/>
    <n v="1"/>
    <n v="1"/>
    <n v="9"/>
    <n v="1"/>
    <m/>
    <n v="1"/>
    <n v="8"/>
  </r>
  <r>
    <x v="2"/>
    <s v="S12000018"/>
    <x v="9"/>
    <n v="115"/>
    <n v="37"/>
    <n v="9"/>
    <m/>
    <n v="7"/>
    <n v="1"/>
    <m/>
    <n v="3"/>
    <n v="11"/>
    <n v="4"/>
    <n v="4"/>
    <n v="2"/>
    <n v="4"/>
    <n v="3"/>
    <n v="3"/>
    <n v="27"/>
  </r>
  <r>
    <x v="2"/>
    <s v="S12000019"/>
    <x v="10"/>
    <n v="97"/>
    <n v="19"/>
    <n v="3"/>
    <m/>
    <n v="21"/>
    <n v="3"/>
    <n v="3"/>
    <n v="10"/>
    <n v="3"/>
    <m/>
    <m/>
    <m/>
    <n v="1"/>
    <m/>
    <n v="31"/>
    <n v="3"/>
  </r>
  <r>
    <x v="2"/>
    <s v="S12000020"/>
    <x v="11"/>
    <n v="142"/>
    <n v="31"/>
    <n v="19"/>
    <m/>
    <n v="4"/>
    <n v="8"/>
    <n v="1"/>
    <n v="28"/>
    <n v="7"/>
    <n v="2"/>
    <n v="3"/>
    <n v="15"/>
    <m/>
    <n v="1"/>
    <n v="20"/>
    <n v="3"/>
  </r>
  <r>
    <x v="2"/>
    <s v="S12000021"/>
    <x v="12"/>
    <n v="230"/>
    <n v="72"/>
    <n v="22"/>
    <m/>
    <n v="6"/>
    <n v="5"/>
    <n v="3"/>
    <n v="20"/>
    <n v="9"/>
    <n v="5"/>
    <n v="16"/>
    <n v="47"/>
    <n v="4"/>
    <n v="1"/>
    <n v="9"/>
    <n v="11"/>
  </r>
  <r>
    <x v="2"/>
    <s v="S12000023"/>
    <x v="13"/>
    <n v="29"/>
    <n v="9"/>
    <m/>
    <m/>
    <n v="2"/>
    <n v="1"/>
    <n v="6"/>
    <n v="10"/>
    <m/>
    <m/>
    <m/>
    <n v="1"/>
    <m/>
    <m/>
    <m/>
    <m/>
  </r>
  <r>
    <x v="2"/>
    <s v="S12000024"/>
    <x v="14"/>
    <n v="287"/>
    <n v="81"/>
    <n v="2"/>
    <m/>
    <n v="30"/>
    <n v="57"/>
    <n v="4"/>
    <n v="34"/>
    <n v="15"/>
    <n v="5"/>
    <n v="8"/>
    <n v="39"/>
    <n v="3"/>
    <n v="2"/>
    <n v="4"/>
    <n v="3"/>
  </r>
  <r>
    <x v="2"/>
    <s v="S12000026"/>
    <x v="15"/>
    <n v="285"/>
    <n v="32"/>
    <n v="9"/>
    <n v="1"/>
    <n v="39"/>
    <n v="18"/>
    <m/>
    <n v="53"/>
    <n v="29"/>
    <n v="11"/>
    <n v="8"/>
    <n v="26"/>
    <n v="3"/>
    <n v="6"/>
    <n v="19"/>
    <n v="31"/>
  </r>
  <r>
    <x v="2"/>
    <s v="S12000027"/>
    <x v="16"/>
    <n v="16"/>
    <n v="11"/>
    <m/>
    <m/>
    <m/>
    <n v="1"/>
    <n v="1"/>
    <n v="3"/>
    <m/>
    <m/>
    <m/>
    <m/>
    <m/>
    <m/>
    <m/>
    <m/>
  </r>
  <r>
    <x v="2"/>
    <s v="S12000028"/>
    <x v="17"/>
    <n v="310"/>
    <n v="51"/>
    <n v="9"/>
    <m/>
    <n v="32"/>
    <n v="19"/>
    <n v="6"/>
    <n v="59"/>
    <n v="15"/>
    <n v="9"/>
    <n v="12"/>
    <n v="34"/>
    <n v="34"/>
    <n v="4"/>
    <n v="4"/>
    <n v="22"/>
  </r>
  <r>
    <x v="2"/>
    <s v="S12000029"/>
    <x v="18"/>
    <n v="251"/>
    <n v="102"/>
    <n v="12"/>
    <n v="1"/>
    <n v="36"/>
    <n v="12"/>
    <n v="1"/>
    <n v="26"/>
    <n v="4"/>
    <n v="6"/>
    <n v="9"/>
    <n v="2"/>
    <n v="9"/>
    <n v="5"/>
    <n v="4"/>
    <n v="22"/>
  </r>
  <r>
    <x v="2"/>
    <s v="S12000030"/>
    <x v="19"/>
    <n v="160"/>
    <n v="46"/>
    <n v="3"/>
    <m/>
    <n v="33"/>
    <n v="16"/>
    <n v="4"/>
    <n v="22"/>
    <n v="5"/>
    <n v="4"/>
    <n v="3"/>
    <n v="10"/>
    <n v="5"/>
    <m/>
    <n v="3"/>
    <n v="6"/>
  </r>
  <r>
    <x v="2"/>
    <s v="S12000033"/>
    <x v="20"/>
    <n v="435"/>
    <n v="103"/>
    <n v="2"/>
    <m/>
    <n v="219"/>
    <n v="21"/>
    <n v="2"/>
    <n v="50"/>
    <n v="10"/>
    <n v="5"/>
    <n v="6"/>
    <n v="4"/>
    <n v="2"/>
    <n v="1"/>
    <n v="4"/>
    <n v="6"/>
  </r>
  <r>
    <x v="2"/>
    <s v="S12000034"/>
    <x v="21"/>
    <n v="362"/>
    <n v="89"/>
    <n v="8"/>
    <m/>
    <n v="41"/>
    <n v="25"/>
    <n v="2"/>
    <n v="59"/>
    <n v="12"/>
    <n v="2"/>
    <n v="3"/>
    <n v="54"/>
    <n v="3"/>
    <m/>
    <n v="62"/>
    <n v="2"/>
  </r>
  <r>
    <x v="2"/>
    <s v="S12000035"/>
    <x v="22"/>
    <n v="331"/>
    <n v="29"/>
    <n v="8"/>
    <m/>
    <n v="32"/>
    <n v="6"/>
    <n v="15"/>
    <n v="146"/>
    <n v="11"/>
    <n v="9"/>
    <n v="6"/>
    <n v="41"/>
    <n v="3"/>
    <n v="4"/>
    <n v="6"/>
    <n v="15"/>
  </r>
  <r>
    <x v="2"/>
    <s v="S12000036"/>
    <x v="23"/>
    <n v="783"/>
    <n v="110"/>
    <n v="1"/>
    <n v="2"/>
    <n v="211"/>
    <n v="27"/>
    <n v="30"/>
    <n v="110"/>
    <n v="109"/>
    <n v="22"/>
    <n v="27"/>
    <n v="22"/>
    <n v="4"/>
    <n v="5"/>
    <n v="24"/>
    <n v="79"/>
  </r>
  <r>
    <x v="2"/>
    <s v="S12000038"/>
    <x v="24"/>
    <n v="169"/>
    <n v="56"/>
    <n v="13"/>
    <m/>
    <n v="8"/>
    <n v="1"/>
    <m/>
    <n v="22"/>
    <n v="16"/>
    <n v="9"/>
    <n v="6"/>
    <m/>
    <n v="9"/>
    <n v="2"/>
    <n v="2"/>
    <n v="25"/>
  </r>
  <r>
    <x v="2"/>
    <s v="S12000039"/>
    <x v="25"/>
    <n v="121"/>
    <n v="24"/>
    <n v="31"/>
    <m/>
    <n v="13"/>
    <n v="4"/>
    <m/>
    <n v="17"/>
    <n v="3"/>
    <n v="5"/>
    <n v="3"/>
    <n v="6"/>
    <n v="2"/>
    <n v="2"/>
    <n v="3"/>
    <n v="8"/>
  </r>
  <r>
    <x v="2"/>
    <s v="S12000040"/>
    <x v="26"/>
    <n v="177"/>
    <n v="47"/>
    <n v="18"/>
    <n v="2"/>
    <n v="2"/>
    <n v="10"/>
    <n v="1"/>
    <n v="16"/>
    <n v="22"/>
    <n v="11"/>
    <n v="11"/>
    <n v="1"/>
    <n v="5"/>
    <n v="4"/>
    <n v="15"/>
    <n v="12"/>
  </r>
  <r>
    <x v="2"/>
    <s v="S12000041"/>
    <x v="27"/>
    <n v="99"/>
    <n v="35"/>
    <n v="2"/>
    <m/>
    <n v="9"/>
    <n v="1"/>
    <m/>
    <n v="12"/>
    <n v="8"/>
    <n v="2"/>
    <n v="7"/>
    <n v="11"/>
    <n v="5"/>
    <m/>
    <n v="1"/>
    <n v="6"/>
  </r>
  <r>
    <x v="2"/>
    <s v="S12000042"/>
    <x v="28"/>
    <n v="656"/>
    <n v="37"/>
    <n v="3"/>
    <n v="1"/>
    <n v="570"/>
    <n v="3"/>
    <n v="1"/>
    <n v="28"/>
    <n v="5"/>
    <m/>
    <n v="4"/>
    <m/>
    <m/>
    <m/>
    <n v="2"/>
    <n v="2"/>
  </r>
  <r>
    <x v="2"/>
    <s v="S12000044"/>
    <x v="29"/>
    <n v="496"/>
    <n v="55"/>
    <n v="58"/>
    <n v="2"/>
    <n v="22"/>
    <n v="6"/>
    <m/>
    <n v="29"/>
    <n v="48"/>
    <n v="61"/>
    <n v="22"/>
    <n v="2"/>
    <n v="89"/>
    <m/>
    <n v="16"/>
    <n v="86"/>
  </r>
  <r>
    <x v="2"/>
    <s v="S12000045"/>
    <x v="30"/>
    <n v="81"/>
    <n v="28"/>
    <n v="1"/>
    <m/>
    <n v="19"/>
    <n v="11"/>
    <m/>
    <n v="6"/>
    <n v="1"/>
    <n v="1"/>
    <n v="2"/>
    <n v="2"/>
    <n v="5"/>
    <m/>
    <n v="4"/>
    <n v="1"/>
  </r>
  <r>
    <x v="2"/>
    <s v="S12000046"/>
    <x v="31"/>
    <n v="1562"/>
    <n v="148"/>
    <n v="18"/>
    <n v="3"/>
    <n v="958"/>
    <n v="47"/>
    <n v="19"/>
    <n v="99"/>
    <n v="84"/>
    <n v="27"/>
    <n v="24"/>
    <n v="6"/>
    <n v="25"/>
    <n v="7"/>
    <n v="45"/>
    <n v="52"/>
  </r>
  <r>
    <x v="3"/>
    <s v="S12000005"/>
    <x v="0"/>
    <n v="64"/>
    <n v="19"/>
    <n v="3"/>
    <n v="1"/>
    <n v="5"/>
    <n v="1"/>
    <m/>
    <n v="6"/>
    <n v="1"/>
    <n v="2"/>
    <n v="1"/>
    <n v="1"/>
    <m/>
    <m/>
    <n v="23"/>
    <n v="1"/>
  </r>
  <r>
    <x v="3"/>
    <s v="S12000006"/>
    <x v="1"/>
    <n v="379"/>
    <n v="88"/>
    <n v="30"/>
    <m/>
    <n v="39"/>
    <n v="18"/>
    <n v="8"/>
    <n v="86"/>
    <n v="15"/>
    <n v="9"/>
    <n v="15"/>
    <n v="7"/>
    <n v="7"/>
    <n v="12"/>
    <n v="10"/>
    <n v="35"/>
  </r>
  <r>
    <x v="3"/>
    <s v="S12000008"/>
    <x v="2"/>
    <n v="165"/>
    <n v="59"/>
    <n v="10"/>
    <n v="2"/>
    <n v="8"/>
    <n v="5"/>
    <m/>
    <n v="25"/>
    <n v="4"/>
    <n v="12"/>
    <n v="7"/>
    <n v="7"/>
    <n v="2"/>
    <m/>
    <n v="15"/>
    <n v="9"/>
  </r>
  <r>
    <x v="3"/>
    <s v="S12000010"/>
    <x v="3"/>
    <n v="144"/>
    <n v="28"/>
    <n v="10"/>
    <m/>
    <n v="12"/>
    <n v="5"/>
    <n v="2"/>
    <n v="11"/>
    <n v="11"/>
    <n v="8"/>
    <n v="16"/>
    <n v="21"/>
    <n v="4"/>
    <n v="1"/>
    <n v="13"/>
    <n v="2"/>
  </r>
  <r>
    <x v="3"/>
    <s v="S12000011"/>
    <x v="4"/>
    <n v="30"/>
    <n v="16"/>
    <n v="1"/>
    <m/>
    <n v="2"/>
    <n v="1"/>
    <m/>
    <n v="8"/>
    <m/>
    <m/>
    <m/>
    <m/>
    <m/>
    <m/>
    <n v="1"/>
    <n v="1"/>
  </r>
  <r>
    <x v="3"/>
    <s v="S12000013"/>
    <x v="5"/>
    <n v="23"/>
    <n v="11"/>
    <m/>
    <m/>
    <m/>
    <n v="4"/>
    <m/>
    <n v="5"/>
    <m/>
    <m/>
    <m/>
    <n v="2"/>
    <m/>
    <m/>
    <m/>
    <n v="1"/>
  </r>
  <r>
    <x v="3"/>
    <s v="S12000014"/>
    <x v="6"/>
    <n v="159"/>
    <n v="41"/>
    <n v="18"/>
    <m/>
    <n v="5"/>
    <n v="14"/>
    <n v="1"/>
    <n v="13"/>
    <n v="11"/>
    <n v="6"/>
    <n v="7"/>
    <m/>
    <n v="3"/>
    <n v="4"/>
    <n v="25"/>
    <n v="11"/>
  </r>
  <r>
    <x v="3"/>
    <s v="S12000015"/>
    <x v="7"/>
    <n v="464"/>
    <n v="138"/>
    <n v="10"/>
    <m/>
    <n v="175"/>
    <n v="13"/>
    <n v="2"/>
    <n v="69"/>
    <n v="8"/>
    <n v="10"/>
    <n v="9"/>
    <n v="7"/>
    <n v="5"/>
    <n v="2"/>
    <n v="5"/>
    <n v="11"/>
  </r>
  <r>
    <x v="3"/>
    <s v="S12000017"/>
    <x v="8"/>
    <n v="286"/>
    <n v="79"/>
    <n v="2"/>
    <m/>
    <n v="60"/>
    <n v="12"/>
    <n v="27"/>
    <n v="82"/>
    <n v="4"/>
    <m/>
    <n v="4"/>
    <n v="10"/>
    <n v="2"/>
    <n v="1"/>
    <n v="2"/>
    <n v="1"/>
  </r>
  <r>
    <x v="3"/>
    <s v="S12000018"/>
    <x v="9"/>
    <n v="65"/>
    <n v="35"/>
    <n v="3"/>
    <n v="1"/>
    <n v="10"/>
    <m/>
    <m/>
    <n v="6"/>
    <n v="3"/>
    <n v="1"/>
    <n v="1"/>
    <n v="1"/>
    <n v="1"/>
    <n v="1"/>
    <n v="1"/>
    <n v="1"/>
  </r>
  <r>
    <x v="3"/>
    <s v="S12000019"/>
    <x v="10"/>
    <n v="95"/>
    <n v="16"/>
    <n v="4"/>
    <n v="2"/>
    <n v="32"/>
    <n v="3"/>
    <n v="3"/>
    <n v="5"/>
    <n v="11"/>
    <n v="2"/>
    <n v="3"/>
    <n v="1"/>
    <n v="4"/>
    <n v="3"/>
    <n v="2"/>
    <n v="4"/>
  </r>
  <r>
    <x v="3"/>
    <s v="S12000020"/>
    <x v="11"/>
    <n v="216"/>
    <n v="42"/>
    <n v="14"/>
    <n v="2"/>
    <n v="15"/>
    <n v="10"/>
    <n v="2"/>
    <n v="45"/>
    <n v="3"/>
    <n v="9"/>
    <n v="3"/>
    <n v="44"/>
    <n v="1"/>
    <m/>
    <n v="21"/>
    <n v="5"/>
  </r>
  <r>
    <x v="3"/>
    <s v="S12000021"/>
    <x v="12"/>
    <n v="102"/>
    <n v="40"/>
    <n v="1"/>
    <n v="1"/>
    <n v="3"/>
    <n v="2"/>
    <m/>
    <n v="29"/>
    <n v="7"/>
    <n v="3"/>
    <n v="2"/>
    <n v="4"/>
    <n v="1"/>
    <m/>
    <n v="1"/>
    <n v="8"/>
  </r>
  <r>
    <x v="3"/>
    <s v="S12000023"/>
    <x v="13"/>
    <n v="13"/>
    <n v="9"/>
    <n v="1"/>
    <m/>
    <m/>
    <m/>
    <m/>
    <n v="3"/>
    <m/>
    <m/>
    <m/>
    <m/>
    <m/>
    <m/>
    <m/>
    <m/>
  </r>
  <r>
    <x v="3"/>
    <s v="S12000024"/>
    <x v="14"/>
    <n v="293"/>
    <n v="80"/>
    <n v="3"/>
    <m/>
    <n v="6"/>
    <n v="58"/>
    <n v="9"/>
    <n v="70"/>
    <n v="4"/>
    <n v="4"/>
    <n v="14"/>
    <n v="36"/>
    <n v="1"/>
    <n v="1"/>
    <n v="2"/>
    <n v="5"/>
  </r>
  <r>
    <x v="3"/>
    <s v="S12000026"/>
    <x v="15"/>
    <n v="231"/>
    <n v="36"/>
    <n v="9"/>
    <n v="3"/>
    <n v="17"/>
    <n v="17"/>
    <m/>
    <n v="60"/>
    <n v="20"/>
    <n v="9"/>
    <n v="5"/>
    <n v="13"/>
    <n v="4"/>
    <n v="2"/>
    <n v="15"/>
    <n v="21"/>
  </r>
  <r>
    <x v="3"/>
    <s v="S12000027"/>
    <x v="16"/>
    <n v="23"/>
    <n v="16"/>
    <m/>
    <m/>
    <n v="3"/>
    <n v="1"/>
    <m/>
    <m/>
    <n v="1"/>
    <m/>
    <m/>
    <m/>
    <m/>
    <m/>
    <n v="1"/>
    <n v="1"/>
  </r>
  <r>
    <x v="3"/>
    <s v="S12000028"/>
    <x v="17"/>
    <n v="319"/>
    <n v="45"/>
    <n v="3"/>
    <n v="1"/>
    <n v="32"/>
    <n v="11"/>
    <n v="2"/>
    <n v="67"/>
    <n v="30"/>
    <n v="19"/>
    <n v="14"/>
    <n v="38"/>
    <n v="9"/>
    <m/>
    <n v="28"/>
    <n v="20"/>
  </r>
  <r>
    <x v="3"/>
    <s v="S12000029"/>
    <x v="18"/>
    <n v="333"/>
    <n v="115"/>
    <n v="16"/>
    <n v="2"/>
    <n v="74"/>
    <n v="24"/>
    <n v="3"/>
    <n v="37"/>
    <n v="14"/>
    <n v="7"/>
    <n v="8"/>
    <n v="4"/>
    <n v="5"/>
    <n v="1"/>
    <n v="9"/>
    <n v="14"/>
  </r>
  <r>
    <x v="3"/>
    <s v="S12000030"/>
    <x v="19"/>
    <n v="224"/>
    <n v="45"/>
    <n v="2"/>
    <n v="2"/>
    <n v="56"/>
    <n v="2"/>
    <n v="5"/>
    <n v="41"/>
    <n v="11"/>
    <n v="2"/>
    <n v="7"/>
    <n v="31"/>
    <n v="1"/>
    <n v="2"/>
    <n v="15"/>
    <n v="2"/>
  </r>
  <r>
    <x v="3"/>
    <s v="S12000033"/>
    <x v="20"/>
    <n v="315"/>
    <n v="46"/>
    <n v="6"/>
    <n v="3"/>
    <n v="170"/>
    <n v="13"/>
    <n v="1"/>
    <n v="35"/>
    <n v="9"/>
    <n v="5"/>
    <n v="6"/>
    <n v="1"/>
    <n v="4"/>
    <n v="1"/>
    <n v="3"/>
    <n v="12"/>
  </r>
  <r>
    <x v="3"/>
    <s v="S12000034"/>
    <x v="21"/>
    <n v="344"/>
    <n v="92"/>
    <n v="15"/>
    <n v="1"/>
    <n v="39"/>
    <n v="15"/>
    <m/>
    <n v="72"/>
    <n v="10"/>
    <n v="11"/>
    <n v="8"/>
    <n v="52"/>
    <n v="5"/>
    <n v="6"/>
    <n v="8"/>
    <n v="10"/>
  </r>
  <r>
    <x v="3"/>
    <s v="S12000035"/>
    <x v="22"/>
    <n v="185"/>
    <n v="22"/>
    <n v="3"/>
    <m/>
    <n v="25"/>
    <n v="5"/>
    <n v="4"/>
    <n v="62"/>
    <n v="4"/>
    <n v="3"/>
    <n v="5"/>
    <n v="38"/>
    <n v="5"/>
    <m/>
    <n v="4"/>
    <n v="5"/>
  </r>
  <r>
    <x v="3"/>
    <s v="S12000036"/>
    <x v="23"/>
    <n v="744"/>
    <n v="134"/>
    <n v="4"/>
    <n v="6"/>
    <n v="183"/>
    <n v="45"/>
    <n v="17"/>
    <n v="115"/>
    <n v="55"/>
    <n v="22"/>
    <n v="47"/>
    <n v="58"/>
    <n v="10"/>
    <n v="3"/>
    <n v="18"/>
    <n v="27"/>
  </r>
  <r>
    <x v="3"/>
    <s v="S12000038"/>
    <x v="24"/>
    <n v="91"/>
    <n v="56"/>
    <n v="1"/>
    <n v="2"/>
    <n v="6"/>
    <n v="3"/>
    <m/>
    <n v="16"/>
    <n v="4"/>
    <n v="1"/>
    <m/>
    <m/>
    <m/>
    <m/>
    <n v="1"/>
    <n v="1"/>
  </r>
  <r>
    <x v="3"/>
    <s v="S12000039"/>
    <x v="25"/>
    <n v="109"/>
    <n v="18"/>
    <n v="10"/>
    <m/>
    <n v="21"/>
    <n v="4"/>
    <m/>
    <n v="16"/>
    <n v="6"/>
    <n v="11"/>
    <n v="2"/>
    <n v="2"/>
    <n v="1"/>
    <n v="1"/>
    <n v="7"/>
    <n v="10"/>
  </r>
  <r>
    <x v="3"/>
    <s v="S12000040"/>
    <x v="26"/>
    <n v="164"/>
    <n v="56"/>
    <n v="14"/>
    <m/>
    <n v="3"/>
    <n v="5"/>
    <n v="1"/>
    <n v="8"/>
    <n v="14"/>
    <n v="5"/>
    <n v="15"/>
    <m/>
    <n v="3"/>
    <n v="3"/>
    <n v="16"/>
    <n v="21"/>
  </r>
  <r>
    <x v="3"/>
    <s v="S12000041"/>
    <x v="27"/>
    <n v="119"/>
    <n v="35"/>
    <n v="3"/>
    <m/>
    <n v="4"/>
    <n v="15"/>
    <n v="1"/>
    <n v="19"/>
    <n v="12"/>
    <m/>
    <n v="7"/>
    <n v="16"/>
    <n v="2"/>
    <n v="2"/>
    <m/>
    <n v="3"/>
  </r>
  <r>
    <x v="3"/>
    <s v="S12000042"/>
    <x v="28"/>
    <n v="306"/>
    <n v="36"/>
    <n v="2"/>
    <n v="2"/>
    <n v="195"/>
    <n v="9"/>
    <n v="1"/>
    <n v="41"/>
    <n v="5"/>
    <n v="2"/>
    <n v="2"/>
    <n v="4"/>
    <m/>
    <n v="1"/>
    <n v="1"/>
    <n v="5"/>
  </r>
  <r>
    <x v="3"/>
    <s v="S12000044"/>
    <x v="29"/>
    <n v="351"/>
    <n v="59"/>
    <n v="24"/>
    <m/>
    <n v="24"/>
    <n v="10"/>
    <m/>
    <n v="27"/>
    <n v="26"/>
    <n v="40"/>
    <n v="18"/>
    <n v="5"/>
    <n v="27"/>
    <n v="4"/>
    <n v="6"/>
    <n v="81"/>
  </r>
  <r>
    <x v="3"/>
    <s v="S12000045"/>
    <x v="30"/>
    <n v="92"/>
    <n v="32"/>
    <n v="1"/>
    <m/>
    <n v="22"/>
    <n v="1"/>
    <m/>
    <n v="7"/>
    <n v="4"/>
    <n v="3"/>
    <n v="5"/>
    <n v="1"/>
    <n v="3"/>
    <n v="3"/>
    <n v="4"/>
    <n v="6"/>
  </r>
  <r>
    <x v="3"/>
    <s v="S12000046"/>
    <x v="31"/>
    <n v="1187"/>
    <n v="109"/>
    <n v="5"/>
    <n v="6"/>
    <n v="831"/>
    <n v="41"/>
    <n v="15"/>
    <n v="81"/>
    <n v="25"/>
    <n v="14"/>
    <n v="9"/>
    <n v="4"/>
    <n v="3"/>
    <n v="5"/>
    <n v="11"/>
    <n v="28"/>
  </r>
  <r>
    <x v="4"/>
    <s v="S12000005"/>
    <x v="0"/>
    <n v="70"/>
    <n v="22"/>
    <n v="7"/>
    <m/>
    <n v="8"/>
    <n v="5"/>
    <n v="2"/>
    <n v="3"/>
    <n v="1"/>
    <n v="2"/>
    <n v="1"/>
    <n v="2"/>
    <m/>
    <m/>
    <n v="17"/>
    <m/>
  </r>
  <r>
    <x v="4"/>
    <s v="S12000006"/>
    <x v="1"/>
    <n v="440"/>
    <n v="77"/>
    <n v="17"/>
    <n v="5"/>
    <n v="32"/>
    <n v="12"/>
    <n v="7"/>
    <n v="86"/>
    <n v="17"/>
    <n v="34"/>
    <n v="29"/>
    <n v="16"/>
    <n v="13"/>
    <n v="10"/>
    <n v="55"/>
    <n v="30"/>
  </r>
  <r>
    <x v="4"/>
    <s v="S12000008"/>
    <x v="2"/>
    <n v="145"/>
    <n v="57"/>
    <n v="7"/>
    <m/>
    <n v="7"/>
    <n v="3"/>
    <m/>
    <n v="24"/>
    <n v="9"/>
    <n v="3"/>
    <n v="6"/>
    <n v="8"/>
    <n v="2"/>
    <m/>
    <n v="8"/>
    <n v="11"/>
  </r>
  <r>
    <x v="4"/>
    <s v="S12000010"/>
    <x v="3"/>
    <n v="149"/>
    <n v="29"/>
    <n v="5"/>
    <m/>
    <n v="6"/>
    <n v="7"/>
    <n v="9"/>
    <n v="30"/>
    <n v="7"/>
    <n v="9"/>
    <n v="13"/>
    <n v="11"/>
    <n v="2"/>
    <n v="1"/>
    <n v="16"/>
    <n v="4"/>
  </r>
  <r>
    <x v="4"/>
    <s v="S12000011"/>
    <x v="4"/>
    <n v="36"/>
    <n v="15"/>
    <n v="2"/>
    <n v="1"/>
    <m/>
    <n v="1"/>
    <m/>
    <n v="6"/>
    <n v="2"/>
    <m/>
    <n v="3"/>
    <n v="1"/>
    <n v="1"/>
    <n v="1"/>
    <n v="2"/>
    <n v="1"/>
  </r>
  <r>
    <x v="4"/>
    <s v="S12000013"/>
    <x v="5"/>
    <n v="21"/>
    <n v="6"/>
    <n v="2"/>
    <m/>
    <m/>
    <n v="2"/>
    <m/>
    <n v="8"/>
    <n v="1"/>
    <n v="1"/>
    <m/>
    <m/>
    <m/>
    <m/>
    <n v="1"/>
    <m/>
  </r>
  <r>
    <x v="4"/>
    <s v="S12000014"/>
    <x v="6"/>
    <n v="201"/>
    <n v="46"/>
    <n v="13"/>
    <m/>
    <n v="5"/>
    <n v="24"/>
    <n v="1"/>
    <n v="11"/>
    <n v="19"/>
    <n v="10"/>
    <n v="9"/>
    <n v="18"/>
    <n v="5"/>
    <n v="6"/>
    <n v="26"/>
    <n v="8"/>
  </r>
  <r>
    <x v="4"/>
    <s v="S12000015"/>
    <x v="7"/>
    <n v="657"/>
    <n v="135"/>
    <n v="10"/>
    <m/>
    <n v="214"/>
    <n v="29"/>
    <m/>
    <n v="85"/>
    <n v="12"/>
    <n v="5"/>
    <n v="12"/>
    <n v="10"/>
    <n v="10"/>
    <n v="4"/>
    <n v="122"/>
    <n v="9"/>
  </r>
  <r>
    <x v="4"/>
    <s v="S12000017"/>
    <x v="8"/>
    <n v="196"/>
    <n v="81"/>
    <n v="4"/>
    <m/>
    <n v="45"/>
    <n v="15"/>
    <n v="2"/>
    <n v="25"/>
    <n v="5"/>
    <n v="3"/>
    <n v="3"/>
    <n v="3"/>
    <n v="1"/>
    <n v="1"/>
    <n v="4"/>
    <n v="4"/>
  </r>
  <r>
    <x v="4"/>
    <s v="S12000018"/>
    <x v="9"/>
    <n v="78"/>
    <n v="35"/>
    <n v="2"/>
    <n v="1"/>
    <n v="7"/>
    <n v="2"/>
    <m/>
    <n v="6"/>
    <n v="3"/>
    <n v="2"/>
    <n v="3"/>
    <m/>
    <n v="4"/>
    <m/>
    <n v="10"/>
    <n v="3"/>
  </r>
  <r>
    <x v="4"/>
    <s v="S12000019"/>
    <x v="10"/>
    <n v="138"/>
    <n v="19"/>
    <n v="6"/>
    <n v="2"/>
    <n v="17"/>
    <n v="3"/>
    <n v="2"/>
    <n v="13"/>
    <n v="20"/>
    <n v="4"/>
    <n v="3"/>
    <n v="2"/>
    <n v="11"/>
    <n v="2"/>
    <n v="12"/>
    <n v="22"/>
  </r>
  <r>
    <x v="4"/>
    <s v="S12000020"/>
    <x v="11"/>
    <n v="130"/>
    <n v="31"/>
    <n v="7"/>
    <m/>
    <n v="9"/>
    <n v="8"/>
    <n v="1"/>
    <n v="11"/>
    <n v="4"/>
    <n v="8"/>
    <n v="2"/>
    <n v="28"/>
    <n v="3"/>
    <n v="1"/>
    <n v="3"/>
    <n v="14"/>
  </r>
  <r>
    <x v="4"/>
    <s v="S12000021"/>
    <x v="12"/>
    <n v="244"/>
    <n v="100"/>
    <n v="27"/>
    <n v="1"/>
    <n v="9"/>
    <n v="2"/>
    <n v="2"/>
    <n v="31"/>
    <n v="3"/>
    <n v="7"/>
    <n v="3"/>
    <n v="19"/>
    <n v="13"/>
    <m/>
    <n v="4"/>
    <n v="23"/>
  </r>
  <r>
    <x v="4"/>
    <s v="S12000023"/>
    <x v="13"/>
    <n v="9"/>
    <n v="3"/>
    <m/>
    <m/>
    <m/>
    <m/>
    <m/>
    <n v="5"/>
    <m/>
    <m/>
    <m/>
    <m/>
    <n v="1"/>
    <m/>
    <m/>
    <m/>
  </r>
  <r>
    <x v="4"/>
    <s v="S12000024"/>
    <x v="14"/>
    <n v="293"/>
    <n v="86"/>
    <n v="7"/>
    <m/>
    <n v="18"/>
    <n v="69"/>
    <n v="7"/>
    <n v="48"/>
    <n v="5"/>
    <n v="3"/>
    <n v="5"/>
    <n v="30"/>
    <n v="4"/>
    <n v="1"/>
    <n v="2"/>
    <n v="8"/>
  </r>
  <r>
    <x v="4"/>
    <s v="S12000026"/>
    <x v="15"/>
    <n v="219"/>
    <n v="36"/>
    <n v="9"/>
    <m/>
    <n v="31"/>
    <n v="15"/>
    <n v="1"/>
    <n v="44"/>
    <n v="11"/>
    <n v="3"/>
    <n v="16"/>
    <n v="23"/>
    <n v="4"/>
    <m/>
    <n v="15"/>
    <n v="11"/>
  </r>
  <r>
    <x v="4"/>
    <s v="S12000027"/>
    <x v="16"/>
    <n v="16"/>
    <n v="8"/>
    <m/>
    <m/>
    <n v="3"/>
    <m/>
    <m/>
    <n v="2"/>
    <n v="1"/>
    <m/>
    <m/>
    <m/>
    <n v="1"/>
    <n v="1"/>
    <m/>
    <m/>
  </r>
  <r>
    <x v="4"/>
    <s v="S12000028"/>
    <x v="17"/>
    <n v="229"/>
    <n v="56"/>
    <n v="17"/>
    <m/>
    <n v="28"/>
    <n v="8"/>
    <n v="3"/>
    <n v="38"/>
    <n v="11"/>
    <n v="11"/>
    <n v="6"/>
    <n v="7"/>
    <n v="10"/>
    <n v="2"/>
    <n v="19"/>
    <n v="13"/>
  </r>
  <r>
    <x v="4"/>
    <s v="S12000029"/>
    <x v="18"/>
    <n v="252"/>
    <n v="98"/>
    <n v="6"/>
    <m/>
    <n v="52"/>
    <n v="26"/>
    <m/>
    <n v="31"/>
    <n v="5"/>
    <n v="9"/>
    <n v="10"/>
    <n v="2"/>
    <n v="4"/>
    <m/>
    <n v="1"/>
    <n v="8"/>
  </r>
  <r>
    <x v="4"/>
    <s v="S12000030"/>
    <x v="19"/>
    <n v="193"/>
    <n v="56"/>
    <n v="3"/>
    <m/>
    <n v="37"/>
    <n v="7"/>
    <n v="2"/>
    <n v="33"/>
    <n v="1"/>
    <n v="2"/>
    <n v="4"/>
    <n v="4"/>
    <n v="3"/>
    <n v="1"/>
    <n v="36"/>
    <n v="4"/>
  </r>
  <r>
    <x v="4"/>
    <s v="S12000033"/>
    <x v="20"/>
    <n v="364"/>
    <n v="113"/>
    <n v="7"/>
    <n v="5"/>
    <n v="136"/>
    <n v="22"/>
    <n v="2"/>
    <n v="32"/>
    <n v="5"/>
    <n v="6"/>
    <n v="6"/>
    <n v="1"/>
    <n v="8"/>
    <n v="2"/>
    <n v="9"/>
    <n v="10"/>
  </r>
  <r>
    <x v="4"/>
    <s v="S12000034"/>
    <x v="21"/>
    <n v="373"/>
    <n v="88"/>
    <n v="21"/>
    <n v="3"/>
    <n v="48"/>
    <n v="26"/>
    <n v="7"/>
    <n v="73"/>
    <n v="13"/>
    <n v="13"/>
    <n v="4"/>
    <n v="48"/>
    <n v="5"/>
    <n v="3"/>
    <n v="8"/>
    <n v="13"/>
  </r>
  <r>
    <x v="4"/>
    <s v="S12000035"/>
    <x v="22"/>
    <n v="220"/>
    <n v="35"/>
    <n v="8"/>
    <n v="1"/>
    <n v="34"/>
    <n v="3"/>
    <n v="4"/>
    <n v="60"/>
    <n v="5"/>
    <n v="5"/>
    <n v="5"/>
    <n v="40"/>
    <n v="6"/>
    <m/>
    <n v="2"/>
    <n v="12"/>
  </r>
  <r>
    <x v="4"/>
    <s v="S12000036"/>
    <x v="23"/>
    <n v="714"/>
    <n v="120"/>
    <n v="7"/>
    <n v="2"/>
    <n v="142"/>
    <n v="66"/>
    <n v="21"/>
    <n v="112"/>
    <n v="85"/>
    <n v="41"/>
    <n v="40"/>
    <n v="23"/>
    <n v="8"/>
    <n v="5"/>
    <n v="16"/>
    <n v="26"/>
  </r>
  <r>
    <x v="4"/>
    <s v="S12000038"/>
    <x v="24"/>
    <n v="169"/>
    <n v="58"/>
    <n v="16"/>
    <m/>
    <n v="17"/>
    <n v="1"/>
    <m/>
    <n v="20"/>
    <n v="10"/>
    <n v="6"/>
    <n v="5"/>
    <n v="14"/>
    <n v="10"/>
    <n v="3"/>
    <n v="4"/>
    <n v="5"/>
  </r>
  <r>
    <x v="4"/>
    <s v="S12000039"/>
    <x v="25"/>
    <n v="79"/>
    <n v="16"/>
    <n v="6"/>
    <m/>
    <n v="17"/>
    <n v="5"/>
    <m/>
    <n v="13"/>
    <n v="2"/>
    <n v="4"/>
    <n v="3"/>
    <n v="1"/>
    <n v="5"/>
    <m/>
    <n v="1"/>
    <n v="6"/>
  </r>
  <r>
    <x v="4"/>
    <s v="S12000040"/>
    <x v="26"/>
    <n v="213"/>
    <n v="60"/>
    <n v="21"/>
    <m/>
    <n v="9"/>
    <n v="11"/>
    <m/>
    <n v="15"/>
    <n v="8"/>
    <n v="11"/>
    <n v="17"/>
    <n v="1"/>
    <n v="5"/>
    <n v="8"/>
    <n v="28"/>
    <n v="19"/>
  </r>
  <r>
    <x v="4"/>
    <s v="S12000041"/>
    <x v="27"/>
    <n v="126"/>
    <n v="39"/>
    <n v="2"/>
    <n v="1"/>
    <n v="6"/>
    <n v="6"/>
    <m/>
    <n v="14"/>
    <n v="17"/>
    <n v="3"/>
    <n v="13"/>
    <n v="6"/>
    <n v="7"/>
    <n v="5"/>
    <n v="4"/>
    <n v="3"/>
  </r>
  <r>
    <x v="4"/>
    <s v="S12000042"/>
    <x v="28"/>
    <n v="381"/>
    <n v="39"/>
    <n v="1"/>
    <m/>
    <n v="280"/>
    <n v="14"/>
    <n v="2"/>
    <n v="15"/>
    <n v="10"/>
    <n v="1"/>
    <n v="4"/>
    <m/>
    <n v="4"/>
    <m/>
    <n v="6"/>
    <n v="5"/>
  </r>
  <r>
    <x v="4"/>
    <s v="S12000044"/>
    <x v="29"/>
    <n v="307"/>
    <n v="58"/>
    <n v="17"/>
    <m/>
    <n v="24"/>
    <n v="9"/>
    <m/>
    <n v="29"/>
    <n v="24"/>
    <n v="35"/>
    <n v="28"/>
    <n v="3"/>
    <n v="21"/>
    <n v="1"/>
    <n v="17"/>
    <n v="41"/>
  </r>
  <r>
    <x v="4"/>
    <s v="S12000045"/>
    <x v="30"/>
    <n v="84"/>
    <n v="26"/>
    <m/>
    <n v="2"/>
    <n v="19"/>
    <n v="2"/>
    <m/>
    <n v="5"/>
    <n v="7"/>
    <n v="2"/>
    <n v="4"/>
    <n v="1"/>
    <m/>
    <m/>
    <n v="4"/>
    <n v="12"/>
  </r>
  <r>
    <x v="4"/>
    <s v="S12000046"/>
    <x v="31"/>
    <n v="1126"/>
    <n v="127"/>
    <n v="10"/>
    <n v="7"/>
    <n v="602"/>
    <n v="68"/>
    <n v="13"/>
    <n v="102"/>
    <n v="51"/>
    <n v="24"/>
    <n v="26"/>
    <n v="1"/>
    <n v="18"/>
    <n v="2"/>
    <n v="18"/>
    <n v="57"/>
  </r>
  <r>
    <x v="5"/>
    <s v="S12000005"/>
    <x v="0"/>
    <n v="49"/>
    <n v="22"/>
    <n v="3"/>
    <m/>
    <n v="3"/>
    <n v="4"/>
    <m/>
    <m/>
    <m/>
    <n v="4"/>
    <n v="4"/>
    <m/>
    <m/>
    <m/>
    <n v="8"/>
    <n v="1"/>
  </r>
  <r>
    <x v="5"/>
    <s v="S12000006"/>
    <x v="1"/>
    <n v="435"/>
    <n v="61"/>
    <n v="43"/>
    <m/>
    <n v="21"/>
    <n v="7"/>
    <n v="6"/>
    <n v="90"/>
    <n v="12"/>
    <n v="30"/>
    <n v="44"/>
    <n v="67"/>
    <n v="7"/>
    <n v="4"/>
    <n v="23"/>
    <n v="20"/>
  </r>
  <r>
    <x v="5"/>
    <s v="S12000008"/>
    <x v="2"/>
    <n v="110"/>
    <n v="54"/>
    <m/>
    <m/>
    <n v="8"/>
    <n v="2"/>
    <m/>
    <n v="13"/>
    <n v="3"/>
    <m/>
    <n v="3"/>
    <n v="11"/>
    <m/>
    <m/>
    <n v="10"/>
    <n v="6"/>
  </r>
  <r>
    <x v="5"/>
    <s v="S12000010"/>
    <x v="3"/>
    <n v="78"/>
    <n v="23"/>
    <n v="1"/>
    <m/>
    <n v="12"/>
    <n v="5"/>
    <m/>
    <n v="4"/>
    <n v="10"/>
    <n v="1"/>
    <n v="7"/>
    <n v="2"/>
    <n v="2"/>
    <n v="1"/>
    <n v="8"/>
    <n v="2"/>
  </r>
  <r>
    <x v="5"/>
    <s v="S12000011"/>
    <x v="4"/>
    <n v="28"/>
    <n v="7"/>
    <n v="1"/>
    <m/>
    <n v="2"/>
    <m/>
    <m/>
    <n v="6"/>
    <m/>
    <n v="2"/>
    <n v="3"/>
    <n v="2"/>
    <m/>
    <m/>
    <n v="5"/>
    <m/>
  </r>
  <r>
    <x v="5"/>
    <s v="S12000014"/>
    <x v="6"/>
    <n v="150"/>
    <n v="41"/>
    <n v="8"/>
    <n v="1"/>
    <n v="4"/>
    <n v="9"/>
    <n v="1"/>
    <n v="19"/>
    <n v="22"/>
    <n v="1"/>
    <n v="14"/>
    <m/>
    <m/>
    <n v="5"/>
    <n v="12"/>
    <n v="13"/>
  </r>
  <r>
    <x v="5"/>
    <s v="S12000015"/>
    <x v="7"/>
    <n v="417"/>
    <n v="132"/>
    <n v="7"/>
    <n v="1"/>
    <n v="156"/>
    <n v="13"/>
    <n v="1"/>
    <n v="54"/>
    <n v="7"/>
    <n v="2"/>
    <n v="9"/>
    <n v="17"/>
    <n v="4"/>
    <m/>
    <n v="10"/>
    <n v="4"/>
  </r>
  <r>
    <x v="5"/>
    <s v="S12000017"/>
    <x v="8"/>
    <n v="493"/>
    <n v="95"/>
    <n v="1"/>
    <n v="1"/>
    <n v="65"/>
    <n v="20"/>
    <n v="15"/>
    <n v="236"/>
    <n v="11"/>
    <n v="3"/>
    <n v="3"/>
    <n v="33"/>
    <n v="1"/>
    <m/>
    <n v="1"/>
    <n v="8"/>
  </r>
  <r>
    <x v="5"/>
    <s v="S12000018"/>
    <x v="9"/>
    <n v="54"/>
    <n v="34"/>
    <m/>
    <m/>
    <n v="8"/>
    <n v="2"/>
    <m/>
    <n v="3"/>
    <m/>
    <n v="1"/>
    <n v="3"/>
    <n v="1"/>
    <m/>
    <m/>
    <n v="1"/>
    <n v="1"/>
  </r>
  <r>
    <x v="5"/>
    <s v="S12000019"/>
    <x v="10"/>
    <n v="70"/>
    <n v="18"/>
    <m/>
    <m/>
    <n v="8"/>
    <n v="3"/>
    <m/>
    <n v="5"/>
    <n v="6"/>
    <n v="4"/>
    <n v="8"/>
    <n v="1"/>
    <m/>
    <m/>
    <n v="12"/>
    <n v="5"/>
  </r>
  <r>
    <x v="5"/>
    <s v="S12000020"/>
    <x v="11"/>
    <n v="100"/>
    <n v="21"/>
    <n v="4"/>
    <n v="1"/>
    <n v="6"/>
    <n v="4"/>
    <n v="1"/>
    <n v="20"/>
    <m/>
    <n v="1"/>
    <n v="4"/>
    <n v="23"/>
    <m/>
    <n v="1"/>
    <n v="7"/>
    <n v="7"/>
  </r>
  <r>
    <x v="5"/>
    <s v="S12000021"/>
    <x v="12"/>
    <n v="148"/>
    <n v="62"/>
    <n v="4"/>
    <n v="5"/>
    <n v="8"/>
    <n v="3"/>
    <n v="7"/>
    <n v="8"/>
    <n v="8"/>
    <n v="3"/>
    <n v="7"/>
    <n v="11"/>
    <n v="5"/>
    <n v="1"/>
    <n v="2"/>
    <n v="14"/>
  </r>
  <r>
    <x v="5"/>
    <s v="S12000023"/>
    <x v="13"/>
    <n v="23"/>
    <n v="12"/>
    <m/>
    <m/>
    <m/>
    <n v="1"/>
    <m/>
    <n v="9"/>
    <m/>
    <m/>
    <m/>
    <n v="1"/>
    <m/>
    <m/>
    <m/>
    <m/>
  </r>
  <r>
    <x v="5"/>
    <s v="S12000024"/>
    <x v="14"/>
    <n v="248"/>
    <n v="71"/>
    <n v="2"/>
    <m/>
    <n v="10"/>
    <n v="36"/>
    <n v="2"/>
    <n v="67"/>
    <n v="6"/>
    <n v="1"/>
    <n v="6"/>
    <n v="33"/>
    <n v="2"/>
    <m/>
    <n v="6"/>
    <n v="6"/>
  </r>
  <r>
    <x v="5"/>
    <s v="S12000026"/>
    <x v="15"/>
    <n v="104"/>
    <n v="32"/>
    <n v="5"/>
    <m/>
    <n v="16"/>
    <n v="18"/>
    <m/>
    <n v="8"/>
    <n v="4"/>
    <m/>
    <n v="6"/>
    <n v="2"/>
    <n v="1"/>
    <m/>
    <n v="11"/>
    <n v="1"/>
  </r>
  <r>
    <x v="5"/>
    <s v="S12000027"/>
    <x v="16"/>
    <n v="11"/>
    <n v="11"/>
    <m/>
    <m/>
    <m/>
    <m/>
    <m/>
    <m/>
    <m/>
    <m/>
    <m/>
    <m/>
    <m/>
    <m/>
    <m/>
    <m/>
  </r>
  <r>
    <x v="5"/>
    <s v="S12000028"/>
    <x v="17"/>
    <n v="225"/>
    <n v="44"/>
    <n v="25"/>
    <n v="2"/>
    <n v="31"/>
    <n v="7"/>
    <n v="2"/>
    <n v="40"/>
    <n v="7"/>
    <n v="13"/>
    <n v="10"/>
    <n v="20"/>
    <n v="7"/>
    <m/>
    <n v="7"/>
    <n v="10"/>
  </r>
  <r>
    <x v="5"/>
    <s v="S12000029"/>
    <x v="18"/>
    <n v="159"/>
    <n v="61"/>
    <n v="5"/>
    <m/>
    <n v="45"/>
    <n v="15"/>
    <m/>
    <n v="3"/>
    <n v="5"/>
    <n v="3"/>
    <n v="1"/>
    <n v="2"/>
    <n v="4"/>
    <n v="1"/>
    <n v="1"/>
    <n v="13"/>
  </r>
  <r>
    <x v="5"/>
    <s v="S12000030"/>
    <x v="19"/>
    <n v="201"/>
    <n v="46"/>
    <n v="3"/>
    <m/>
    <n v="87"/>
    <n v="5"/>
    <n v="3"/>
    <n v="25"/>
    <n v="3"/>
    <n v="4"/>
    <n v="3"/>
    <n v="6"/>
    <m/>
    <m/>
    <n v="10"/>
    <n v="6"/>
  </r>
  <r>
    <x v="5"/>
    <s v="S12000033"/>
    <x v="20"/>
    <n v="433"/>
    <n v="70"/>
    <n v="8"/>
    <n v="2"/>
    <n v="231"/>
    <n v="15"/>
    <m/>
    <n v="44"/>
    <n v="7"/>
    <n v="6"/>
    <n v="9"/>
    <n v="17"/>
    <n v="4"/>
    <n v="1"/>
    <n v="6"/>
    <n v="13"/>
  </r>
  <r>
    <x v="5"/>
    <s v="S12000034"/>
    <x v="21"/>
    <n v="351"/>
    <n v="81"/>
    <n v="19"/>
    <m/>
    <n v="20"/>
    <n v="15"/>
    <n v="5"/>
    <n v="44"/>
    <n v="8"/>
    <n v="17"/>
    <n v="9"/>
    <n v="47"/>
    <n v="19"/>
    <n v="3"/>
    <n v="30"/>
    <n v="34"/>
  </r>
  <r>
    <x v="5"/>
    <s v="S12000035"/>
    <x v="22"/>
    <n v="282"/>
    <n v="28"/>
    <n v="7"/>
    <n v="2"/>
    <n v="38"/>
    <n v="7"/>
    <n v="8"/>
    <n v="107"/>
    <n v="5"/>
    <n v="6"/>
    <n v="5"/>
    <n v="49"/>
    <n v="2"/>
    <n v="3"/>
    <n v="7"/>
    <n v="8"/>
  </r>
  <r>
    <x v="5"/>
    <s v="S12000036"/>
    <x v="23"/>
    <n v="648"/>
    <n v="107"/>
    <n v="7"/>
    <n v="4"/>
    <n v="91"/>
    <n v="44"/>
    <n v="11"/>
    <n v="97"/>
    <n v="52"/>
    <n v="45"/>
    <n v="31"/>
    <n v="84"/>
    <n v="3"/>
    <n v="2"/>
    <n v="28"/>
    <n v="42"/>
  </r>
  <r>
    <x v="5"/>
    <s v="S12000038"/>
    <x v="24"/>
    <n v="149"/>
    <n v="48"/>
    <n v="5"/>
    <n v="1"/>
    <n v="5"/>
    <n v="1"/>
    <m/>
    <n v="24"/>
    <n v="9"/>
    <n v="3"/>
    <n v="10"/>
    <n v="20"/>
    <n v="5"/>
    <m/>
    <n v="7"/>
    <n v="11"/>
  </r>
  <r>
    <x v="5"/>
    <s v="S12000039"/>
    <x v="25"/>
    <n v="128"/>
    <n v="19"/>
    <n v="15"/>
    <m/>
    <n v="21"/>
    <n v="6"/>
    <m/>
    <n v="20"/>
    <n v="12"/>
    <n v="5"/>
    <n v="7"/>
    <n v="3"/>
    <n v="4"/>
    <n v="2"/>
    <n v="1"/>
    <n v="13"/>
  </r>
  <r>
    <x v="5"/>
    <s v="S12000040"/>
    <x v="26"/>
    <n v="174"/>
    <n v="45"/>
    <n v="17"/>
    <n v="1"/>
    <n v="26"/>
    <n v="5"/>
    <m/>
    <n v="10"/>
    <n v="9"/>
    <n v="5"/>
    <n v="22"/>
    <n v="2"/>
    <n v="3"/>
    <n v="1"/>
    <n v="11"/>
    <n v="17"/>
  </r>
  <r>
    <x v="5"/>
    <s v="S12000041"/>
    <x v="27"/>
    <n v="123"/>
    <n v="38"/>
    <n v="8"/>
    <m/>
    <n v="7"/>
    <n v="7"/>
    <m/>
    <n v="2"/>
    <n v="10"/>
    <n v="2"/>
    <n v="9"/>
    <n v="6"/>
    <n v="9"/>
    <n v="7"/>
    <n v="8"/>
    <n v="10"/>
  </r>
  <r>
    <x v="5"/>
    <s v="S12000042"/>
    <x v="28"/>
    <n v="424"/>
    <n v="35"/>
    <n v="4"/>
    <m/>
    <n v="336"/>
    <n v="3"/>
    <n v="1"/>
    <n v="17"/>
    <n v="12"/>
    <m/>
    <n v="7"/>
    <n v="1"/>
    <n v="1"/>
    <n v="2"/>
    <n v="1"/>
    <n v="4"/>
  </r>
  <r>
    <x v="5"/>
    <s v="S12000044"/>
    <x v="29"/>
    <n v="306"/>
    <n v="50"/>
    <n v="29"/>
    <m/>
    <n v="11"/>
    <n v="12"/>
    <n v="2"/>
    <n v="26"/>
    <n v="11"/>
    <n v="92"/>
    <n v="11"/>
    <n v="3"/>
    <n v="20"/>
    <n v="1"/>
    <n v="13"/>
    <n v="25"/>
  </r>
  <r>
    <x v="5"/>
    <s v="S12000045"/>
    <x v="30"/>
    <n v="101"/>
    <n v="32"/>
    <m/>
    <m/>
    <n v="29"/>
    <n v="4"/>
    <m/>
    <n v="6"/>
    <n v="8"/>
    <n v="4"/>
    <n v="1"/>
    <n v="1"/>
    <n v="1"/>
    <n v="1"/>
    <n v="8"/>
    <n v="6"/>
  </r>
  <r>
    <x v="5"/>
    <s v="S12000046"/>
    <x v="31"/>
    <n v="1038"/>
    <n v="86"/>
    <n v="10"/>
    <n v="4"/>
    <n v="646"/>
    <n v="25"/>
    <n v="6"/>
    <n v="74"/>
    <n v="42"/>
    <n v="27"/>
    <n v="23"/>
    <n v="5"/>
    <n v="12"/>
    <n v="3"/>
    <n v="17"/>
    <n v="58"/>
  </r>
  <r>
    <x v="5"/>
    <s v="S12000049"/>
    <x v="31"/>
    <n v="1"/>
    <m/>
    <m/>
    <m/>
    <m/>
    <m/>
    <m/>
    <m/>
    <m/>
    <m/>
    <m/>
    <m/>
    <n v="1"/>
    <m/>
    <m/>
    <m/>
  </r>
</pivotCacheRecords>
</file>

<file path=xl/pivotCache/pivotCacheRecords12.xml><?xml version="1.0" encoding="utf-8"?>
<pivotCacheRecords xmlns="http://schemas.openxmlformats.org/spreadsheetml/2006/main" xmlns:r="http://schemas.openxmlformats.org/officeDocument/2006/relationships" count="224">
  <r>
    <x v="0"/>
    <x v="0"/>
    <s v="S12000020"/>
    <n v="332"/>
    <n v="299"/>
    <n v="631"/>
    <n v="581"/>
    <n v="317"/>
    <n v="264"/>
    <n v="43495"/>
    <n v="1.4510000000000001"/>
    <n v="1.3360000000000001"/>
    <n v="40839"/>
    <n v="1.5449999999999999"/>
    <n v="1.423"/>
  </r>
  <r>
    <x v="1"/>
    <x v="1"/>
    <s v="S12000015"/>
    <n v="3404"/>
    <n v="3462"/>
    <n v="6866"/>
    <n v="5377"/>
    <n v="3640"/>
    <n v="1737"/>
    <n v="172425"/>
    <n v="3.9820000000000002"/>
    <n v="3.1179999999999999"/>
    <n v="163958"/>
    <n v="4.1879999999999997"/>
    <n v="3.2789999999999999"/>
  </r>
  <r>
    <x v="1"/>
    <x v="2"/>
    <s v="S12000046"/>
    <n v="2493"/>
    <n v="3638"/>
    <n v="6131"/>
    <n v="3703"/>
    <n v="2836"/>
    <n v="867"/>
    <n v="301891"/>
    <n v="2.0310000000000001"/>
    <n v="1.2270000000000001"/>
    <n v="286377"/>
    <n v="2.141"/>
    <n v="1.2929999999999999"/>
  </r>
  <r>
    <x v="1"/>
    <x v="0"/>
    <s v="S12000020"/>
    <n v="372"/>
    <n v="356"/>
    <n v="728"/>
    <n v="629"/>
    <n v="336"/>
    <n v="293"/>
    <n v="43788"/>
    <n v="1.663"/>
    <n v="1.4359999999999999"/>
    <n v="41288"/>
    <n v="1.7629999999999999"/>
    <n v="1.5229999999999999"/>
  </r>
  <r>
    <x v="1"/>
    <x v="3"/>
    <s v="S12000027"/>
    <n v="55"/>
    <n v="168"/>
    <n v="223"/>
    <n v="102"/>
    <n v="60"/>
    <n v="42"/>
    <n v="10950"/>
    <n v="2.0369999999999999"/>
    <n v="0.93200000000000005"/>
    <n v="10166"/>
    <n v="2.194"/>
    <n v="1.0029999999999999"/>
  </r>
  <r>
    <x v="2"/>
    <x v="4"/>
    <s v="S12000019"/>
    <n v="574"/>
    <n v="527"/>
    <n v="1101"/>
    <n v="909"/>
    <n v="474"/>
    <n v="435"/>
    <n v="38675"/>
    <n v="2.847"/>
    <n v="2.35"/>
    <n v="37069"/>
    <n v="2.97"/>
    <n v="2.452"/>
  </r>
  <r>
    <x v="2"/>
    <x v="5"/>
    <s v="S12000021"/>
    <n v="932"/>
    <n v="1137"/>
    <n v="2069"/>
    <n v="1485"/>
    <n v="954"/>
    <n v="531"/>
    <n v="67590"/>
    <n v="3.0609999999999999"/>
    <n v="2.1970000000000001"/>
    <n v="63189"/>
    <n v="3.274"/>
    <n v="2.35"/>
  </r>
  <r>
    <x v="2"/>
    <x v="6"/>
    <s v="S12000024"/>
    <n v="443"/>
    <n v="1554"/>
    <n v="1997"/>
    <n v="671"/>
    <n v="437"/>
    <n v="234"/>
    <n v="70828"/>
    <n v="2.82"/>
    <n v="0.94699999999999995"/>
    <n v="66545"/>
    <n v="3.0009999999999999"/>
    <n v="1.008"/>
  </r>
  <r>
    <x v="2"/>
    <x v="7"/>
    <s v="S12000038"/>
    <n v="794"/>
    <n v="944"/>
    <n v="1738"/>
    <n v="1264"/>
    <n v="865"/>
    <n v="399"/>
    <n v="84997"/>
    <n v="2.0449999999999999"/>
    <n v="1.4870000000000001"/>
    <n v="83245"/>
    <n v="2.0880000000000001"/>
    <n v="1.518"/>
  </r>
  <r>
    <x v="2"/>
    <x v="8"/>
    <s v="S12000029"/>
    <n v="1189"/>
    <n v="2143"/>
    <n v="3332"/>
    <n v="1907"/>
    <n v="1396"/>
    <n v="511"/>
    <n v="147849"/>
    <n v="2.254"/>
    <n v="1.29"/>
    <n v="143313"/>
    <n v="2.3250000000000002"/>
    <n v="1.331"/>
  </r>
  <r>
    <x v="3"/>
    <x v="9"/>
    <s v="S12000034"/>
    <n v="739"/>
    <n v="1595"/>
    <n v="2334"/>
    <n v="1222"/>
    <n v="712"/>
    <n v="510"/>
    <n v="116421"/>
    <n v="2.0049999999999999"/>
    <n v="1.05"/>
    <n v="110296"/>
    <n v="2.1160000000000001"/>
    <n v="1.1080000000000001"/>
  </r>
  <r>
    <x v="3"/>
    <x v="10"/>
    <s v="S12000045"/>
    <n v="720"/>
    <n v="659"/>
    <n v="1379"/>
    <n v="1148"/>
    <n v="857"/>
    <n v="291"/>
    <n v="46026"/>
    <n v="2.996"/>
    <n v="2.4940000000000002"/>
    <n v="45350"/>
    <n v="3.0409999999999999"/>
    <n v="2.5310000000000001"/>
  </r>
  <r>
    <x v="3"/>
    <x v="11"/>
    <s v="S12000040"/>
    <n v="972"/>
    <n v="766"/>
    <n v="1738"/>
    <n v="1502"/>
    <n v="837"/>
    <n v="665"/>
    <n v="78604"/>
    <n v="2.2109999999999999"/>
    <n v="1.911"/>
    <n v="76630"/>
    <n v="2.2679999999999998"/>
    <n v="1.96"/>
  </r>
  <r>
    <x v="4"/>
    <x v="10"/>
    <s v="S12000045"/>
    <n v="721"/>
    <n v="684"/>
    <n v="1405"/>
    <n v="1112"/>
    <n v="764"/>
    <n v="348"/>
    <n v="46430"/>
    <n v="3.0259999999999998"/>
    <n v="2.395"/>
    <n v="45690"/>
    <n v="3.0750000000000002"/>
    <n v="2.4340000000000002"/>
  </r>
  <r>
    <x v="5"/>
    <x v="12"/>
    <s v="S12000036"/>
    <n v="1893"/>
    <n v="2567"/>
    <n v="4460"/>
    <n v="2658"/>
    <n v="1882"/>
    <n v="776"/>
    <n v="249810"/>
    <n v="1.7849999999999999"/>
    <n v="1.0640000000000001"/>
    <n v="235771"/>
    <n v="1.8919999999999999"/>
    <n v="1.127"/>
  </r>
  <r>
    <x v="5"/>
    <x v="4"/>
    <s v="S12000019"/>
    <n v="394"/>
    <n v="606"/>
    <n v="1000"/>
    <n v="620"/>
    <n v="353"/>
    <n v="267"/>
    <n v="40612"/>
    <n v="2.4620000000000002"/>
    <n v="1.5269999999999999"/>
    <n v="39122"/>
    <n v="2.556"/>
    <n v="1.585"/>
  </r>
  <r>
    <x v="5"/>
    <x v="5"/>
    <s v="S12000021"/>
    <n v="701"/>
    <n v="879"/>
    <n v="1580"/>
    <n v="1174"/>
    <n v="725"/>
    <n v="449"/>
    <n v="68158"/>
    <n v="2.3180000000000001"/>
    <n v="1.722"/>
    <n v="63935"/>
    <n v="2.4710000000000001"/>
    <n v="1.8360000000000001"/>
  </r>
  <r>
    <x v="5"/>
    <x v="7"/>
    <s v="S12000038"/>
    <n v="848"/>
    <n v="1039"/>
    <n v="1887"/>
    <n v="1278"/>
    <n v="803"/>
    <n v="475"/>
    <n v="87265"/>
    <n v="2.1619999999999999"/>
    <n v="1.4650000000000001"/>
    <n v="85745"/>
    <n v="2.2010000000000001"/>
    <n v="1.49"/>
  </r>
  <r>
    <x v="5"/>
    <x v="8"/>
    <s v="S12000029"/>
    <n v="1352"/>
    <n v="2193"/>
    <n v="3545"/>
    <n v="2147"/>
    <n v="1663"/>
    <n v="484"/>
    <n v="151352"/>
    <n v="2.3420000000000001"/>
    <n v="1.419"/>
    <n v="146173"/>
    <n v="2.4249999999999998"/>
    <n v="1.4690000000000001"/>
  </r>
  <r>
    <x v="6"/>
    <x v="13"/>
    <s v="S12000041"/>
    <n v="440"/>
    <n v="1358"/>
    <n v="1798"/>
    <n v="677"/>
    <n v="474"/>
    <n v="203"/>
    <n v="56928"/>
    <n v="3.1579999999999999"/>
    <n v="1.1890000000000001"/>
    <n v="54221"/>
    <n v="3.3159999999999998"/>
    <n v="1.2490000000000001"/>
  </r>
  <r>
    <x v="6"/>
    <x v="14"/>
    <s v="S12000042"/>
    <n v="577"/>
    <n v="2144"/>
    <n v="2721"/>
    <n v="837"/>
    <n v="510"/>
    <n v="327"/>
    <n v="74891"/>
    <n v="3.633"/>
    <n v="1.1180000000000001"/>
    <n v="70685"/>
    <n v="3.8490000000000002"/>
    <n v="1.1839999999999999"/>
  </r>
  <r>
    <x v="6"/>
    <x v="15"/>
    <s v="S12000010"/>
    <n v="372"/>
    <n v="530"/>
    <n v="902"/>
    <n v="599"/>
    <n v="448"/>
    <n v="151"/>
    <n v="48851"/>
    <n v="1.8460000000000001"/>
    <n v="1.226"/>
    <n v="46771"/>
    <n v="1.929"/>
    <n v="1.2809999999999999"/>
  </r>
  <r>
    <x v="6"/>
    <x v="16"/>
    <s v="S12000018"/>
    <n v="631"/>
    <n v="772"/>
    <n v="1403"/>
    <n v="941"/>
    <n v="603"/>
    <n v="338"/>
    <n v="38977"/>
    <n v="3.6"/>
    <n v="2.4140000000000001"/>
    <n v="37614"/>
    <n v="3.73"/>
    <n v="2.5019999999999998"/>
  </r>
  <r>
    <x v="6"/>
    <x v="17"/>
    <s v="S12000044"/>
    <n v="1327"/>
    <n v="2916"/>
    <n v="4243"/>
    <n v="2152"/>
    <n v="1741"/>
    <n v="411"/>
    <n v="156694"/>
    <n v="2.7080000000000002"/>
    <n v="1.373"/>
    <n v="152443"/>
    <n v="2.7829999999999999"/>
    <n v="1.4119999999999999"/>
  </r>
  <r>
    <x v="6"/>
    <x v="18"/>
    <s v="S12000026"/>
    <n v="869"/>
    <n v="1387"/>
    <n v="2256"/>
    <n v="1430"/>
    <n v="798"/>
    <n v="632"/>
    <n v="58671"/>
    <n v="3.8450000000000002"/>
    <n v="2.4369999999999998"/>
    <n v="54715"/>
    <n v="4.1230000000000002"/>
    <n v="2.6139999999999999"/>
  </r>
  <r>
    <x v="0"/>
    <x v="19"/>
    <s v="S12000033"/>
    <n v="492"/>
    <n v="1898"/>
    <n v="2390"/>
    <n v="664"/>
    <n v="419"/>
    <n v="245"/>
    <n v="112713"/>
    <n v="2.12"/>
    <n v="0.58899999999999997"/>
    <n v="105047"/>
    <n v="2.2749999999999999"/>
    <n v="0.63200000000000001"/>
  </r>
  <r>
    <x v="0"/>
    <x v="20"/>
    <s v="S12000008"/>
    <n v="582"/>
    <n v="1242"/>
    <n v="1824"/>
    <n v="960"/>
    <n v="662"/>
    <n v="298"/>
    <n v="57172"/>
    <n v="3.19"/>
    <n v="1.679"/>
    <n v="54453"/>
    <n v="3.35"/>
    <n v="1.7629999999999999"/>
  </r>
  <r>
    <x v="0"/>
    <x v="21"/>
    <s v="S12000011"/>
    <n v="492"/>
    <n v="448"/>
    <n v="940"/>
    <n v="801"/>
    <n v="603"/>
    <n v="198"/>
    <n v="37639"/>
    <n v="2.4969999999999999"/>
    <n v="2.1280000000000001"/>
    <n v="37804"/>
    <n v="2.4870000000000001"/>
    <n v="2.1190000000000002"/>
  </r>
  <r>
    <x v="0"/>
    <x v="5"/>
    <s v="S12000021"/>
    <n v="958"/>
    <n v="660"/>
    <n v="1618"/>
    <n v="1633"/>
    <n v="972"/>
    <n v="661"/>
    <n v="67082"/>
    <n v="2.4119999999999999"/>
    <n v="2.4340000000000002"/>
    <n v="62613"/>
    <n v="2.5840000000000001"/>
    <n v="2.6080000000000001"/>
  </r>
  <r>
    <x v="1"/>
    <x v="22"/>
    <s v="S12000005"/>
    <n v="273"/>
    <n v="511"/>
    <n v="784"/>
    <n v="401"/>
    <n v="314"/>
    <n v="87"/>
    <n v="23995"/>
    <n v="3.2669999999999999"/>
    <n v="1.671"/>
    <n v="23217"/>
    <n v="3.3769999999999998"/>
    <n v="1.7270000000000001"/>
  </r>
  <r>
    <x v="1"/>
    <x v="21"/>
    <s v="S12000011"/>
    <n v="546"/>
    <n v="689"/>
    <n v="1235"/>
    <n v="816"/>
    <n v="549"/>
    <n v="267"/>
    <n v="37852"/>
    <n v="3.2629999999999999"/>
    <n v="2.1560000000000001"/>
    <n v="38048"/>
    <n v="3.246"/>
    <n v="2.145"/>
  </r>
  <r>
    <x v="1"/>
    <x v="23"/>
    <s v="S12000013"/>
    <n v="93"/>
    <n v="199"/>
    <n v="292"/>
    <n v="146"/>
    <n v="116"/>
    <n v="30"/>
    <n v="14520"/>
    <n v="2.0110000000000001"/>
    <n v="1.006"/>
    <n v="12920"/>
    <n v="2.2599999999999998"/>
    <n v="1.1299999999999999"/>
  </r>
  <r>
    <x v="2"/>
    <x v="24"/>
    <s v="S12000017"/>
    <n v="1073"/>
    <n v="2605"/>
    <n v="3678"/>
    <n v="1751"/>
    <n v="1225"/>
    <n v="526"/>
    <n v="115538"/>
    <n v="3.1829999999999998"/>
    <n v="1.516"/>
    <n v="106834"/>
    <n v="3.4430000000000001"/>
    <n v="1.639"/>
  </r>
  <r>
    <x v="3"/>
    <x v="13"/>
    <s v="S12000041"/>
    <n v="499"/>
    <n v="1528"/>
    <n v="2027"/>
    <n v="727"/>
    <n v="450"/>
    <n v="277"/>
    <n v="55872"/>
    <n v="3.6280000000000001"/>
    <n v="1.3009999999999999"/>
    <n v="53333"/>
    <n v="3.8010000000000002"/>
    <n v="1.363"/>
  </r>
  <r>
    <x v="3"/>
    <x v="7"/>
    <s v="S12000038"/>
    <n v="1030"/>
    <n v="1105"/>
    <n v="2135"/>
    <n v="1579"/>
    <n v="905"/>
    <n v="674"/>
    <n v="85724"/>
    <n v="2.4910000000000001"/>
    <n v="1.8420000000000001"/>
    <n v="84025"/>
    <n v="2.5409999999999999"/>
    <n v="1.879"/>
  </r>
  <r>
    <x v="4"/>
    <x v="12"/>
    <s v="S12000036"/>
    <n v="2302"/>
    <n v="2298"/>
    <n v="4600"/>
    <n v="3197"/>
    <n v="2309"/>
    <n v="888"/>
    <n v="246818"/>
    <n v="1.8640000000000001"/>
    <n v="1.2949999999999999"/>
    <n v="233369"/>
    <n v="1.9710000000000001"/>
    <n v="1.37"/>
  </r>
  <r>
    <x v="4"/>
    <x v="1"/>
    <s v="S12000015"/>
    <n v="3137"/>
    <n v="3403"/>
    <n v="6540"/>
    <n v="4947"/>
    <n v="3292"/>
    <n v="1655"/>
    <n v="175915"/>
    <n v="3.718"/>
    <n v="2.8119999999999998"/>
    <n v="166960"/>
    <n v="3.9169999999999998"/>
    <n v="2.9630000000000001"/>
  </r>
  <r>
    <x v="4"/>
    <x v="25"/>
    <s v="S12000023"/>
    <n v="126"/>
    <n v="250"/>
    <n v="376"/>
    <n v="193"/>
    <n v="88"/>
    <n v="105"/>
    <n v="11192"/>
    <n v="3.36"/>
    <n v="1.724"/>
    <n v="10385"/>
    <n v="3.621"/>
    <n v="1.8580000000000001"/>
  </r>
  <r>
    <x v="4"/>
    <x v="7"/>
    <s v="S12000038"/>
    <n v="1137"/>
    <n v="1411"/>
    <n v="2548"/>
    <n v="1733"/>
    <n v="1077"/>
    <n v="656"/>
    <n v="86449"/>
    <n v="2.9470000000000001"/>
    <n v="2.0049999999999999"/>
    <n v="84938"/>
    <n v="3"/>
    <n v="2.04"/>
  </r>
  <r>
    <x v="5"/>
    <x v="15"/>
    <s v="S12000010"/>
    <n v="440"/>
    <n v="524"/>
    <n v="964"/>
    <n v="723"/>
    <n v="530"/>
    <n v="193"/>
    <n v="48055"/>
    <n v="2.0059999999999998"/>
    <n v="1.5049999999999999"/>
    <n v="45975"/>
    <n v="2.097"/>
    <n v="1.573"/>
  </r>
  <r>
    <x v="5"/>
    <x v="24"/>
    <s v="S12000017"/>
    <n v="813"/>
    <n v="2969"/>
    <n v="3782"/>
    <n v="1355"/>
    <n v="818"/>
    <n v="537"/>
    <n v="118117"/>
    <n v="3.202"/>
    <n v="1.147"/>
    <n v="108878"/>
    <n v="3.4740000000000002"/>
    <n v="1.2450000000000001"/>
  </r>
  <r>
    <x v="5"/>
    <x v="6"/>
    <s v="S12000024"/>
    <n v="385"/>
    <n v="1084"/>
    <n v="1469"/>
    <n v="606"/>
    <n v="357"/>
    <n v="249"/>
    <n v="72441"/>
    <n v="2.028"/>
    <n v="0.83699999999999997"/>
    <n v="68196"/>
    <n v="2.1539999999999999"/>
    <n v="0.88900000000000001"/>
  </r>
  <r>
    <x v="6"/>
    <x v="10"/>
    <s v="S12000045"/>
    <n v="656"/>
    <n v="662"/>
    <n v="1318"/>
    <n v="1057"/>
    <n v="758"/>
    <n v="299"/>
    <n v="46986"/>
    <n v="2.8050000000000002"/>
    <n v="2.25"/>
    <n v="46228"/>
    <n v="2.851"/>
    <n v="2.286"/>
  </r>
  <r>
    <x v="6"/>
    <x v="0"/>
    <s v="S12000020"/>
    <n v="483"/>
    <n v="1205"/>
    <n v="1688"/>
    <n v="877"/>
    <n v="500"/>
    <n v="377"/>
    <n v="45630"/>
    <n v="3.6989999999999998"/>
    <n v="1.9219999999999999"/>
    <n v="42932"/>
    <n v="3.9319999999999999"/>
    <n v="2.0430000000000001"/>
  </r>
  <r>
    <x v="6"/>
    <x v="25"/>
    <s v="S12000023"/>
    <n v="122"/>
    <n v="237"/>
    <n v="359"/>
    <n v="211"/>
    <n v="127"/>
    <n v="84"/>
    <n v="11322"/>
    <n v="3.1709999999999998"/>
    <n v="1.8640000000000001"/>
    <n v="10589"/>
    <n v="3.39"/>
    <n v="1.9930000000000001"/>
  </r>
  <r>
    <x v="6"/>
    <x v="11"/>
    <s v="S12000040"/>
    <n v="658"/>
    <n v="1193"/>
    <n v="1851"/>
    <n v="958"/>
    <n v="631"/>
    <n v="327"/>
    <n v="80911"/>
    <n v="2.2879999999999998"/>
    <n v="1.1839999999999999"/>
    <n v="78966"/>
    <n v="2.3439999999999999"/>
    <n v="1.2130000000000001"/>
  </r>
  <r>
    <x v="0"/>
    <x v="10"/>
    <s v="S12000045"/>
    <n v="554"/>
    <n v="307"/>
    <n v="861"/>
    <n v="966"/>
    <n v="757"/>
    <n v="209"/>
    <n v="44864"/>
    <n v="1.919"/>
    <n v="2.153"/>
    <n v="44102"/>
    <n v="1.952"/>
    <n v="2.19"/>
  </r>
  <r>
    <x v="0"/>
    <x v="3"/>
    <s v="S12000027"/>
    <n v="73"/>
    <n v="218"/>
    <n v="291"/>
    <n v="125"/>
    <n v="69"/>
    <n v="56"/>
    <n v="10852"/>
    <n v="2.6819999999999999"/>
    <n v="1.1519999999999999"/>
    <n v="10135"/>
    <n v="2.871"/>
    <n v="1.2330000000000001"/>
  </r>
  <r>
    <x v="1"/>
    <x v="10"/>
    <s v="S12000045"/>
    <n v="562"/>
    <n v="539"/>
    <n v="1101"/>
    <n v="948"/>
    <n v="734"/>
    <n v="214"/>
    <n v="45281"/>
    <n v="2.431"/>
    <n v="2.0939999999999999"/>
    <n v="44504"/>
    <n v="2.4740000000000002"/>
    <n v="2.13"/>
  </r>
  <r>
    <x v="1"/>
    <x v="17"/>
    <s v="S12000044"/>
    <n v="1427"/>
    <n v="2067"/>
    <n v="3494"/>
    <n v="2428"/>
    <n v="1929"/>
    <n v="499"/>
    <n v="151424"/>
    <n v="2.3069999999999999"/>
    <n v="1.603"/>
    <n v="148610"/>
    <n v="2.351"/>
    <n v="1.6339999999999999"/>
  </r>
  <r>
    <x v="2"/>
    <x v="19"/>
    <s v="S12000033"/>
    <n v="572"/>
    <n v="2074"/>
    <n v="2646"/>
    <n v="819"/>
    <n v="538"/>
    <n v="281"/>
    <n v="114234"/>
    <n v="2.3159999999999998"/>
    <n v="0.71699999999999997"/>
    <n v="105311"/>
    <n v="2.5129999999999999"/>
    <n v="0.77800000000000002"/>
  </r>
  <r>
    <x v="2"/>
    <x v="9"/>
    <s v="S12000034"/>
    <n v="683"/>
    <n v="1249"/>
    <n v="1932"/>
    <n v="1079"/>
    <n v="648"/>
    <n v="431"/>
    <n v="115223"/>
    <n v="1.677"/>
    <n v="0.93600000000000005"/>
    <n v="109631"/>
    <n v="1.762"/>
    <n v="0.98399999999999999"/>
  </r>
  <r>
    <x v="2"/>
    <x v="26"/>
    <s v="S12000035"/>
    <n v="667"/>
    <n v="980"/>
    <n v="1647"/>
    <n v="1074"/>
    <n v="562"/>
    <n v="512"/>
    <n v="47712"/>
    <n v="3.452"/>
    <n v="2.2509999999999999"/>
    <n v="40938"/>
    <n v="4.0229999999999997"/>
    <n v="2.6230000000000002"/>
  </r>
  <r>
    <x v="2"/>
    <x v="20"/>
    <s v="S12000008"/>
    <n v="509"/>
    <n v="829"/>
    <n v="1338"/>
    <n v="863"/>
    <n v="543"/>
    <n v="320"/>
    <n v="57654"/>
    <n v="2.3210000000000002"/>
    <n v="1.4970000000000001"/>
    <n v="54570"/>
    <n v="2.452"/>
    <n v="1.581"/>
  </r>
  <r>
    <x v="2"/>
    <x v="27"/>
    <s v="S12000028"/>
    <n v="657"/>
    <n v="731"/>
    <n v="1388"/>
    <n v="1068"/>
    <n v="688"/>
    <n v="380"/>
    <n v="54635"/>
    <n v="2.54"/>
    <n v="1.9550000000000001"/>
    <n v="51912"/>
    <n v="2.6739999999999999"/>
    <n v="2.0569999999999999"/>
  </r>
  <r>
    <x v="2"/>
    <x v="28"/>
    <s v="S12000039"/>
    <n v="470"/>
    <n v="934"/>
    <n v="1404"/>
    <n v="740"/>
    <n v="586"/>
    <n v="154"/>
    <n v="45056"/>
    <n v="3.1160000000000001"/>
    <n v="1.6419999999999999"/>
    <n v="42571"/>
    <n v="3.298"/>
    <n v="1.738"/>
  </r>
  <r>
    <x v="3"/>
    <x v="12"/>
    <s v="S12000036"/>
    <n v="2671"/>
    <n v="2368"/>
    <n v="5039"/>
    <n v="3710"/>
    <n v="2446"/>
    <n v="1264"/>
    <n v="244131"/>
    <n v="2.0640000000000001"/>
    <n v="1.52"/>
    <n v="231383"/>
    <n v="2.1779999999999999"/>
    <n v="1.603"/>
  </r>
  <r>
    <x v="3"/>
    <x v="21"/>
    <s v="S12000011"/>
    <n v="644"/>
    <n v="916"/>
    <n v="1560"/>
    <n v="960"/>
    <n v="686"/>
    <n v="274"/>
    <n v="38389"/>
    <n v="4.0640000000000001"/>
    <n v="2.5009999999999999"/>
    <n v="38581"/>
    <n v="4.0430000000000001"/>
    <n v="2.488"/>
  </r>
  <r>
    <x v="3"/>
    <x v="25"/>
    <s v="S12000023"/>
    <n v="116"/>
    <n v="272"/>
    <n v="388"/>
    <n v="180"/>
    <n v="90"/>
    <n v="90"/>
    <n v="11063"/>
    <n v="3.5070000000000001"/>
    <n v="1.627"/>
    <n v="10256"/>
    <n v="3.7829999999999999"/>
    <n v="1.7549999999999999"/>
  </r>
  <r>
    <x v="3"/>
    <x v="8"/>
    <s v="S12000029"/>
    <n v="1304"/>
    <n v="2091"/>
    <n v="3395"/>
    <n v="2109"/>
    <n v="1516"/>
    <n v="593"/>
    <n v="148771"/>
    <n v="2.282"/>
    <n v="1.4179999999999999"/>
    <n v="144148"/>
    <n v="2.355"/>
    <n v="1.4630000000000001"/>
  </r>
  <r>
    <x v="4"/>
    <x v="15"/>
    <s v="S12000010"/>
    <n v="540"/>
    <n v="494"/>
    <n v="1034"/>
    <n v="883"/>
    <n v="544"/>
    <n v="339"/>
    <n v="47407"/>
    <n v="2.181"/>
    <n v="1.863"/>
    <n v="45301"/>
    <n v="2.2829999999999999"/>
    <n v="1.9490000000000001"/>
  </r>
  <r>
    <x v="5"/>
    <x v="9"/>
    <s v="S12000034"/>
    <n v="564"/>
    <n v="1206"/>
    <n v="1770"/>
    <n v="954"/>
    <n v="618"/>
    <n v="336"/>
    <n v="118197"/>
    <n v="1.4970000000000001"/>
    <n v="0.80700000000000005"/>
    <n v="111156"/>
    <n v="1.5920000000000001"/>
    <n v="0.85799999999999998"/>
  </r>
  <r>
    <x v="5"/>
    <x v="13"/>
    <s v="S12000041"/>
    <n v="429"/>
    <n v="1339"/>
    <n v="1768"/>
    <n v="627"/>
    <n v="450"/>
    <n v="177"/>
    <n v="56485"/>
    <n v="3.13"/>
    <n v="1.1100000000000001"/>
    <n v="53888"/>
    <n v="3.2810000000000001"/>
    <n v="1.1639999999999999"/>
  </r>
  <r>
    <x v="5"/>
    <x v="14"/>
    <s v="S12000042"/>
    <n v="692"/>
    <n v="2702"/>
    <n v="3394"/>
    <n v="998"/>
    <n v="680"/>
    <n v="318"/>
    <n v="74531"/>
    <n v="4.5540000000000003"/>
    <n v="1.339"/>
    <n v="70337"/>
    <n v="4.8250000000000002"/>
    <n v="1.419"/>
  </r>
  <r>
    <x v="5"/>
    <x v="20"/>
    <s v="S12000008"/>
    <n v="421"/>
    <n v="656"/>
    <n v="1077"/>
    <n v="697"/>
    <n v="446"/>
    <n v="251"/>
    <n v="58453"/>
    <n v="1.843"/>
    <n v="1.1919999999999999"/>
    <n v="55107"/>
    <n v="1.954"/>
    <n v="1.2649999999999999"/>
  </r>
  <r>
    <x v="5"/>
    <x v="21"/>
    <s v="S12000011"/>
    <n v="445"/>
    <n v="651"/>
    <n v="1096"/>
    <n v="686"/>
    <n v="492"/>
    <n v="194"/>
    <n v="38902"/>
    <n v="2.8170000000000002"/>
    <n v="1.7629999999999999"/>
    <n v="39108"/>
    <n v="2.802"/>
    <n v="1.754"/>
  </r>
  <r>
    <x v="5"/>
    <x v="25"/>
    <s v="S12000023"/>
    <n v="96"/>
    <n v="194"/>
    <n v="290"/>
    <n v="167"/>
    <n v="82"/>
    <n v="85"/>
    <n v="11261"/>
    <n v="2.5750000000000002"/>
    <n v="1.4830000000000001"/>
    <n v="10506"/>
    <n v="2.76"/>
    <n v="1.59"/>
  </r>
  <r>
    <x v="6"/>
    <x v="29"/>
    <s v="S12000014"/>
    <n v="511"/>
    <n v="1174"/>
    <n v="1685"/>
    <n v="762"/>
    <n v="590"/>
    <n v="172"/>
    <n v="75226"/>
    <n v="2.2400000000000002"/>
    <n v="1.0129999999999999"/>
    <n v="72672"/>
    <n v="2.319"/>
    <n v="1.0489999999999999"/>
  </r>
  <r>
    <x v="6"/>
    <x v="2"/>
    <s v="S12000046"/>
    <n v="2529"/>
    <n v="7409"/>
    <n v="9938"/>
    <n v="3536"/>
    <n v="2783"/>
    <n v="753"/>
    <n v="314604"/>
    <n v="3.1589999999999998"/>
    <n v="1.1240000000000001"/>
    <n v="294622"/>
    <n v="3.3730000000000002"/>
    <n v="1.2"/>
  </r>
  <r>
    <x v="6"/>
    <x v="3"/>
    <s v="S12000027"/>
    <n v="156"/>
    <n v="407"/>
    <n v="563"/>
    <n v="253"/>
    <n v="141"/>
    <n v="112"/>
    <n v="11305"/>
    <n v="4.9800000000000004"/>
    <n v="2.238"/>
    <n v="10439"/>
    <n v="5.3929999999999998"/>
    <n v="2.4239999999999999"/>
  </r>
  <r>
    <x v="0"/>
    <x v="4"/>
    <s v="S12000019"/>
    <n v="569"/>
    <n v="411"/>
    <n v="980"/>
    <n v="857"/>
    <n v="405"/>
    <n v="452"/>
    <n v="37503"/>
    <n v="2.613"/>
    <n v="2.2850000000000001"/>
    <n v="36009"/>
    <n v="2.722"/>
    <n v="2.38"/>
  </r>
  <r>
    <x v="0"/>
    <x v="6"/>
    <s v="S12000024"/>
    <n v="922"/>
    <n v="3441"/>
    <n v="4363"/>
    <n v="1414"/>
    <n v="890"/>
    <n v="524"/>
    <n v="69923"/>
    <n v="6.24"/>
    <n v="2.0219999999999998"/>
    <n v="65616"/>
    <n v="6.649"/>
    <n v="2.1549999999999998"/>
  </r>
  <r>
    <x v="1"/>
    <x v="19"/>
    <s v="S12000033"/>
    <n v="524"/>
    <n v="1951"/>
    <n v="2475"/>
    <n v="752"/>
    <n v="469"/>
    <n v="283"/>
    <n v="113508"/>
    <n v="2.1800000000000002"/>
    <n v="0.66300000000000003"/>
    <n v="105287"/>
    <n v="2.351"/>
    <n v="0.71399999999999997"/>
  </r>
  <r>
    <x v="1"/>
    <x v="12"/>
    <s v="S12000036"/>
    <n v="2833"/>
    <n v="2754"/>
    <n v="5587"/>
    <n v="3885"/>
    <n v="2716"/>
    <n v="1169"/>
    <n v="239525"/>
    <n v="2.3330000000000002"/>
    <n v="1.6220000000000001"/>
    <n v="229231"/>
    <n v="2.4369999999999998"/>
    <n v="1.6950000000000001"/>
  </r>
  <r>
    <x v="1"/>
    <x v="6"/>
    <s v="S12000024"/>
    <n v="635"/>
    <n v="1787"/>
    <n v="2422"/>
    <n v="947"/>
    <n v="628"/>
    <n v="319"/>
    <n v="70312"/>
    <n v="3.4449999999999998"/>
    <n v="1.347"/>
    <n v="66035"/>
    <n v="3.6680000000000001"/>
    <n v="1.4339999999999999"/>
  </r>
  <r>
    <x v="1"/>
    <x v="7"/>
    <s v="S12000038"/>
    <n v="885"/>
    <n v="1268"/>
    <n v="2153"/>
    <n v="1445"/>
    <n v="1020"/>
    <n v="425"/>
    <n v="84442"/>
    <n v="2.5499999999999998"/>
    <n v="1.7110000000000001"/>
    <n v="82385"/>
    <n v="2.613"/>
    <n v="1.754"/>
  </r>
  <r>
    <x v="2"/>
    <x v="14"/>
    <s v="S12000042"/>
    <n v="849"/>
    <n v="3502"/>
    <n v="4351"/>
    <n v="1188"/>
    <n v="818"/>
    <n v="370"/>
    <n v="73689"/>
    <n v="5.9050000000000002"/>
    <n v="1.6120000000000001"/>
    <n v="69534"/>
    <n v="6.2569999999999997"/>
    <n v="1.7090000000000001"/>
  </r>
  <r>
    <x v="2"/>
    <x v="15"/>
    <s v="S12000010"/>
    <n v="716"/>
    <n v="704"/>
    <n v="1420"/>
    <n v="1220"/>
    <n v="715"/>
    <n v="505"/>
    <n v="46332"/>
    <n v="3.0649999999999999"/>
    <n v="2.633"/>
    <n v="44384"/>
    <n v="3.1989999999999998"/>
    <n v="2.7490000000000001"/>
  </r>
  <r>
    <x v="2"/>
    <x v="18"/>
    <s v="S12000026"/>
    <n v="1347"/>
    <n v="1196"/>
    <n v="2543"/>
    <n v="2132"/>
    <n v="802"/>
    <n v="1330"/>
    <n v="57628"/>
    <n v="4.4130000000000003"/>
    <n v="3.7"/>
    <n v="53351"/>
    <n v="4.7670000000000003"/>
    <n v="3.996"/>
  </r>
  <r>
    <x v="2"/>
    <x v="3"/>
    <s v="S12000027"/>
    <n v="100"/>
    <n v="177"/>
    <n v="277"/>
    <n v="195"/>
    <n v="101"/>
    <n v="94"/>
    <n v="11021"/>
    <n v="2.5129999999999999"/>
    <n v="1.7689999999999999"/>
    <n v="10235"/>
    <n v="2.706"/>
    <n v="1.905"/>
  </r>
  <r>
    <x v="3"/>
    <x v="22"/>
    <s v="S12000005"/>
    <n v="270"/>
    <n v="361"/>
    <n v="631"/>
    <n v="401"/>
    <n v="281"/>
    <n v="120"/>
    <n v="24221"/>
    <n v="2.605"/>
    <n v="1.6559999999999999"/>
    <n v="23401"/>
    <n v="2.6960000000000002"/>
    <n v="1.714"/>
  </r>
  <r>
    <x v="3"/>
    <x v="30"/>
    <s v="S12000006"/>
    <n v="1262"/>
    <n v="848"/>
    <n v="2110"/>
    <n v="1792"/>
    <n v="1150"/>
    <n v="642"/>
    <n v="74453"/>
    <n v="2.8340000000000001"/>
    <n v="2.407"/>
    <n v="69202"/>
    <n v="3.0489999999999999"/>
    <n v="2.59"/>
  </r>
  <r>
    <x v="3"/>
    <x v="1"/>
    <s v="S12000015"/>
    <n v="3394"/>
    <n v="3061"/>
    <n v="6455"/>
    <n v="5319"/>
    <n v="3465"/>
    <n v="1854"/>
    <n v="174528"/>
    <n v="3.6989999999999998"/>
    <n v="3.048"/>
    <n v="165833"/>
    <n v="3.8919999999999999"/>
    <n v="3.2069999999999999"/>
  </r>
  <r>
    <x v="3"/>
    <x v="23"/>
    <s v="S12000013"/>
    <n v="94"/>
    <n v="249"/>
    <n v="343"/>
    <n v="141"/>
    <n v="95"/>
    <n v="46"/>
    <n v="14599"/>
    <n v="2.3490000000000002"/>
    <n v="0.96599999999999997"/>
    <n v="12951"/>
    <n v="2.6480000000000001"/>
    <n v="1.089"/>
  </r>
  <r>
    <x v="3"/>
    <x v="31"/>
    <s v="S12000030"/>
    <n v="336"/>
    <n v="720"/>
    <n v="1056"/>
    <n v="535"/>
    <n v="334"/>
    <n v="201"/>
    <n v="40998"/>
    <n v="2.5760000000000001"/>
    <n v="1.3049999999999999"/>
    <n v="38951"/>
    <n v="2.7109999999999999"/>
    <n v="1.3740000000000001"/>
  </r>
  <r>
    <x v="3"/>
    <x v="28"/>
    <s v="S12000039"/>
    <n v="558"/>
    <n v="1035"/>
    <n v="1593"/>
    <n v="858"/>
    <n v="620"/>
    <n v="238"/>
    <n v="45104"/>
    <n v="3.532"/>
    <n v="1.9019999999999999"/>
    <n v="42657"/>
    <n v="3.734"/>
    <n v="2.0110000000000001"/>
  </r>
  <r>
    <x v="4"/>
    <x v="9"/>
    <s v="S12000034"/>
    <n v="735"/>
    <n v="1405"/>
    <n v="2140"/>
    <n v="1279"/>
    <n v="828"/>
    <n v="451"/>
    <n v="117363"/>
    <n v="1.823"/>
    <n v="1.0900000000000001"/>
    <n v="110941"/>
    <n v="1.929"/>
    <n v="1.153"/>
  </r>
  <r>
    <x v="4"/>
    <x v="26"/>
    <s v="S12000035"/>
    <n v="650"/>
    <n v="1030"/>
    <n v="1680"/>
    <n v="965"/>
    <n v="503"/>
    <n v="462"/>
    <n v="47884"/>
    <n v="3.508"/>
    <n v="2.0150000000000001"/>
    <n v="41455"/>
    <n v="4.0529999999999999"/>
    <n v="2.3279999999999998"/>
  </r>
  <r>
    <x v="4"/>
    <x v="22"/>
    <s v="S12000005"/>
    <n v="204"/>
    <n v="360"/>
    <n v="564"/>
    <n v="315"/>
    <n v="230"/>
    <n v="85"/>
    <n v="24377"/>
    <n v="2.3140000000000001"/>
    <n v="1.292"/>
    <n v="23563"/>
    <n v="2.3940000000000001"/>
    <n v="1.337"/>
  </r>
  <r>
    <x v="4"/>
    <x v="23"/>
    <s v="S12000013"/>
    <n v="125"/>
    <n v="224"/>
    <n v="349"/>
    <n v="182"/>
    <n v="171"/>
    <n v="11"/>
    <n v="14714"/>
    <n v="2.3719999999999999"/>
    <n v="1.2370000000000001"/>
    <n v="12805"/>
    <n v="2.7250000000000001"/>
    <n v="1.421"/>
  </r>
  <r>
    <x v="4"/>
    <x v="27"/>
    <s v="S12000028"/>
    <n v="543"/>
    <n v="765"/>
    <n v="1308"/>
    <n v="893"/>
    <n v="559"/>
    <n v="334"/>
    <n v="55252"/>
    <n v="2.367"/>
    <n v="1.6160000000000001"/>
    <n v="52104"/>
    <n v="2.5099999999999998"/>
    <n v="1.714"/>
  </r>
  <r>
    <x v="4"/>
    <x v="8"/>
    <s v="S12000029"/>
    <n v="1336"/>
    <n v="2180"/>
    <n v="3516"/>
    <n v="2110"/>
    <n v="1607"/>
    <n v="503"/>
    <n v="149972"/>
    <n v="2.3439999999999999"/>
    <n v="1.407"/>
    <n v="145182"/>
    <n v="2.4220000000000002"/>
    <n v="1.4530000000000001"/>
  </r>
  <r>
    <x v="4"/>
    <x v="28"/>
    <s v="S12000039"/>
    <n v="653"/>
    <n v="1022"/>
    <n v="1675"/>
    <n v="997"/>
    <n v="712"/>
    <n v="285"/>
    <n v="45093"/>
    <n v="3.7149999999999999"/>
    <n v="2.2109999999999999"/>
    <n v="42746"/>
    <n v="3.9180000000000001"/>
    <n v="2.3319999999999999"/>
  </r>
  <r>
    <x v="4"/>
    <x v="11"/>
    <s v="S12000040"/>
    <n v="964"/>
    <n v="1092"/>
    <n v="2056"/>
    <n v="1456"/>
    <n v="850"/>
    <n v="606"/>
    <n v="79112"/>
    <n v="2.5990000000000002"/>
    <n v="1.84"/>
    <n v="77369"/>
    <n v="2.657"/>
    <n v="1.8819999999999999"/>
  </r>
  <r>
    <x v="5"/>
    <x v="0"/>
    <s v="S12000020"/>
    <n v="516"/>
    <n v="1149"/>
    <n v="1665"/>
    <n v="872"/>
    <n v="399"/>
    <n v="473"/>
    <n v="45209"/>
    <n v="3.6829999999999998"/>
    <n v="1.929"/>
    <n v="42554"/>
    <n v="3.9129999999999998"/>
    <n v="2.0489999999999999"/>
  </r>
  <r>
    <x v="5"/>
    <x v="18"/>
    <s v="S12000026"/>
    <n v="920"/>
    <n v="1208"/>
    <n v="2128"/>
    <n v="1413"/>
    <n v="740"/>
    <n v="673"/>
    <n v="58425"/>
    <n v="3.6419999999999999"/>
    <n v="2.4180000000000001"/>
    <n v="54413"/>
    <n v="3.911"/>
    <n v="2.597"/>
  </r>
  <r>
    <x v="5"/>
    <x v="31"/>
    <s v="S12000030"/>
    <n v="323"/>
    <n v="611"/>
    <n v="934"/>
    <n v="511"/>
    <n v="329"/>
    <n v="182"/>
    <n v="41443"/>
    <n v="2.254"/>
    <n v="1.2330000000000001"/>
    <n v="39440"/>
    <n v="2.3679999999999999"/>
    <n v="1.296"/>
  </r>
  <r>
    <x v="6"/>
    <x v="9"/>
    <s v="S12000034"/>
    <n v="699"/>
    <n v="1579"/>
    <n v="2278"/>
    <n v="1144"/>
    <n v="731"/>
    <n v="413"/>
    <n v="119196"/>
    <n v="1.911"/>
    <n v="0.96"/>
    <n v="112114"/>
    <n v="2.032"/>
    <n v="1.02"/>
  </r>
  <r>
    <x v="6"/>
    <x v="26"/>
    <s v="S12000035"/>
    <n v="451"/>
    <n v="1072"/>
    <n v="1523"/>
    <n v="721"/>
    <n v="389"/>
    <n v="332"/>
    <n v="48134"/>
    <n v="3.1640000000000001"/>
    <n v="1.498"/>
    <n v="41789"/>
    <n v="3.6440000000000001"/>
    <n v="1.7250000000000001"/>
  </r>
  <r>
    <x v="6"/>
    <x v="20"/>
    <s v="S12000008"/>
    <n v="423"/>
    <n v="680"/>
    <n v="1103"/>
    <n v="703"/>
    <n v="487"/>
    <n v="216"/>
    <n v="58628"/>
    <n v="1.881"/>
    <n v="1.1990000000000001"/>
    <n v="55387"/>
    <n v="1.9910000000000001"/>
    <n v="1.2689999999999999"/>
  </r>
  <r>
    <x v="6"/>
    <x v="4"/>
    <s v="S12000019"/>
    <n v="338"/>
    <n v="669"/>
    <n v="1007"/>
    <n v="528"/>
    <n v="303"/>
    <n v="225"/>
    <n v="41226"/>
    <n v="2.4430000000000001"/>
    <n v="1.2809999999999999"/>
    <n v="39733"/>
    <n v="2.5339999999999998"/>
    <n v="1.329"/>
  </r>
  <r>
    <x v="6"/>
    <x v="5"/>
    <s v="S12000021"/>
    <n v="716"/>
    <n v="969"/>
    <n v="1685"/>
    <n v="1150"/>
    <n v="784"/>
    <n v="366"/>
    <n v="68496"/>
    <n v="2.46"/>
    <n v="1.679"/>
    <n v="64140"/>
    <n v="2.6269999999999998"/>
    <n v="1.7929999999999999"/>
  </r>
  <r>
    <x v="6"/>
    <x v="6"/>
    <s v="S12000024"/>
    <n v="389"/>
    <n v="1165"/>
    <n v="1554"/>
    <n v="601"/>
    <n v="403"/>
    <n v="198"/>
    <n v="73267"/>
    <n v="2.121"/>
    <n v="0.82"/>
    <n v="69003"/>
    <n v="2.2519999999999998"/>
    <n v="0.871"/>
  </r>
  <r>
    <x v="6"/>
    <x v="27"/>
    <s v="S12000028"/>
    <n v="413"/>
    <n v="588"/>
    <n v="1001"/>
    <n v="710"/>
    <n v="525"/>
    <n v="185"/>
    <n v="55668"/>
    <n v="1.798"/>
    <n v="1.2749999999999999"/>
    <n v="52588"/>
    <n v="1.903"/>
    <n v="1.35"/>
  </r>
  <r>
    <x v="6"/>
    <x v="8"/>
    <s v="S12000029"/>
    <n v="1364"/>
    <n v="2345"/>
    <n v="3709"/>
    <n v="2179"/>
    <n v="1628"/>
    <n v="551"/>
    <n v="152998"/>
    <n v="2.4239999999999999"/>
    <n v="1.4239999999999999"/>
    <n v="147434"/>
    <n v="2.516"/>
    <n v="1.478"/>
  </r>
  <r>
    <x v="6"/>
    <x v="28"/>
    <s v="S12000039"/>
    <n v="468"/>
    <n v="931"/>
    <n v="1399"/>
    <n v="722"/>
    <n v="550"/>
    <n v="172"/>
    <n v="45357"/>
    <n v="3.0840000000000001"/>
    <n v="1.5920000000000001"/>
    <n v="43030"/>
    <n v="3.2509999999999999"/>
    <n v="1.6779999999999999"/>
  </r>
  <r>
    <x v="0"/>
    <x v="13"/>
    <s v="S12000041"/>
    <n v="829"/>
    <n v="2850"/>
    <n v="3679"/>
    <n v="1227"/>
    <n v="723"/>
    <n v="504"/>
    <n v="54872"/>
    <n v="6.7050000000000001"/>
    <n v="2.2360000000000002"/>
    <n v="52413"/>
    <n v="7.0190000000000001"/>
    <n v="2.3410000000000002"/>
  </r>
  <r>
    <x v="0"/>
    <x v="14"/>
    <s v="S12000042"/>
    <n v="1038"/>
    <n v="6335"/>
    <n v="7373"/>
    <n v="1432"/>
    <n v="936"/>
    <n v="496"/>
    <n v="73560"/>
    <n v="10.023"/>
    <n v="1.9470000000000001"/>
    <n v="69500"/>
    <n v="10.609"/>
    <n v="2.06"/>
  </r>
  <r>
    <x v="0"/>
    <x v="15"/>
    <s v="S12000010"/>
    <n v="649"/>
    <n v="366"/>
    <n v="1015"/>
    <n v="1107"/>
    <n v="611"/>
    <n v="496"/>
    <n v="45613"/>
    <n v="2.2250000000000001"/>
    <n v="2.427"/>
    <n v="43682"/>
    <n v="2.3239999999999998"/>
    <n v="2.5339999999999998"/>
  </r>
  <r>
    <x v="0"/>
    <x v="29"/>
    <s v="S12000014"/>
    <n v="552"/>
    <n v="1169"/>
    <n v="1721"/>
    <n v="800"/>
    <n v="614"/>
    <n v="186"/>
    <n v="72128"/>
    <n v="2.3860000000000001"/>
    <n v="1.109"/>
    <n v="69443"/>
    <n v="2.4780000000000002"/>
    <n v="1.1519999999999999"/>
  </r>
  <r>
    <x v="0"/>
    <x v="2"/>
    <s v="S12000046"/>
    <n v="2763"/>
    <n v="3336"/>
    <n v="6099"/>
    <n v="4140"/>
    <n v="3186"/>
    <n v="954"/>
    <n v="301633"/>
    <n v="2.0219999999999998"/>
    <n v="1.373"/>
    <n v="285346"/>
    <n v="2.137"/>
    <n v="1.4510000000000001"/>
  </r>
  <r>
    <x v="0"/>
    <x v="28"/>
    <s v="S12000039"/>
    <n v="436"/>
    <n v="496"/>
    <n v="932"/>
    <n v="668"/>
    <n v="473"/>
    <n v="195"/>
    <n v="44880"/>
    <n v="2.077"/>
    <n v="1.488"/>
    <n v="42097"/>
    <n v="2.214"/>
    <n v="1.587"/>
  </r>
  <r>
    <x v="1"/>
    <x v="13"/>
    <s v="S12000041"/>
    <n v="486"/>
    <n v="1357"/>
    <n v="1843"/>
    <n v="724"/>
    <n v="498"/>
    <n v="226"/>
    <n v="55267"/>
    <n v="3.335"/>
    <n v="1.31"/>
    <n v="52692"/>
    <n v="3.4980000000000002"/>
    <n v="1.3740000000000001"/>
  </r>
  <r>
    <x v="1"/>
    <x v="14"/>
    <s v="S12000042"/>
    <n v="698"/>
    <n v="3028"/>
    <n v="3726"/>
    <n v="985"/>
    <n v="677"/>
    <n v="308"/>
    <n v="73575"/>
    <n v="5.0640000000000001"/>
    <n v="1.339"/>
    <n v="69610"/>
    <n v="5.3529999999999998"/>
    <n v="1.415"/>
  </r>
  <r>
    <x v="1"/>
    <x v="15"/>
    <s v="S12000010"/>
    <n v="737"/>
    <n v="511"/>
    <n v="1248"/>
    <n v="1234"/>
    <n v="708"/>
    <n v="526"/>
    <n v="45968"/>
    <n v="2.7149999999999999"/>
    <n v="2.6840000000000002"/>
    <n v="43981"/>
    <n v="2.8380000000000001"/>
    <n v="2.806"/>
  </r>
  <r>
    <x v="1"/>
    <x v="29"/>
    <s v="S12000014"/>
    <n v="533"/>
    <n v="1084"/>
    <n v="1617"/>
    <n v="774"/>
    <n v="573"/>
    <n v="201"/>
    <n v="72624"/>
    <n v="2.2269999999999999"/>
    <n v="1.0660000000000001"/>
    <n v="69693"/>
    <n v="2.3199999999999998"/>
    <n v="1.111"/>
  </r>
  <r>
    <x v="2"/>
    <x v="10"/>
    <s v="S12000045"/>
    <n v="662"/>
    <n v="793"/>
    <n v="1455"/>
    <n v="1092"/>
    <n v="844"/>
    <n v="248"/>
    <n v="45678"/>
    <n v="3.1850000000000001"/>
    <n v="2.391"/>
    <n v="45008"/>
    <n v="3.2330000000000001"/>
    <n v="2.4260000000000002"/>
  </r>
  <r>
    <x v="2"/>
    <x v="23"/>
    <s v="S12000013"/>
    <n v="114"/>
    <n v="205"/>
    <n v="319"/>
    <n v="185"/>
    <n v="144"/>
    <n v="41"/>
    <n v="14577"/>
    <n v="2.1880000000000002"/>
    <n v="1.2689999999999999"/>
    <n v="12968"/>
    <n v="2.46"/>
    <n v="1.427"/>
  </r>
  <r>
    <x v="2"/>
    <x v="11"/>
    <s v="S12000040"/>
    <n v="1092"/>
    <n v="779"/>
    <n v="1871"/>
    <n v="1710"/>
    <n v="1051"/>
    <n v="659"/>
    <n v="77834"/>
    <n v="2.4039999999999999"/>
    <n v="2.1970000000000001"/>
    <n v="75782"/>
    <n v="2.4689999999999999"/>
    <n v="2.2559999999999998"/>
  </r>
  <r>
    <x v="3"/>
    <x v="16"/>
    <s v="S12000018"/>
    <n v="797"/>
    <n v="1003"/>
    <n v="1800"/>
    <n v="1188"/>
    <n v="621"/>
    <n v="567"/>
    <n v="38835"/>
    <n v="4.6349999999999998"/>
    <n v="3.0590000000000002"/>
    <n v="37586"/>
    <n v="4.7889999999999997"/>
    <n v="3.161"/>
  </r>
  <r>
    <x v="3"/>
    <x v="17"/>
    <s v="S12000044"/>
    <n v="1400"/>
    <n v="2084"/>
    <n v="3484"/>
    <n v="2270"/>
    <n v="1722"/>
    <n v="548"/>
    <n v="153388"/>
    <n v="2.2709999999999999"/>
    <n v="1.48"/>
    <n v="150364"/>
    <n v="2.3170000000000002"/>
    <n v="1.51"/>
  </r>
  <r>
    <x v="3"/>
    <x v="18"/>
    <s v="S12000026"/>
    <n v="1359"/>
    <n v="1478"/>
    <n v="2837"/>
    <n v="2120"/>
    <n v="832"/>
    <n v="1288"/>
    <n v="57940"/>
    <n v="4.8959999999999999"/>
    <n v="3.6589999999999998"/>
    <n v="53787"/>
    <n v="5.2750000000000004"/>
    <n v="3.9409999999999998"/>
  </r>
  <r>
    <x v="4"/>
    <x v="30"/>
    <s v="S12000006"/>
    <n v="1115"/>
    <n v="836"/>
    <n v="1951"/>
    <n v="1617"/>
    <n v="1083"/>
    <n v="534"/>
    <n v="74687"/>
    <n v="2.6120000000000001"/>
    <n v="2.165"/>
    <n v="69503"/>
    <n v="2.8069999999999999"/>
    <n v="2.327"/>
  </r>
  <r>
    <x v="4"/>
    <x v="16"/>
    <s v="S12000018"/>
    <n v="712"/>
    <n v="764"/>
    <n v="1476"/>
    <n v="1023"/>
    <n v="621"/>
    <n v="402"/>
    <n v="38848"/>
    <n v="3.7989999999999999"/>
    <n v="2.633"/>
    <n v="37651"/>
    <n v="3.92"/>
    <n v="2.7170000000000001"/>
  </r>
  <r>
    <x v="4"/>
    <x v="17"/>
    <s v="S12000044"/>
    <n v="1327"/>
    <n v="1990"/>
    <n v="3317"/>
    <n v="2190"/>
    <n v="1744"/>
    <n v="446"/>
    <n v="154286"/>
    <n v="2.15"/>
    <n v="1.419"/>
    <n v="151155"/>
    <n v="2.194"/>
    <n v="1.4490000000000001"/>
  </r>
  <r>
    <x v="4"/>
    <x v="18"/>
    <s v="S12000026"/>
    <n v="1121"/>
    <n v="1263"/>
    <n v="2384"/>
    <n v="1720"/>
    <n v="779"/>
    <n v="941"/>
    <n v="58167"/>
    <n v="4.0990000000000002"/>
    <n v="2.9569999999999999"/>
    <n v="54306"/>
    <n v="4.3899999999999997"/>
    <n v="3.1669999999999998"/>
  </r>
  <r>
    <x v="4"/>
    <x v="31"/>
    <s v="S12000030"/>
    <n v="335"/>
    <n v="625"/>
    <n v="960"/>
    <n v="528"/>
    <n v="315"/>
    <n v="213"/>
    <n v="41250"/>
    <n v="2.327"/>
    <n v="1.28"/>
    <n v="39285"/>
    <n v="2.444"/>
    <n v="1.3440000000000001"/>
  </r>
  <r>
    <x v="5"/>
    <x v="10"/>
    <s v="S12000045"/>
    <n v="653"/>
    <n v="579"/>
    <n v="1232"/>
    <n v="1040"/>
    <n v="755"/>
    <n v="285"/>
    <n v="46721"/>
    <n v="2.637"/>
    <n v="2.226"/>
    <n v="46023"/>
    <n v="2.677"/>
    <n v="2.2599999999999998"/>
  </r>
  <r>
    <x v="5"/>
    <x v="23"/>
    <s v="S12000013"/>
    <n v="112"/>
    <n v="274"/>
    <n v="386"/>
    <n v="161"/>
    <n v="132"/>
    <n v="29"/>
    <n v="14706"/>
    <n v="2.625"/>
    <n v="1.095"/>
    <n v="12773"/>
    <n v="3.0219999999999998"/>
    <n v="1.26"/>
  </r>
  <r>
    <x v="5"/>
    <x v="3"/>
    <s v="S12000027"/>
    <n v="87"/>
    <n v="209"/>
    <n v="296"/>
    <n v="159"/>
    <n v="85"/>
    <n v="74"/>
    <n v="11270"/>
    <n v="2.6259999999999999"/>
    <n v="1.411"/>
    <n v="10384"/>
    <n v="2.851"/>
    <n v="1.5309999999999999"/>
  </r>
  <r>
    <x v="6"/>
    <x v="24"/>
    <s v="S12000017"/>
    <n v="591"/>
    <n v="2275"/>
    <n v="2866"/>
    <n v="985"/>
    <n v="522"/>
    <n v="463"/>
    <n v="119061"/>
    <n v="2.407"/>
    <n v="0.82699999999999996"/>
    <n v="109514"/>
    <n v="2.617"/>
    <n v="0.89900000000000002"/>
  </r>
  <r>
    <x v="6"/>
    <x v="31"/>
    <s v="S12000030"/>
    <n v="310"/>
    <n v="590"/>
    <n v="900"/>
    <n v="512"/>
    <n v="360"/>
    <n v="152"/>
    <n v="41638"/>
    <n v="2.161"/>
    <n v="1.23"/>
    <n v="39654"/>
    <n v="2.27"/>
    <n v="1.2909999999999999"/>
  </r>
  <r>
    <x v="0"/>
    <x v="30"/>
    <s v="S12000006"/>
    <n v="1064"/>
    <n v="392"/>
    <n v="1456"/>
    <n v="1422"/>
    <n v="882"/>
    <n v="540"/>
    <n v="73555"/>
    <n v="1.9790000000000001"/>
    <n v="1.9330000000000001"/>
    <n v="68682"/>
    <n v="2.12"/>
    <n v="2.0699999999999998"/>
  </r>
  <r>
    <x v="0"/>
    <x v="24"/>
    <s v="S12000017"/>
    <n v="1287"/>
    <n v="2547"/>
    <n v="3834"/>
    <n v="2041"/>
    <n v="1317"/>
    <n v="724"/>
    <n v="113703"/>
    <n v="3.3719999999999999"/>
    <n v="1.7949999999999999"/>
    <n v="104445"/>
    <n v="3.6709999999999998"/>
    <n v="1.954"/>
  </r>
  <r>
    <x v="0"/>
    <x v="16"/>
    <s v="S12000018"/>
    <n v="649"/>
    <n v="595"/>
    <n v="1244"/>
    <n v="980"/>
    <n v="626"/>
    <n v="354"/>
    <n v="38791"/>
    <n v="3.2069999999999999"/>
    <n v="2.5259999999999998"/>
    <n v="37337"/>
    <n v="3.3319999999999999"/>
    <n v="2.625"/>
  </r>
  <r>
    <x v="0"/>
    <x v="18"/>
    <s v="S12000026"/>
    <n v="1251"/>
    <n v="1347"/>
    <n v="2598"/>
    <n v="1993"/>
    <n v="947"/>
    <n v="1046"/>
    <n v="57097"/>
    <n v="4.55"/>
    <n v="3.4910000000000001"/>
    <n v="52934"/>
    <n v="4.9080000000000004"/>
    <n v="3.7650000000000001"/>
  </r>
  <r>
    <x v="0"/>
    <x v="31"/>
    <s v="S12000030"/>
    <n v="265"/>
    <n v="607"/>
    <n v="872"/>
    <n v="410"/>
    <n v="297"/>
    <n v="113"/>
    <n v="39965"/>
    <n v="2.1819999999999999"/>
    <n v="1.026"/>
    <n v="38056"/>
    <n v="2.2909999999999999"/>
    <n v="1.077"/>
  </r>
  <r>
    <x v="1"/>
    <x v="30"/>
    <s v="S12000006"/>
    <n v="897"/>
    <n v="629"/>
    <n v="1526"/>
    <n v="1215"/>
    <n v="765"/>
    <n v="450"/>
    <n v="73895"/>
    <n v="2.0649999999999999"/>
    <n v="1.6439999999999999"/>
    <n v="68818"/>
    <n v="2.2170000000000001"/>
    <n v="1.766"/>
  </r>
  <r>
    <x v="1"/>
    <x v="24"/>
    <s v="S12000017"/>
    <n v="962"/>
    <n v="2623"/>
    <n v="3585"/>
    <n v="1542"/>
    <n v="1042"/>
    <n v="500"/>
    <n v="114603"/>
    <n v="3.1280000000000001"/>
    <n v="1.3460000000000001"/>
    <n v="105711"/>
    <n v="3.391"/>
    <n v="1.4590000000000001"/>
  </r>
  <r>
    <x v="1"/>
    <x v="16"/>
    <s v="S12000018"/>
    <n v="673"/>
    <n v="631"/>
    <n v="1304"/>
    <n v="1022"/>
    <n v="636"/>
    <n v="386"/>
    <n v="38699"/>
    <n v="3.37"/>
    <n v="2.641"/>
    <n v="37384"/>
    <n v="3.488"/>
    <n v="2.734"/>
  </r>
  <r>
    <x v="1"/>
    <x v="18"/>
    <s v="S12000026"/>
    <n v="1229"/>
    <n v="1194"/>
    <n v="2423"/>
    <n v="1916"/>
    <n v="844"/>
    <n v="1072"/>
    <n v="57274"/>
    <n v="4.2309999999999999"/>
    <n v="3.3450000000000002"/>
    <n v="53157"/>
    <n v="4.5579999999999998"/>
    <n v="3.6040000000000001"/>
  </r>
  <r>
    <x v="1"/>
    <x v="31"/>
    <s v="S12000030"/>
    <n v="352"/>
    <n v="667"/>
    <n v="1019"/>
    <n v="557"/>
    <n v="391"/>
    <n v="166"/>
    <n v="40320"/>
    <n v="2.5270000000000001"/>
    <n v="1.381"/>
    <n v="38310"/>
    <n v="2.66"/>
    <n v="1.454"/>
  </r>
  <r>
    <x v="2"/>
    <x v="12"/>
    <s v="S12000036"/>
    <n v="2759"/>
    <n v="2546"/>
    <n v="5305"/>
    <n v="3843"/>
    <n v="2752"/>
    <n v="1091"/>
    <n v="241433"/>
    <n v="2.1970000000000001"/>
    <n v="1.5920000000000001"/>
    <n v="229650"/>
    <n v="2.31"/>
    <n v="1.673"/>
  </r>
  <r>
    <x v="2"/>
    <x v="22"/>
    <s v="S12000005"/>
    <n v="243"/>
    <n v="382"/>
    <n v="625"/>
    <n v="359"/>
    <n v="229"/>
    <n v="130"/>
    <n v="24114"/>
    <n v="2.5920000000000001"/>
    <n v="1.4890000000000001"/>
    <n v="23333"/>
    <n v="2.6789999999999998"/>
    <n v="1.5389999999999999"/>
  </r>
  <r>
    <x v="2"/>
    <x v="21"/>
    <s v="S12000011"/>
    <n v="587"/>
    <n v="1106"/>
    <n v="1693"/>
    <n v="890"/>
    <n v="640"/>
    <n v="250"/>
    <n v="38061"/>
    <n v="4.4480000000000004"/>
    <n v="2.3380000000000001"/>
    <n v="38270"/>
    <n v="4.4240000000000004"/>
    <n v="2.3260000000000001"/>
  </r>
  <r>
    <x v="2"/>
    <x v="0"/>
    <s v="S12000020"/>
    <n v="426"/>
    <n v="479"/>
    <n v="905"/>
    <n v="767"/>
    <n v="383"/>
    <n v="384"/>
    <n v="44096"/>
    <n v="2.052"/>
    <n v="1.7390000000000001"/>
    <n v="41641"/>
    <n v="2.173"/>
    <n v="1.8420000000000001"/>
  </r>
  <r>
    <x v="2"/>
    <x v="25"/>
    <s v="S12000023"/>
    <n v="134"/>
    <n v="192"/>
    <n v="326"/>
    <n v="201"/>
    <n v="109"/>
    <n v="92"/>
    <n v="10924"/>
    <n v="2.984"/>
    <n v="1.84"/>
    <n v="10146"/>
    <n v="3.2130000000000001"/>
    <n v="1.9810000000000001"/>
  </r>
  <r>
    <x v="3"/>
    <x v="19"/>
    <s v="S12000033"/>
    <n v="466"/>
    <n v="1427"/>
    <n v="1893"/>
    <n v="673"/>
    <n v="374"/>
    <n v="299"/>
    <n v="115080"/>
    <n v="1.645"/>
    <n v="0.58499999999999996"/>
    <n v="106749"/>
    <n v="1.7729999999999999"/>
    <n v="0.63"/>
  </r>
  <r>
    <x v="3"/>
    <x v="26"/>
    <s v="S12000035"/>
    <n v="630"/>
    <n v="925"/>
    <n v="1555"/>
    <n v="978"/>
    <n v="481"/>
    <n v="497"/>
    <n v="47780"/>
    <n v="3.254"/>
    <n v="2.0470000000000002"/>
    <n v="41040"/>
    <n v="3.7890000000000001"/>
    <n v="2.383"/>
  </r>
  <r>
    <x v="3"/>
    <x v="29"/>
    <s v="S12000014"/>
    <n v="570"/>
    <n v="980"/>
    <n v="1550"/>
    <n v="878"/>
    <n v="612"/>
    <n v="266"/>
    <n v="73767"/>
    <n v="2.101"/>
    <n v="1.19"/>
    <n v="71072"/>
    <n v="2.181"/>
    <n v="1.2350000000000001"/>
  </r>
  <r>
    <x v="3"/>
    <x v="2"/>
    <s v="S12000046"/>
    <n v="2486"/>
    <n v="3499"/>
    <n v="5985"/>
    <n v="3481"/>
    <n v="2532"/>
    <n v="949"/>
    <n v="306000"/>
    <n v="1.956"/>
    <n v="1.1379999999999999"/>
    <n v="289399"/>
    <n v="2.0680000000000001"/>
    <n v="1.2030000000000001"/>
  </r>
  <r>
    <x v="3"/>
    <x v="3"/>
    <s v="S12000027"/>
    <n v="86"/>
    <n v="283"/>
    <n v="369"/>
    <n v="160"/>
    <n v="90"/>
    <n v="70"/>
    <n v="11109"/>
    <n v="3.3220000000000001"/>
    <n v="1.44"/>
    <n v="10283"/>
    <n v="3.5880000000000001"/>
    <n v="1.556"/>
  </r>
  <r>
    <x v="3"/>
    <x v="27"/>
    <s v="S12000028"/>
    <n v="691"/>
    <n v="784"/>
    <n v="1475"/>
    <n v="1102"/>
    <n v="697"/>
    <n v="405"/>
    <n v="54942"/>
    <n v="2.6850000000000001"/>
    <n v="2.0059999999999998"/>
    <n v="51923"/>
    <n v="2.8410000000000002"/>
    <n v="2.1219999999999999"/>
  </r>
  <r>
    <x v="4"/>
    <x v="13"/>
    <s v="S12000041"/>
    <n v="469"/>
    <n v="1121"/>
    <n v="1590"/>
    <n v="650"/>
    <n v="434"/>
    <n v="216"/>
    <n v="56135"/>
    <n v="2.8319999999999999"/>
    <n v="1.1579999999999999"/>
    <n v="53627"/>
    <n v="2.9649999999999999"/>
    <n v="1.212"/>
  </r>
  <r>
    <x v="4"/>
    <x v="14"/>
    <s v="S12000042"/>
    <n v="662"/>
    <n v="2304"/>
    <n v="2966"/>
    <n v="915"/>
    <n v="626"/>
    <n v="289"/>
    <n v="74354"/>
    <n v="3.9889999999999999"/>
    <n v="1.2310000000000001"/>
    <n v="70049"/>
    <n v="4.234"/>
    <n v="1.306"/>
  </r>
  <r>
    <x v="4"/>
    <x v="29"/>
    <s v="S12000014"/>
    <n v="512"/>
    <n v="1083"/>
    <n v="1595"/>
    <n v="810"/>
    <n v="530"/>
    <n v="280"/>
    <n v="74361"/>
    <n v="2.145"/>
    <n v="1.089"/>
    <n v="71800"/>
    <n v="2.2210000000000001"/>
    <n v="1.1279999999999999"/>
  </r>
  <r>
    <x v="4"/>
    <x v="2"/>
    <s v="S12000046"/>
    <n v="2973"/>
    <n v="5059"/>
    <n v="8032"/>
    <n v="4071"/>
    <n v="3089"/>
    <n v="982"/>
    <n v="308293"/>
    <n v="2.605"/>
    <n v="1.32"/>
    <n v="291115"/>
    <n v="2.7589999999999999"/>
    <n v="1.3979999999999999"/>
  </r>
  <r>
    <x v="4"/>
    <x v="3"/>
    <s v="S12000027"/>
    <n v="113"/>
    <n v="212"/>
    <n v="325"/>
    <n v="204"/>
    <n v="128"/>
    <n v="76"/>
    <n v="11180"/>
    <n v="2.907"/>
    <n v="1.825"/>
    <n v="10341"/>
    <n v="3.1429999999999998"/>
    <n v="1.9730000000000001"/>
  </r>
  <r>
    <x v="5"/>
    <x v="19"/>
    <s v="S12000033"/>
    <n v="569"/>
    <n v="2176"/>
    <n v="2745"/>
    <n v="824"/>
    <n v="546"/>
    <n v="278"/>
    <n v="118131"/>
    <n v="2.3239999999999998"/>
    <n v="0.69799999999999995"/>
    <n v="107586"/>
    <n v="2.5510000000000002"/>
    <n v="0.76600000000000001"/>
  </r>
  <r>
    <x v="5"/>
    <x v="22"/>
    <s v="S12000005"/>
    <n v="219"/>
    <n v="372"/>
    <n v="591"/>
    <n v="317"/>
    <n v="235"/>
    <n v="82"/>
    <n v="24524"/>
    <n v="2.41"/>
    <n v="1.2929999999999999"/>
    <n v="23674"/>
    <n v="2.496"/>
    <n v="1.339"/>
  </r>
  <r>
    <x v="5"/>
    <x v="27"/>
    <s v="S12000028"/>
    <n v="437"/>
    <n v="687"/>
    <n v="1124"/>
    <n v="735"/>
    <n v="531"/>
    <n v="204"/>
    <n v="55486"/>
    <n v="2.0259999999999998"/>
    <n v="1.325"/>
    <n v="52281"/>
    <n v="2.15"/>
    <n v="1.4059999999999999"/>
  </r>
  <r>
    <x v="6"/>
    <x v="30"/>
    <s v="S12000006"/>
    <n v="870"/>
    <n v="839"/>
    <n v="1709"/>
    <n v="1262"/>
    <n v="824"/>
    <n v="438"/>
    <n v="75089"/>
    <n v="2.2759999999999998"/>
    <n v="1.681"/>
    <n v="69699"/>
    <n v="2.452"/>
    <n v="1.8109999999999999"/>
  </r>
  <r>
    <x v="0"/>
    <x v="26"/>
    <s v="S12000035"/>
    <n v="529"/>
    <n v="457"/>
    <n v="986"/>
    <n v="964"/>
    <n v="539"/>
    <n v="425"/>
    <n v="47336"/>
    <n v="2.0830000000000002"/>
    <n v="2.0369999999999999"/>
    <n v="40934"/>
    <n v="2.4089999999999998"/>
    <n v="2.355"/>
  </r>
  <r>
    <x v="0"/>
    <x v="12"/>
    <s v="S12000036"/>
    <n v="2962"/>
    <n v="2361"/>
    <n v="5323"/>
    <n v="4061"/>
    <n v="2668"/>
    <n v="1393"/>
    <n v="237524"/>
    <n v="2.2410000000000001"/>
    <n v="1.71"/>
    <n v="227222"/>
    <n v="2.343"/>
    <n v="1.7869999999999999"/>
  </r>
  <r>
    <x v="0"/>
    <x v="1"/>
    <s v="S12000015"/>
    <n v="3531"/>
    <n v="3068"/>
    <n v="6599"/>
    <n v="5634"/>
    <n v="3943"/>
    <n v="1691"/>
    <n v="171560"/>
    <n v="3.8460000000000001"/>
    <n v="3.2839999999999998"/>
    <n v="162200"/>
    <n v="4.0679999999999996"/>
    <n v="3.4729999999999999"/>
  </r>
  <r>
    <x v="0"/>
    <x v="23"/>
    <s v="S12000013"/>
    <n v="123"/>
    <n v="226"/>
    <n v="349"/>
    <n v="196"/>
    <n v="181"/>
    <n v="15"/>
    <n v="14490"/>
    <n v="2.4089999999999998"/>
    <n v="1.353"/>
    <n v="12924"/>
    <n v="2.7"/>
    <n v="1.5169999999999999"/>
  </r>
  <r>
    <x v="0"/>
    <x v="17"/>
    <s v="S12000044"/>
    <n v="1381"/>
    <n v="1452"/>
    <n v="2833"/>
    <n v="2357"/>
    <n v="1819"/>
    <n v="538"/>
    <n v="150541"/>
    <n v="1.8819999999999999"/>
    <n v="1.5660000000000001"/>
    <n v="147554"/>
    <n v="1.92"/>
    <n v="1.597"/>
  </r>
  <r>
    <x v="0"/>
    <x v="25"/>
    <s v="S12000023"/>
    <n v="115"/>
    <n v="150"/>
    <n v="265"/>
    <n v="247"/>
    <n v="183"/>
    <n v="64"/>
    <n v="10717"/>
    <n v="2.4729999999999999"/>
    <n v="2.3050000000000002"/>
    <n v="9945"/>
    <n v="2.665"/>
    <n v="2.484"/>
  </r>
  <r>
    <x v="1"/>
    <x v="25"/>
    <s v="S12000023"/>
    <n v="87"/>
    <n v="161"/>
    <n v="248"/>
    <n v="145"/>
    <n v="64"/>
    <n v="81"/>
    <n v="10816"/>
    <n v="2.2930000000000001"/>
    <n v="1.341"/>
    <n v="10042"/>
    <n v="2.4700000000000002"/>
    <n v="1.444"/>
  </r>
  <r>
    <x v="2"/>
    <x v="13"/>
    <s v="S12000041"/>
    <n v="485"/>
    <n v="1685"/>
    <n v="2170"/>
    <n v="724"/>
    <n v="462"/>
    <n v="262"/>
    <n v="55619"/>
    <n v="3.9020000000000001"/>
    <n v="1.302"/>
    <n v="53142"/>
    <n v="4.0830000000000002"/>
    <n v="1.3620000000000001"/>
  </r>
  <r>
    <x v="2"/>
    <x v="30"/>
    <s v="S12000006"/>
    <n v="1086"/>
    <n v="1068"/>
    <n v="2154"/>
    <n v="1481"/>
    <n v="923"/>
    <n v="558"/>
    <n v="74190"/>
    <n v="2.903"/>
    <n v="1.996"/>
    <n v="68999"/>
    <n v="3.1219999999999999"/>
    <n v="2.1459999999999999"/>
  </r>
  <r>
    <x v="2"/>
    <x v="31"/>
    <s v="S12000030"/>
    <n v="358"/>
    <n v="653"/>
    <n v="1011"/>
    <n v="565"/>
    <n v="384"/>
    <n v="181"/>
    <n v="40646"/>
    <n v="2.4870000000000001"/>
    <n v="1.39"/>
    <n v="38665"/>
    <n v="2.6150000000000002"/>
    <n v="1.4610000000000001"/>
  </r>
  <r>
    <x v="3"/>
    <x v="14"/>
    <s v="S12000042"/>
    <n v="870"/>
    <n v="3054"/>
    <n v="3924"/>
    <n v="1200"/>
    <n v="823"/>
    <n v="377"/>
    <n v="74026"/>
    <n v="5.3010000000000002"/>
    <n v="1.621"/>
    <n v="69635"/>
    <n v="5.6349999999999998"/>
    <n v="1.7230000000000001"/>
  </r>
  <r>
    <x v="3"/>
    <x v="20"/>
    <s v="S12000008"/>
    <n v="574"/>
    <n v="681"/>
    <n v="1255"/>
    <n v="948"/>
    <n v="584"/>
    <n v="364"/>
    <n v="57873"/>
    <n v="2.169"/>
    <n v="1.6379999999999999"/>
    <n v="54748"/>
    <n v="2.2919999999999998"/>
    <n v="1.732"/>
  </r>
  <r>
    <x v="3"/>
    <x v="15"/>
    <s v="S12000010"/>
    <n v="596"/>
    <n v="578"/>
    <n v="1174"/>
    <n v="972"/>
    <n v="608"/>
    <n v="364"/>
    <n v="46672"/>
    <n v="2.5150000000000001"/>
    <n v="2.0830000000000002"/>
    <n v="44749"/>
    <n v="2.6240000000000001"/>
    <n v="2.1720000000000002"/>
  </r>
  <r>
    <x v="3"/>
    <x v="4"/>
    <s v="S12000019"/>
    <n v="528"/>
    <n v="438"/>
    <n v="966"/>
    <n v="840"/>
    <n v="416"/>
    <n v="424"/>
    <n v="39297"/>
    <n v="2.4580000000000002"/>
    <n v="2.1379999999999999"/>
    <n v="37766"/>
    <n v="2.5579999999999998"/>
    <n v="2.2240000000000002"/>
  </r>
  <r>
    <x v="3"/>
    <x v="5"/>
    <s v="S12000021"/>
    <n v="905"/>
    <n v="1053"/>
    <n v="1958"/>
    <n v="1406"/>
    <n v="831"/>
    <n v="575"/>
    <n v="67800"/>
    <n v="2.8879999999999999"/>
    <n v="2.0739999999999998"/>
    <n v="63440"/>
    <n v="3.0859999999999999"/>
    <n v="2.2160000000000002"/>
  </r>
  <r>
    <x v="3"/>
    <x v="6"/>
    <s v="S12000024"/>
    <n v="466"/>
    <n v="1489"/>
    <n v="1955"/>
    <n v="660"/>
    <n v="375"/>
    <n v="285"/>
    <n v="71347"/>
    <n v="2.74"/>
    <n v="0.92500000000000004"/>
    <n v="67101"/>
    <n v="2.9140000000000001"/>
    <n v="0.98399999999999999"/>
  </r>
  <r>
    <x v="4"/>
    <x v="20"/>
    <s v="S12000008"/>
    <n v="485"/>
    <n v="664"/>
    <n v="1149"/>
    <n v="814"/>
    <n v="538"/>
    <n v="276"/>
    <n v="58158"/>
    <n v="1.976"/>
    <n v="1.4"/>
    <n v="54873"/>
    <n v="2.0939999999999999"/>
    <n v="1.4830000000000001"/>
  </r>
  <r>
    <x v="4"/>
    <x v="21"/>
    <s v="S12000011"/>
    <n v="604"/>
    <n v="662"/>
    <n v="1266"/>
    <n v="894"/>
    <n v="700"/>
    <n v="194"/>
    <n v="38677"/>
    <n v="3.2730000000000001"/>
    <n v="2.3109999999999999"/>
    <n v="38899"/>
    <n v="3.2549999999999999"/>
    <n v="2.298"/>
  </r>
  <r>
    <x v="4"/>
    <x v="4"/>
    <s v="S12000019"/>
    <n v="489"/>
    <n v="509"/>
    <n v="998"/>
    <n v="797"/>
    <n v="349"/>
    <n v="448"/>
    <n v="39937"/>
    <n v="2.4990000000000001"/>
    <n v="1.996"/>
    <n v="38557"/>
    <n v="2.5880000000000001"/>
    <n v="2.0670000000000002"/>
  </r>
  <r>
    <x v="4"/>
    <x v="0"/>
    <s v="S12000020"/>
    <n v="609"/>
    <n v="826"/>
    <n v="1435"/>
    <n v="1076"/>
    <n v="554"/>
    <n v="522"/>
    <n v="44838"/>
    <n v="3.2"/>
    <n v="2.4"/>
    <n v="42269"/>
    <n v="3.395"/>
    <n v="2.5459999999999998"/>
  </r>
  <r>
    <x v="4"/>
    <x v="5"/>
    <s v="S12000021"/>
    <n v="805"/>
    <n v="932"/>
    <n v="1737"/>
    <n v="1279"/>
    <n v="822"/>
    <n v="457"/>
    <n v="67960"/>
    <n v="2.556"/>
    <n v="1.8819999999999999"/>
    <n v="63756"/>
    <n v="2.7240000000000002"/>
    <n v="2.0059999999999998"/>
  </r>
  <r>
    <x v="5"/>
    <x v="28"/>
    <s v="S12000039"/>
    <n v="556"/>
    <n v="1008"/>
    <n v="1564"/>
    <n v="827"/>
    <n v="642"/>
    <n v="185"/>
    <n v="45228"/>
    <n v="3.4580000000000002"/>
    <n v="1.829"/>
    <n v="42868"/>
    <n v="3.6480000000000001"/>
    <n v="1.929"/>
  </r>
  <r>
    <x v="5"/>
    <x v="11"/>
    <s v="S12000040"/>
    <n v="851"/>
    <n v="1470"/>
    <n v="2321"/>
    <n v="1286"/>
    <n v="780"/>
    <n v="506"/>
    <n v="79854"/>
    <n v="2.907"/>
    <n v="1.61"/>
    <n v="77953"/>
    <n v="2.9769999999999999"/>
    <n v="1.65"/>
  </r>
  <r>
    <x v="6"/>
    <x v="12"/>
    <s v="S12000036"/>
    <n v="1501"/>
    <n v="3440"/>
    <n v="4941"/>
    <n v="2169"/>
    <n v="1591"/>
    <n v="578"/>
    <n v="252731"/>
    <n v="1.9550000000000001"/>
    <n v="0.85799999999999998"/>
    <n v="238269"/>
    <n v="2.0739999999999998"/>
    <n v="0.91"/>
  </r>
  <r>
    <x v="6"/>
    <x v="22"/>
    <s v="S12000005"/>
    <n v="292"/>
    <n v="379"/>
    <n v="671"/>
    <n v="495"/>
    <n v="445"/>
    <n v="50"/>
    <n v="24716"/>
    <n v="2.7149999999999999"/>
    <n v="2.0030000000000001"/>
    <n v="23890"/>
    <n v="2.8090000000000002"/>
    <n v="2.0720000000000001"/>
  </r>
  <r>
    <x v="6"/>
    <x v="21"/>
    <s v="S12000011"/>
    <n v="366"/>
    <n v="587"/>
    <n v="953"/>
    <n v="569"/>
    <n v="397"/>
    <n v="172"/>
    <n v="39144"/>
    <n v="2.4350000000000001"/>
    <n v="1.454"/>
    <n v="39345"/>
    <n v="2.4220000000000002"/>
    <n v="1.446"/>
  </r>
  <r>
    <x v="6"/>
    <x v="1"/>
    <s v="S12000015"/>
    <n v="2532"/>
    <n v="3908"/>
    <n v="6440"/>
    <n v="3982"/>
    <n v="2724"/>
    <n v="1258"/>
    <n v="178183"/>
    <n v="3.6139999999999999"/>
    <n v="2.2349999999999999"/>
    <n v="169239"/>
    <n v="3.8050000000000002"/>
    <n v="2.3530000000000002"/>
  </r>
  <r>
    <x v="6"/>
    <x v="23"/>
    <s v="S12000013"/>
    <n v="67"/>
    <n v="235"/>
    <n v="302"/>
    <n v="111"/>
    <n v="69"/>
    <n v="42"/>
    <n v="14734"/>
    <n v="2.0499999999999998"/>
    <n v="0.753"/>
    <n v="12833"/>
    <n v="2.3530000000000002"/>
    <n v="0.86499999999999999"/>
  </r>
  <r>
    <x v="0"/>
    <x v="9"/>
    <s v="S12000034"/>
    <n v="567"/>
    <n v="789"/>
    <n v="1356"/>
    <n v="888"/>
    <n v="497"/>
    <n v="391"/>
    <n v="112867"/>
    <n v="1.2010000000000001"/>
    <n v="0.78700000000000003"/>
    <n v="107128"/>
    <n v="1.266"/>
    <n v="0.82899999999999996"/>
  </r>
  <r>
    <x v="0"/>
    <x v="22"/>
    <s v="S12000005"/>
    <n v="354"/>
    <n v="518"/>
    <n v="872"/>
    <n v="542"/>
    <n v="391"/>
    <n v="151"/>
    <n v="23894"/>
    <n v="3.649"/>
    <n v="2.2679999999999998"/>
    <n v="22978"/>
    <n v="3.7949999999999999"/>
    <n v="2.359"/>
  </r>
  <r>
    <x v="0"/>
    <x v="7"/>
    <s v="S12000038"/>
    <n v="1045"/>
    <n v="832"/>
    <n v="1877"/>
    <n v="1726"/>
    <n v="1240"/>
    <n v="486"/>
    <n v="83933"/>
    <n v="2.2360000000000002"/>
    <n v="2.056"/>
    <n v="81787"/>
    <n v="2.2949999999999999"/>
    <n v="2.11"/>
  </r>
  <r>
    <x v="0"/>
    <x v="27"/>
    <s v="S12000028"/>
    <n v="601"/>
    <n v="462"/>
    <n v="1063"/>
    <n v="1007"/>
    <n v="577"/>
    <n v="430"/>
    <n v="54385"/>
    <n v="1.9550000000000001"/>
    <n v="1.8520000000000001"/>
    <n v="51654"/>
    <n v="2.0579999999999998"/>
    <n v="1.95"/>
  </r>
  <r>
    <x v="0"/>
    <x v="8"/>
    <s v="S12000029"/>
    <n v="1230"/>
    <n v="1647"/>
    <n v="2877"/>
    <n v="2059"/>
    <n v="1474"/>
    <n v="585"/>
    <n v="146110"/>
    <n v="1.9690000000000001"/>
    <n v="1.409"/>
    <n v="141129"/>
    <n v="2.0390000000000001"/>
    <n v="1.4590000000000001"/>
  </r>
  <r>
    <x v="0"/>
    <x v="11"/>
    <s v="S12000040"/>
    <n v="1381"/>
    <n v="546"/>
    <n v="1927"/>
    <n v="2262"/>
    <n v="1141"/>
    <n v="1121"/>
    <n v="76473"/>
    <n v="2.52"/>
    <n v="2.9580000000000002"/>
    <n v="74335"/>
    <n v="2.5920000000000001"/>
    <n v="3.0430000000000001"/>
  </r>
  <r>
    <x v="1"/>
    <x v="9"/>
    <s v="S12000034"/>
    <n v="617"/>
    <n v="831"/>
    <n v="1448"/>
    <n v="1003"/>
    <n v="609"/>
    <n v="394"/>
    <n v="114086"/>
    <n v="1.2689999999999999"/>
    <n v="0.879"/>
    <n v="108381"/>
    <n v="1.3360000000000001"/>
    <n v="0.92500000000000004"/>
  </r>
  <r>
    <x v="1"/>
    <x v="26"/>
    <s v="S12000035"/>
    <n v="498"/>
    <n v="680"/>
    <n v="1178"/>
    <n v="826"/>
    <n v="412"/>
    <n v="414"/>
    <n v="47500"/>
    <n v="2.48"/>
    <n v="1.7390000000000001"/>
    <n v="40857"/>
    <n v="2.883"/>
    <n v="2.0219999999999998"/>
  </r>
  <r>
    <x v="1"/>
    <x v="20"/>
    <s v="S12000008"/>
    <n v="467"/>
    <n v="836"/>
    <n v="1303"/>
    <n v="762"/>
    <n v="506"/>
    <n v="256"/>
    <n v="57324"/>
    <n v="2.2730000000000001"/>
    <n v="1.329"/>
    <n v="54401"/>
    <n v="2.395"/>
    <n v="1.401"/>
  </r>
  <r>
    <x v="1"/>
    <x v="4"/>
    <s v="S12000019"/>
    <n v="479"/>
    <n v="491"/>
    <n v="970"/>
    <n v="737"/>
    <n v="465"/>
    <n v="272"/>
    <n v="38159"/>
    <n v="2.5419999999999998"/>
    <n v="1.931"/>
    <n v="36602"/>
    <n v="2.65"/>
    <n v="2.0139999999999998"/>
  </r>
  <r>
    <x v="1"/>
    <x v="5"/>
    <s v="S12000021"/>
    <n v="901"/>
    <n v="964"/>
    <n v="1865"/>
    <n v="1483"/>
    <n v="932"/>
    <n v="551"/>
    <n v="67204"/>
    <n v="2.7749999999999999"/>
    <n v="2.2069999999999999"/>
    <n v="62802"/>
    <n v="2.97"/>
    <n v="2.3610000000000002"/>
  </r>
  <r>
    <x v="1"/>
    <x v="27"/>
    <s v="S12000028"/>
    <n v="608"/>
    <n v="517"/>
    <n v="1125"/>
    <n v="1033"/>
    <n v="715"/>
    <n v="318"/>
    <n v="54489"/>
    <n v="2.0649999999999999"/>
    <n v="1.8959999999999999"/>
    <n v="51874"/>
    <n v="2.169"/>
    <n v="1.9910000000000001"/>
  </r>
  <r>
    <x v="1"/>
    <x v="8"/>
    <s v="S12000029"/>
    <n v="1155"/>
    <n v="1979"/>
    <n v="3134"/>
    <n v="1884"/>
    <n v="1410"/>
    <n v="474"/>
    <n v="146925"/>
    <n v="2.133"/>
    <n v="1.282"/>
    <n v="142286"/>
    <n v="2.2029999999999998"/>
    <n v="1.3240000000000001"/>
  </r>
  <r>
    <x v="1"/>
    <x v="28"/>
    <s v="S12000039"/>
    <n v="402"/>
    <n v="519"/>
    <n v="921"/>
    <n v="631"/>
    <n v="471"/>
    <n v="160"/>
    <n v="44734"/>
    <n v="2.0590000000000002"/>
    <n v="1.411"/>
    <n v="42353"/>
    <n v="2.1749999999999998"/>
    <n v="1.49"/>
  </r>
  <r>
    <x v="1"/>
    <x v="11"/>
    <s v="S12000040"/>
    <n v="1103"/>
    <n v="638"/>
    <n v="1741"/>
    <n v="1780"/>
    <n v="967"/>
    <n v="813"/>
    <n v="77186"/>
    <n v="2.2559999999999998"/>
    <n v="2.306"/>
    <n v="75035"/>
    <n v="2.3199999999999998"/>
    <n v="2.3719999999999999"/>
  </r>
  <r>
    <x v="2"/>
    <x v="29"/>
    <s v="S12000014"/>
    <n v="552"/>
    <n v="1153"/>
    <n v="1705"/>
    <n v="838"/>
    <n v="631"/>
    <n v="207"/>
    <n v="73290"/>
    <n v="2.3260000000000001"/>
    <n v="1.143"/>
    <n v="70431"/>
    <n v="2.4209999999999998"/>
    <n v="1.19"/>
  </r>
  <r>
    <x v="2"/>
    <x v="1"/>
    <s v="S12000015"/>
    <n v="3204"/>
    <n v="3874"/>
    <n v="7078"/>
    <n v="5034"/>
    <n v="3231"/>
    <n v="1803"/>
    <n v="173366"/>
    <n v="4.0830000000000002"/>
    <n v="2.9039999999999999"/>
    <n v="164705"/>
    <n v="4.2969999999999997"/>
    <n v="3.056"/>
  </r>
  <r>
    <x v="2"/>
    <x v="2"/>
    <s v="S12000046"/>
    <n v="2649"/>
    <n v="3737"/>
    <n v="6386"/>
    <n v="3820"/>
    <n v="2864"/>
    <n v="956"/>
    <n v="304013"/>
    <n v="2.101"/>
    <n v="1.2569999999999999"/>
    <n v="287862"/>
    <n v="2.218"/>
    <n v="1.327"/>
  </r>
  <r>
    <x v="2"/>
    <x v="16"/>
    <s v="S12000018"/>
    <n v="758"/>
    <n v="936"/>
    <n v="1694"/>
    <n v="1081"/>
    <n v="685"/>
    <n v="396"/>
    <n v="38787"/>
    <n v="4.367"/>
    <n v="2.7869999999999999"/>
    <n v="37426"/>
    <n v="4.5259999999999998"/>
    <n v="2.8879999999999999"/>
  </r>
  <r>
    <x v="2"/>
    <x v="17"/>
    <s v="S12000044"/>
    <n v="1654"/>
    <n v="2505"/>
    <n v="4159"/>
    <n v="2755"/>
    <n v="2213"/>
    <n v="542"/>
    <n v="152293"/>
    <n v="2.7309999999999999"/>
    <n v="1.8089999999999999"/>
    <n v="149282"/>
    <n v="2.786"/>
    <n v="1.8460000000000001"/>
  </r>
  <r>
    <x v="3"/>
    <x v="24"/>
    <s v="S12000017"/>
    <n v="1215"/>
    <n v="3439"/>
    <n v="4654"/>
    <n v="1906"/>
    <n v="1204"/>
    <n v="702"/>
    <n v="116453"/>
    <n v="3.996"/>
    <n v="1.637"/>
    <n v="107573"/>
    <n v="4.3259999999999996"/>
    <n v="1.772"/>
  </r>
  <r>
    <x v="3"/>
    <x v="0"/>
    <s v="S12000020"/>
    <n v="768"/>
    <n v="1016"/>
    <n v="1784"/>
    <n v="1356"/>
    <n v="709"/>
    <n v="647"/>
    <n v="44454"/>
    <n v="4.0129999999999999"/>
    <n v="3.05"/>
    <n v="41961"/>
    <n v="4.2519999999999998"/>
    <n v="3.2320000000000002"/>
  </r>
  <r>
    <x v="4"/>
    <x v="19"/>
    <s v="S12000033"/>
    <n v="478"/>
    <n v="1669"/>
    <n v="2147"/>
    <n v="692"/>
    <n v="432"/>
    <n v="260"/>
    <n v="116821"/>
    <n v="1.8380000000000001"/>
    <n v="0.59199999999999997"/>
    <n v="106802"/>
    <n v="2.0099999999999998"/>
    <n v="0.64800000000000002"/>
  </r>
  <r>
    <x v="4"/>
    <x v="24"/>
    <s v="S12000017"/>
    <n v="1288"/>
    <n v="3926"/>
    <n v="5214"/>
    <n v="2127"/>
    <n v="1385"/>
    <n v="742"/>
    <n v="117291"/>
    <n v="4.4450000000000003"/>
    <n v="1.8129999999999999"/>
    <n v="108319"/>
    <n v="4.8140000000000001"/>
    <n v="1.964"/>
  </r>
  <r>
    <x v="4"/>
    <x v="6"/>
    <s v="S12000024"/>
    <n v="484"/>
    <n v="1014"/>
    <n v="1498"/>
    <n v="716"/>
    <n v="451"/>
    <n v="265"/>
    <n v="71810"/>
    <n v="2.0859999999999999"/>
    <n v="0.997"/>
    <n v="67618"/>
    <n v="2.2149999999999999"/>
    <n v="1.0589999999999999"/>
  </r>
  <r>
    <x v="5"/>
    <x v="26"/>
    <s v="S12000035"/>
    <n v="531"/>
    <n v="939"/>
    <n v="1470"/>
    <n v="831"/>
    <n v="480"/>
    <n v="351"/>
    <n v="48020"/>
    <n v="3.0609999999999999"/>
    <n v="1.7310000000000001"/>
    <n v="41630"/>
    <n v="3.5310000000000001"/>
    <n v="1.996"/>
  </r>
  <r>
    <x v="5"/>
    <x v="30"/>
    <s v="S12000006"/>
    <n v="1028"/>
    <n v="721"/>
    <n v="1749"/>
    <n v="1554"/>
    <n v="1107"/>
    <n v="447"/>
    <n v="74823"/>
    <n v="2.3380000000000001"/>
    <n v="2.077"/>
    <n v="69586"/>
    <n v="2.5129999999999999"/>
    <n v="2.2330000000000001"/>
  </r>
  <r>
    <x v="5"/>
    <x v="29"/>
    <s v="S12000014"/>
    <n v="533"/>
    <n v="1326"/>
    <n v="1859"/>
    <n v="798"/>
    <n v="606"/>
    <n v="192"/>
    <n v="74826"/>
    <n v="2.484"/>
    <n v="1.0660000000000001"/>
    <n v="72267"/>
    <n v="2.5720000000000001"/>
    <n v="1.1040000000000001"/>
  </r>
  <r>
    <x v="5"/>
    <x v="1"/>
    <s v="S12000015"/>
    <n v="2778"/>
    <n v="3429"/>
    <n v="6207"/>
    <n v="4403"/>
    <n v="2925"/>
    <n v="1478"/>
    <n v="177084"/>
    <n v="3.5049999999999999"/>
    <n v="2.4860000000000002"/>
    <n v="167944"/>
    <n v="3.6960000000000002"/>
    <n v="2.6219999999999999"/>
  </r>
  <r>
    <x v="5"/>
    <x v="2"/>
    <s v="S12000046"/>
    <n v="2993"/>
    <n v="7060"/>
    <n v="10053"/>
    <n v="4151"/>
    <n v="3265"/>
    <n v="886"/>
    <n v="311447"/>
    <n v="3.2280000000000002"/>
    <n v="1.333"/>
    <n v="292619"/>
    <n v="3.4359999999999999"/>
    <n v="1.419"/>
  </r>
  <r>
    <x v="5"/>
    <x v="16"/>
    <s v="S12000018"/>
    <n v="635"/>
    <n v="894"/>
    <n v="1529"/>
    <n v="935"/>
    <n v="575"/>
    <n v="360"/>
    <n v="38985"/>
    <n v="3.9220000000000002"/>
    <n v="2.3980000000000001"/>
    <n v="37640"/>
    <n v="4.0620000000000003"/>
    <n v="2.484"/>
  </r>
  <r>
    <x v="5"/>
    <x v="17"/>
    <s v="S12000044"/>
    <n v="1248"/>
    <n v="2019"/>
    <n v="3267"/>
    <n v="2042"/>
    <n v="1614"/>
    <n v="428"/>
    <n v="155364"/>
    <n v="2.1030000000000002"/>
    <n v="1.3140000000000001"/>
    <n v="151744"/>
    <n v="2.153"/>
    <n v="1.3460000000000001"/>
  </r>
  <r>
    <x v="6"/>
    <x v="19"/>
    <s v="S12000033"/>
    <n v="392"/>
    <n v="2272"/>
    <n v="2664"/>
    <n v="590"/>
    <n v="391"/>
    <n v="199"/>
    <n v="119523"/>
    <n v="2.2290000000000001"/>
    <n v="0.49399999999999999"/>
    <n v="108381"/>
    <n v="2.4580000000000002"/>
    <n v="0.54400000000000004"/>
  </r>
  <r>
    <x v="6"/>
    <x v="7"/>
    <s v="S12000038"/>
    <n v="774"/>
    <n v="1023"/>
    <n v="1797"/>
    <n v="1182"/>
    <n v="786"/>
    <n v="396"/>
    <n v="88086"/>
    <n v="2.04"/>
    <n v="1.3420000000000001"/>
    <n v="86683"/>
    <n v="2.073"/>
    <n v="1.3640000000000001"/>
  </r>
</pivotCacheRecords>
</file>

<file path=xl/pivotCache/pivotCacheRecords13.xml><?xml version="1.0" encoding="utf-8"?>
<pivotCacheRecords xmlns="http://schemas.openxmlformats.org/spreadsheetml/2006/main" xmlns:r="http://schemas.openxmlformats.org/officeDocument/2006/relationships" count="32">
  <r>
    <x v="0"/>
    <s v="S12000033"/>
    <n v="8"/>
    <n v="1"/>
    <n v="1"/>
    <n v="1"/>
    <m/>
  </r>
  <r>
    <x v="1"/>
    <s v="S12000034"/>
    <n v="1"/>
    <n v="3"/>
    <n v="1"/>
    <n v="1"/>
    <n v="3"/>
  </r>
  <r>
    <x v="2"/>
    <s v="S12000041"/>
    <m/>
    <m/>
    <m/>
    <m/>
    <m/>
  </r>
  <r>
    <x v="3"/>
    <s v="S12000035"/>
    <n v="1"/>
    <n v="3"/>
    <m/>
    <n v="1"/>
    <m/>
  </r>
  <r>
    <x v="4"/>
    <s v="S12000036"/>
    <n v="6"/>
    <n v="5"/>
    <n v="2"/>
    <n v="8"/>
    <n v="6"/>
  </r>
  <r>
    <x v="5"/>
    <s v="S12000005"/>
    <n v="1"/>
    <m/>
    <m/>
    <m/>
    <m/>
  </r>
  <r>
    <x v="6"/>
    <s v="S12000006"/>
    <n v="2"/>
    <n v="1"/>
    <m/>
    <m/>
    <n v="3"/>
  </r>
  <r>
    <x v="7"/>
    <s v="S12000042"/>
    <n v="2"/>
    <n v="9"/>
    <n v="3"/>
    <n v="3"/>
    <n v="3"/>
  </r>
  <r>
    <x v="8"/>
    <s v="S12000008"/>
    <n v="3"/>
    <n v="1"/>
    <n v="1"/>
    <n v="3"/>
    <m/>
  </r>
  <r>
    <x v="9"/>
    <s v="S12000045"/>
    <n v="1"/>
    <n v="3"/>
    <m/>
    <n v="4"/>
    <m/>
  </r>
  <r>
    <x v="10"/>
    <s v="S12000010"/>
    <n v="2"/>
    <n v="2"/>
    <m/>
    <m/>
    <m/>
  </r>
  <r>
    <x v="11"/>
    <s v="S12000011"/>
    <m/>
    <m/>
    <m/>
    <m/>
    <m/>
  </r>
  <r>
    <x v="12"/>
    <s v="S12000014"/>
    <n v="5"/>
    <n v="2"/>
    <m/>
    <m/>
    <m/>
  </r>
  <r>
    <x v="13"/>
    <s v="S12000047"/>
    <n v="6"/>
    <m/>
    <n v="3"/>
    <n v="6"/>
    <n v="2"/>
  </r>
  <r>
    <x v="14"/>
    <s v="S12000049"/>
    <n v="16"/>
    <n v="19"/>
    <n v="20"/>
    <n v="23"/>
    <n v="12"/>
  </r>
  <r>
    <x v="15"/>
    <s v="S12000017"/>
    <n v="2"/>
    <n v="1"/>
    <m/>
    <m/>
    <m/>
  </r>
  <r>
    <x v="16"/>
    <s v="S12000018"/>
    <n v="4"/>
    <n v="4"/>
    <n v="3"/>
    <n v="2"/>
    <n v="1"/>
  </r>
  <r>
    <x v="17"/>
    <s v="S12000019"/>
    <m/>
    <n v="3"/>
    <n v="2"/>
    <n v="1"/>
    <n v="3"/>
  </r>
  <r>
    <x v="18"/>
    <s v="S12000020"/>
    <m/>
    <m/>
    <m/>
    <n v="1"/>
    <n v="3"/>
  </r>
  <r>
    <x v="19"/>
    <s v="S12000013"/>
    <m/>
    <m/>
    <m/>
    <m/>
    <m/>
  </r>
  <r>
    <x v="20"/>
    <s v="S12000021"/>
    <n v="4"/>
    <n v="5"/>
    <n v="2"/>
    <n v="2"/>
    <n v="3"/>
  </r>
  <r>
    <x v="21"/>
    <s v="S12000050"/>
    <n v="7"/>
    <n v="3"/>
    <n v="6"/>
    <n v="3"/>
    <n v="8"/>
  </r>
  <r>
    <x v="22"/>
    <s v="S12000023"/>
    <m/>
    <m/>
    <m/>
    <m/>
    <m/>
  </r>
  <r>
    <x v="23"/>
    <s v="S12000024"/>
    <m/>
    <m/>
    <m/>
    <m/>
    <m/>
  </r>
  <r>
    <x v="24"/>
    <s v="S12000038"/>
    <n v="3"/>
    <n v="2"/>
    <n v="1"/>
    <n v="1"/>
    <n v="2"/>
  </r>
  <r>
    <x v="25"/>
    <s v="S12000026"/>
    <m/>
    <n v="2"/>
    <n v="3"/>
    <n v="3"/>
    <n v="1"/>
  </r>
  <r>
    <x v="26"/>
    <s v="S12000027"/>
    <m/>
    <m/>
    <m/>
    <m/>
    <m/>
  </r>
  <r>
    <x v="27"/>
    <s v="S12000028"/>
    <n v="3"/>
    <m/>
    <n v="1"/>
    <m/>
    <m/>
  </r>
  <r>
    <x v="28"/>
    <s v="S12000029"/>
    <n v="5"/>
    <n v="2"/>
    <m/>
    <n v="1"/>
    <n v="1"/>
  </r>
  <r>
    <x v="29"/>
    <s v="S12000030"/>
    <n v="2"/>
    <n v="3"/>
    <m/>
    <n v="1"/>
    <m/>
  </r>
  <r>
    <x v="30"/>
    <s v="S12000039"/>
    <n v="2"/>
    <n v="1"/>
    <m/>
    <n v="2"/>
    <m/>
  </r>
  <r>
    <x v="31"/>
    <s v="S12000040"/>
    <n v="4"/>
    <n v="3"/>
    <n v="4"/>
    <n v="5"/>
    <n v="2"/>
  </r>
</pivotCacheRecords>
</file>

<file path=xl/pivotCache/pivotCacheRecords14.xml><?xml version="1.0" encoding="utf-8"?>
<pivotCacheRecords xmlns="http://schemas.openxmlformats.org/spreadsheetml/2006/main" xmlns:r="http://schemas.openxmlformats.org/officeDocument/2006/relationships" count="10">
  <r>
    <x v="0"/>
    <x v="0"/>
    <x v="0"/>
    <n v="0"/>
    <n v="0"/>
    <n v="0"/>
    <n v="1"/>
    <n v="1"/>
  </r>
  <r>
    <x v="0"/>
    <x v="0"/>
    <x v="1"/>
    <n v="1"/>
    <n v="3"/>
    <n v="0"/>
    <n v="0"/>
    <n v="4"/>
  </r>
  <r>
    <x v="0"/>
    <x v="0"/>
    <x v="2"/>
    <n v="1"/>
    <n v="1"/>
    <n v="0"/>
    <n v="0"/>
    <n v="2"/>
  </r>
  <r>
    <x v="0"/>
    <x v="0"/>
    <x v="3"/>
    <n v="1"/>
    <n v="1"/>
    <n v="1"/>
    <n v="2"/>
    <n v="5"/>
  </r>
  <r>
    <x v="0"/>
    <x v="0"/>
    <x v="4"/>
    <m/>
    <n v="2"/>
    <m/>
    <m/>
    <n v="2"/>
  </r>
  <r>
    <x v="0"/>
    <x v="0"/>
    <x v="5"/>
    <n v="2"/>
    <n v="3"/>
    <m/>
    <m/>
    <n v="5"/>
  </r>
  <r>
    <x v="0"/>
    <x v="0"/>
    <x v="6"/>
    <n v="3"/>
    <n v="4"/>
    <m/>
    <m/>
    <n v="7"/>
  </r>
  <r>
    <x v="0"/>
    <x v="1"/>
    <x v="7"/>
    <m/>
    <n v="2"/>
    <m/>
    <m/>
    <n v="2"/>
  </r>
  <r>
    <x v="0"/>
    <x v="0"/>
    <x v="7"/>
    <n v="1"/>
    <m/>
    <m/>
    <m/>
    <n v="1"/>
  </r>
  <r>
    <x v="0"/>
    <x v="0"/>
    <x v="8"/>
    <m/>
    <n v="2"/>
    <m/>
    <m/>
    <n v="2"/>
  </r>
</pivotCacheRecords>
</file>

<file path=xl/pivotCache/pivotCacheRecords15.xml><?xml version="1.0" encoding="utf-8"?>
<pivotCacheRecords xmlns="http://schemas.openxmlformats.org/spreadsheetml/2006/main" xmlns:r="http://schemas.openxmlformats.org/officeDocument/2006/relationships" count="14">
  <r>
    <x v="0"/>
    <x v="0"/>
    <x v="0"/>
    <n v="49"/>
    <n v="8"/>
    <n v="37"/>
    <n v="15"/>
    <n v="109"/>
  </r>
  <r>
    <x v="0"/>
    <x v="0"/>
    <x v="1"/>
    <n v="43"/>
    <n v="5"/>
    <n v="29"/>
    <n v="4"/>
    <n v="81"/>
  </r>
  <r>
    <x v="0"/>
    <x v="0"/>
    <x v="2"/>
    <n v="38"/>
    <n v="3"/>
    <n v="20"/>
    <n v="8"/>
    <n v="69"/>
  </r>
  <r>
    <x v="0"/>
    <x v="0"/>
    <x v="3"/>
    <n v="31"/>
    <n v="6"/>
    <n v="30"/>
    <n v="8"/>
    <n v="75"/>
  </r>
  <r>
    <x v="0"/>
    <x v="1"/>
    <x v="4"/>
    <n v="3"/>
    <m/>
    <n v="6"/>
    <m/>
    <n v="9"/>
  </r>
  <r>
    <x v="0"/>
    <x v="0"/>
    <x v="4"/>
    <n v="39"/>
    <n v="13"/>
    <n v="37"/>
    <n v="1"/>
    <n v="90"/>
  </r>
  <r>
    <x v="0"/>
    <x v="1"/>
    <x v="5"/>
    <n v="2"/>
    <m/>
    <n v="3"/>
    <m/>
    <n v="5"/>
  </r>
  <r>
    <x v="0"/>
    <x v="0"/>
    <x v="5"/>
    <n v="44"/>
    <n v="10"/>
    <n v="22"/>
    <n v="2"/>
    <n v="78"/>
  </r>
  <r>
    <x v="0"/>
    <x v="1"/>
    <x v="6"/>
    <n v="3"/>
    <n v="2"/>
    <n v="3"/>
    <m/>
    <n v="8"/>
  </r>
  <r>
    <x v="0"/>
    <x v="0"/>
    <x v="6"/>
    <n v="32"/>
    <n v="9"/>
    <n v="12"/>
    <m/>
    <n v="53"/>
  </r>
  <r>
    <x v="0"/>
    <x v="1"/>
    <x v="7"/>
    <n v="2"/>
    <n v="2"/>
    <n v="6"/>
    <n v="1"/>
    <n v="11"/>
  </r>
  <r>
    <x v="0"/>
    <x v="0"/>
    <x v="7"/>
    <n v="48"/>
    <n v="8"/>
    <n v="15"/>
    <n v="1"/>
    <n v="72"/>
  </r>
  <r>
    <x v="0"/>
    <x v="1"/>
    <x v="8"/>
    <n v="1"/>
    <m/>
    <n v="1"/>
    <n v="1"/>
    <n v="3"/>
  </r>
  <r>
    <x v="0"/>
    <x v="0"/>
    <x v="8"/>
    <n v="33"/>
    <n v="10"/>
    <n v="9"/>
    <n v="1"/>
    <n v="53"/>
  </r>
</pivotCacheRecords>
</file>

<file path=xl/pivotCache/pivotCacheRecords16.xml><?xml version="1.0" encoding="utf-8"?>
<pivotCacheRecords xmlns="http://schemas.openxmlformats.org/spreadsheetml/2006/main" xmlns:r="http://schemas.openxmlformats.org/officeDocument/2006/relationships" count="64">
  <r>
    <x v="0"/>
    <x v="0"/>
    <n v="84.6"/>
    <n v="0.4"/>
    <n v="15"/>
  </r>
  <r>
    <x v="0"/>
    <x v="1"/>
    <n v="81.8"/>
    <n v="0.2"/>
    <n v="18"/>
  </r>
  <r>
    <x v="0"/>
    <x v="2"/>
    <n v="65.5"/>
    <n v="1"/>
    <n v="33.5"/>
  </r>
  <r>
    <x v="0"/>
    <x v="3"/>
    <n v="74.400000000000006"/>
    <n v="0.6"/>
    <n v="25"/>
  </r>
  <r>
    <x v="0"/>
    <x v="4"/>
    <n v="75"/>
    <n v="0.6"/>
    <n v="24.4"/>
  </r>
  <r>
    <x v="0"/>
    <x v="5"/>
    <n v="62.7"/>
    <n v="0.2"/>
    <n v="37"/>
  </r>
  <r>
    <x v="0"/>
    <x v="6"/>
    <n v="72.2"/>
    <n v="0.8"/>
    <n v="27.1"/>
  </r>
  <r>
    <x v="1"/>
    <x v="0"/>
    <n v="89.7"/>
    <n v="0.4"/>
    <n v="9.8000000000000007"/>
  </r>
  <r>
    <x v="1"/>
    <x v="1"/>
    <n v="80.900000000000006"/>
    <n v="0.2"/>
    <n v="18.899999999999999"/>
  </r>
  <r>
    <x v="1"/>
    <x v="2"/>
    <n v="78.400000000000006"/>
    <n v="1"/>
    <n v="20.6"/>
  </r>
  <r>
    <x v="1"/>
    <x v="3"/>
    <n v="80.099999999999994"/>
    <n v="0.6"/>
    <n v="19.3"/>
  </r>
  <r>
    <x v="1"/>
    <x v="4"/>
    <n v="81"/>
    <n v="0.6"/>
    <n v="18.399999999999999"/>
  </r>
  <r>
    <x v="1"/>
    <x v="5"/>
    <n v="61.4"/>
    <n v="0.5"/>
    <n v="38.1"/>
  </r>
  <r>
    <x v="1"/>
    <x v="6"/>
    <n v="81.2"/>
    <n v="0.7"/>
    <n v="18"/>
  </r>
  <r>
    <x v="2"/>
    <x v="0"/>
    <n v="49.3"/>
    <m/>
    <n v="50.7"/>
  </r>
  <r>
    <x v="2"/>
    <x v="1"/>
    <n v="69.599999999999994"/>
    <n v="1.1000000000000001"/>
    <n v="29.3"/>
  </r>
  <r>
    <x v="2"/>
    <x v="2"/>
    <n v="55.2"/>
    <n v="1"/>
    <n v="43.8"/>
  </r>
  <r>
    <x v="2"/>
    <x v="3"/>
    <n v="61.1"/>
    <n v="0.8"/>
    <n v="38.1"/>
  </r>
  <r>
    <x v="2"/>
    <x v="4"/>
    <n v="62.5"/>
    <n v="0.8"/>
    <n v="36.700000000000003"/>
  </r>
  <r>
    <x v="2"/>
    <x v="5"/>
    <n v="30.1"/>
    <n v="0.6"/>
    <n v="69.400000000000006"/>
  </r>
  <r>
    <x v="2"/>
    <x v="6"/>
    <n v="59.8"/>
    <n v="0.6"/>
    <n v="39.6"/>
  </r>
  <r>
    <x v="3"/>
    <x v="0"/>
    <n v="63"/>
    <n v="0.4"/>
    <n v="36.5"/>
  </r>
  <r>
    <x v="3"/>
    <x v="1"/>
    <n v="67"/>
    <n v="0.1"/>
    <n v="32.799999999999997"/>
  </r>
  <r>
    <x v="3"/>
    <x v="2"/>
    <n v="53.7"/>
    <n v="1.2"/>
    <n v="45.1"/>
  </r>
  <r>
    <x v="3"/>
    <x v="3"/>
    <n v="60.2"/>
    <n v="0.5"/>
    <n v="39.299999999999997"/>
  </r>
  <r>
    <x v="3"/>
    <x v="4"/>
    <n v="61.8"/>
    <n v="0.5"/>
    <n v="37.700000000000003"/>
  </r>
  <r>
    <x v="3"/>
    <x v="5"/>
    <n v="26.7"/>
    <n v="0.5"/>
    <n v="72.8"/>
  </r>
  <r>
    <x v="3"/>
    <x v="6"/>
    <n v="59.5"/>
    <n v="0.6"/>
    <n v="39.9"/>
  </r>
  <r>
    <x v="4"/>
    <x v="0"/>
    <n v="64"/>
    <n v="0.5"/>
    <n v="35.5"/>
  </r>
  <r>
    <x v="4"/>
    <x v="1"/>
    <n v="60"/>
    <n v="0.6"/>
    <n v="39.4"/>
  </r>
  <r>
    <x v="4"/>
    <x v="2"/>
    <n v="53.4"/>
    <n v="0.8"/>
    <n v="45.8"/>
  </r>
  <r>
    <x v="4"/>
    <x v="3"/>
    <n v="55.3"/>
    <n v="0.6"/>
    <n v="44.1"/>
  </r>
  <r>
    <x v="4"/>
    <x v="4"/>
    <n v="56.3"/>
    <n v="0.6"/>
    <n v="43.1"/>
  </r>
  <r>
    <x v="4"/>
    <x v="5"/>
    <n v="32.5"/>
    <n v="0.9"/>
    <n v="66.7"/>
  </r>
  <r>
    <x v="4"/>
    <x v="6"/>
    <n v="53.7"/>
    <n v="0.5"/>
    <n v="45.7"/>
  </r>
  <r>
    <x v="5"/>
    <x v="0"/>
    <n v="55.8"/>
    <n v="0.6"/>
    <n v="43.6"/>
  </r>
  <r>
    <x v="5"/>
    <x v="1"/>
    <n v="58"/>
    <n v="0.6"/>
    <n v="41.4"/>
  </r>
  <r>
    <x v="5"/>
    <x v="2"/>
    <n v="53.9"/>
    <n v="0.6"/>
    <n v="45.5"/>
  </r>
  <r>
    <x v="5"/>
    <x v="3"/>
    <n v="53.7"/>
    <n v="0.6"/>
    <n v="45.7"/>
  </r>
  <r>
    <x v="5"/>
    <x v="4"/>
    <n v="54.2"/>
    <n v="0.6"/>
    <n v="45.2"/>
  </r>
  <r>
    <x v="5"/>
    <x v="5"/>
    <n v="42.7"/>
    <n v="0.3"/>
    <n v="57"/>
  </r>
  <r>
    <x v="5"/>
    <x v="6"/>
    <n v="51.2"/>
    <n v="0.5"/>
    <n v="48.3"/>
  </r>
  <r>
    <x v="6"/>
    <x v="0"/>
    <n v="52.9"/>
    <n v="0.5"/>
    <n v="46.6"/>
  </r>
  <r>
    <x v="6"/>
    <x v="1"/>
    <n v="65.900000000000006"/>
    <n v="1.2"/>
    <n v="32.9"/>
  </r>
  <r>
    <x v="6"/>
    <x v="2"/>
    <n v="61.2"/>
    <n v="1.4"/>
    <n v="37.4"/>
  </r>
  <r>
    <x v="6"/>
    <x v="3"/>
    <n v="59.2"/>
    <n v="1.2"/>
    <n v="39.6"/>
  </r>
  <r>
    <x v="6"/>
    <x v="4"/>
    <n v="60.2"/>
    <n v="1.2"/>
    <n v="38.6"/>
  </r>
  <r>
    <x v="6"/>
    <x v="5"/>
    <n v="37.299999999999997"/>
    <n v="0.6"/>
    <n v="62"/>
  </r>
  <r>
    <x v="6"/>
    <x v="6"/>
    <n v="55.7"/>
    <n v="1.2"/>
    <n v="43.1"/>
  </r>
  <r>
    <x v="7"/>
    <x v="0"/>
    <n v="53.6"/>
    <n v="1"/>
    <n v="45.4"/>
  </r>
  <r>
    <x v="7"/>
    <x v="1"/>
    <n v="67.599999999999994"/>
    <n v="1.1000000000000001"/>
    <n v="31.3"/>
  </r>
  <r>
    <x v="7"/>
    <x v="2"/>
    <n v="68.099999999999994"/>
    <n v="1.8"/>
    <n v="30.2"/>
  </r>
  <r>
    <x v="7"/>
    <x v="3"/>
    <n v="62.7"/>
    <n v="1.2"/>
    <n v="36.1"/>
  </r>
  <r>
    <x v="7"/>
    <x v="4"/>
    <n v="63.8"/>
    <n v="1.2"/>
    <n v="35"/>
  </r>
  <r>
    <x v="7"/>
    <x v="5"/>
    <n v="36.299999999999997"/>
    <n v="0.6"/>
    <n v="63.1"/>
  </r>
  <r>
    <x v="7"/>
    <x v="6"/>
    <n v="60.4"/>
    <n v="1.2"/>
    <n v="38.4"/>
  </r>
  <r>
    <x v="8"/>
    <x v="0"/>
    <n v="53.2"/>
    <n v="1.1000000000000001"/>
    <n v="45.7"/>
  </r>
  <r>
    <x v="8"/>
    <x v="1"/>
    <n v="63.5"/>
    <n v="1.1000000000000001"/>
    <n v="35.4"/>
  </r>
  <r>
    <x v="8"/>
    <x v="7"/>
    <n v="86.1"/>
    <m/>
    <n v="13.9"/>
  </r>
  <r>
    <x v="8"/>
    <x v="2"/>
    <n v="67"/>
    <n v="1.6"/>
    <n v="31.4"/>
  </r>
  <r>
    <x v="8"/>
    <x v="3"/>
    <n v="61.2"/>
    <n v="1.2"/>
    <n v="37.6"/>
  </r>
  <r>
    <x v="8"/>
    <x v="4"/>
    <n v="62.3"/>
    <n v="1.2"/>
    <n v="36.5"/>
  </r>
  <r>
    <x v="8"/>
    <x v="5"/>
    <n v="34.6"/>
    <n v="0.6"/>
    <n v="64.8"/>
  </r>
  <r>
    <x v="8"/>
    <x v="6"/>
    <n v="60.5"/>
    <n v="1.2"/>
    <n v="38.299999999999997"/>
  </r>
</pivotCacheRecords>
</file>

<file path=xl/pivotCache/pivotCacheRecords17.xml><?xml version="1.0" encoding="utf-8"?>
<pivotCacheRecords xmlns="http://schemas.openxmlformats.org/spreadsheetml/2006/main" xmlns:r="http://schemas.openxmlformats.org/officeDocument/2006/relationships" count="136">
  <r>
    <x v="0"/>
    <x v="0"/>
    <x v="0"/>
    <n v="51.01"/>
    <n v="45.01"/>
    <n v="6"/>
  </r>
  <r>
    <x v="0"/>
    <x v="0"/>
    <x v="1"/>
    <n v="94.39"/>
    <n v="85.39"/>
    <n v="9"/>
  </r>
  <r>
    <x v="0"/>
    <x v="0"/>
    <x v="2"/>
    <n v="5"/>
    <n v="4"/>
    <n v="1"/>
  </r>
  <r>
    <x v="0"/>
    <x v="0"/>
    <x v="3"/>
    <n v="11"/>
    <n v="9"/>
    <n v="2"/>
  </r>
  <r>
    <x v="0"/>
    <x v="0"/>
    <x v="4"/>
    <n v="51.56"/>
    <n v="45.56"/>
    <n v="6"/>
  </r>
  <r>
    <x v="0"/>
    <x v="1"/>
    <x v="0"/>
    <n v="489.46"/>
    <n v="17.760000000000002"/>
    <n v="471.7"/>
  </r>
  <r>
    <x v="0"/>
    <x v="1"/>
    <x v="1"/>
    <n v="1913.55"/>
    <n v="132.88999999999999"/>
    <n v="1780.66"/>
  </r>
  <r>
    <x v="0"/>
    <x v="1"/>
    <x v="4"/>
    <n v="262.12"/>
    <n v="10"/>
    <n v="252.12"/>
  </r>
  <r>
    <x v="0"/>
    <x v="2"/>
    <x v="5"/>
    <n v="223.6"/>
    <n v="197.5"/>
    <n v="26.1"/>
  </r>
  <r>
    <x v="0"/>
    <x v="2"/>
    <x v="6"/>
    <m/>
    <m/>
    <m/>
  </r>
  <r>
    <x v="0"/>
    <x v="2"/>
    <x v="7"/>
    <n v="42.3"/>
    <n v="25.7"/>
    <n v="16.600000000000001"/>
  </r>
  <r>
    <x v="0"/>
    <x v="2"/>
    <x v="8"/>
    <n v="69.7"/>
    <n v="31.7"/>
    <n v="38"/>
  </r>
  <r>
    <x v="0"/>
    <x v="2"/>
    <x v="9"/>
    <n v="256.39999999999998"/>
    <n v="39.200000000000003"/>
    <n v="217.2"/>
  </r>
  <r>
    <x v="0"/>
    <x v="2"/>
    <x v="10"/>
    <n v="19.8"/>
    <n v="6.8"/>
    <n v="13"/>
  </r>
  <r>
    <x v="0"/>
    <x v="2"/>
    <x v="11"/>
    <n v="199.5"/>
    <n v="119.8"/>
    <n v="79.7"/>
  </r>
  <r>
    <x v="0"/>
    <x v="3"/>
    <x v="12"/>
    <n v="28"/>
    <m/>
    <n v="28"/>
  </r>
  <r>
    <x v="0"/>
    <x v="3"/>
    <x v="13"/>
    <n v="9"/>
    <m/>
    <n v="9"/>
  </r>
  <r>
    <x v="0"/>
    <x v="3"/>
    <x v="0"/>
    <n v="660"/>
    <n v="26"/>
    <n v="634"/>
  </r>
  <r>
    <x v="0"/>
    <x v="3"/>
    <x v="1"/>
    <n v="2373.7600000000002"/>
    <n v="106"/>
    <n v="2267.7600000000002"/>
  </r>
  <r>
    <x v="0"/>
    <x v="3"/>
    <x v="2"/>
    <n v="115"/>
    <n v="3"/>
    <n v="112"/>
  </r>
  <r>
    <x v="0"/>
    <x v="3"/>
    <x v="3"/>
    <n v="136"/>
    <n v="2"/>
    <n v="134"/>
  </r>
  <r>
    <x v="0"/>
    <x v="3"/>
    <x v="4"/>
    <n v="679"/>
    <n v="22"/>
    <n v="657"/>
  </r>
  <r>
    <x v="1"/>
    <x v="0"/>
    <x v="0"/>
    <n v="50.79"/>
    <n v="42.79"/>
    <n v="8"/>
  </r>
  <r>
    <x v="1"/>
    <x v="0"/>
    <x v="1"/>
    <n v="102.69"/>
    <n v="81.69"/>
    <n v="21"/>
  </r>
  <r>
    <x v="1"/>
    <x v="0"/>
    <x v="2"/>
    <n v="5"/>
    <n v="4"/>
    <n v="1"/>
  </r>
  <r>
    <x v="1"/>
    <x v="0"/>
    <x v="3"/>
    <n v="12.85"/>
    <n v="10.85"/>
    <n v="2"/>
  </r>
  <r>
    <x v="1"/>
    <x v="0"/>
    <x v="4"/>
    <n v="49.46"/>
    <n v="43.46"/>
    <n v="6"/>
  </r>
  <r>
    <x v="1"/>
    <x v="1"/>
    <x v="0"/>
    <n v="498"/>
    <n v="16.5"/>
    <n v="481.5"/>
  </r>
  <r>
    <x v="1"/>
    <x v="1"/>
    <x v="1"/>
    <n v="1906.75"/>
    <n v="128.25"/>
    <n v="1778.5"/>
  </r>
  <r>
    <x v="1"/>
    <x v="1"/>
    <x v="4"/>
    <n v="263.75"/>
    <n v="12"/>
    <n v="251.75"/>
  </r>
  <r>
    <x v="1"/>
    <x v="2"/>
    <x v="5"/>
    <n v="151.38999999999999"/>
    <n v="135.18"/>
    <n v="16.21"/>
  </r>
  <r>
    <x v="1"/>
    <x v="2"/>
    <x v="6"/>
    <n v="2"/>
    <n v="2"/>
    <n v="0"/>
  </r>
  <r>
    <x v="1"/>
    <x v="2"/>
    <x v="7"/>
    <n v="55.47"/>
    <n v="36.869999999999997"/>
    <n v="18.600000000000001"/>
  </r>
  <r>
    <x v="1"/>
    <x v="2"/>
    <x v="8"/>
    <n v="45.99"/>
    <n v="22.99"/>
    <n v="23"/>
  </r>
  <r>
    <x v="1"/>
    <x v="2"/>
    <x v="9"/>
    <n v="325.23"/>
    <n v="94.63"/>
    <n v="230.6"/>
  </r>
  <r>
    <x v="1"/>
    <x v="2"/>
    <x v="10"/>
    <n v="36.9"/>
    <n v="19.899999999999999"/>
    <n v="17"/>
  </r>
  <r>
    <x v="1"/>
    <x v="2"/>
    <x v="11"/>
    <n v="128.97999999999999"/>
    <n v="65.05"/>
    <n v="63.93"/>
  </r>
  <r>
    <x v="1"/>
    <x v="3"/>
    <x v="12"/>
    <n v="33"/>
    <m/>
    <n v="33"/>
  </r>
  <r>
    <x v="1"/>
    <x v="3"/>
    <x v="13"/>
    <n v="7"/>
    <m/>
    <n v="7"/>
  </r>
  <r>
    <x v="1"/>
    <x v="3"/>
    <x v="0"/>
    <n v="634"/>
    <n v="24"/>
    <n v="610"/>
  </r>
  <r>
    <x v="1"/>
    <x v="3"/>
    <x v="1"/>
    <n v="2285"/>
    <n v="109"/>
    <n v="2176"/>
  </r>
  <r>
    <x v="1"/>
    <x v="3"/>
    <x v="2"/>
    <n v="103"/>
    <n v="3"/>
    <n v="100"/>
  </r>
  <r>
    <x v="1"/>
    <x v="3"/>
    <x v="3"/>
    <n v="130"/>
    <n v="1"/>
    <n v="129"/>
  </r>
  <r>
    <x v="1"/>
    <x v="3"/>
    <x v="4"/>
    <n v="664"/>
    <n v="27"/>
    <n v="637"/>
  </r>
  <r>
    <x v="2"/>
    <x v="0"/>
    <x v="0"/>
    <n v="43"/>
    <n v="38"/>
    <n v="5"/>
  </r>
  <r>
    <x v="2"/>
    <x v="0"/>
    <x v="1"/>
    <n v="89.02"/>
    <n v="71.02"/>
    <n v="18"/>
  </r>
  <r>
    <x v="2"/>
    <x v="0"/>
    <x v="2"/>
    <n v="6"/>
    <n v="4"/>
    <n v="2"/>
  </r>
  <r>
    <x v="2"/>
    <x v="0"/>
    <x v="3"/>
    <n v="6.83"/>
    <n v="6.83"/>
    <m/>
  </r>
  <r>
    <x v="2"/>
    <x v="0"/>
    <x v="4"/>
    <n v="50.31"/>
    <n v="43.31"/>
    <n v="7"/>
  </r>
  <r>
    <x v="2"/>
    <x v="1"/>
    <x v="0"/>
    <n v="486.18"/>
    <n v="16.75"/>
    <n v="469.43"/>
  </r>
  <r>
    <x v="2"/>
    <x v="1"/>
    <x v="1"/>
    <n v="1792.83"/>
    <n v="116.4"/>
    <n v="1676.43"/>
  </r>
  <r>
    <x v="2"/>
    <x v="1"/>
    <x v="4"/>
    <n v="247.75"/>
    <n v="14"/>
    <n v="233.75"/>
  </r>
  <r>
    <x v="2"/>
    <x v="2"/>
    <x v="5"/>
    <n v="145.72999999999999"/>
    <n v="128.96"/>
    <n v="16.77"/>
  </r>
  <r>
    <x v="2"/>
    <x v="2"/>
    <x v="6"/>
    <n v="3"/>
    <n v="2"/>
    <n v="1"/>
  </r>
  <r>
    <x v="2"/>
    <x v="2"/>
    <x v="7"/>
    <n v="70.709999999999994"/>
    <n v="53.71"/>
    <n v="17"/>
  </r>
  <r>
    <x v="2"/>
    <x v="2"/>
    <x v="8"/>
    <n v="40"/>
    <n v="15"/>
    <n v="25"/>
  </r>
  <r>
    <x v="2"/>
    <x v="2"/>
    <x v="9"/>
    <n v="303.61"/>
    <n v="95.92"/>
    <n v="207.69"/>
  </r>
  <r>
    <x v="2"/>
    <x v="2"/>
    <x v="10"/>
    <n v="33.31"/>
    <n v="17.309999999999999"/>
    <n v="16"/>
  </r>
  <r>
    <x v="2"/>
    <x v="2"/>
    <x v="11"/>
    <n v="122.2"/>
    <n v="57.2"/>
    <n v="65"/>
  </r>
  <r>
    <x v="2"/>
    <x v="3"/>
    <x v="12"/>
    <n v="35"/>
    <n v="0"/>
    <n v="35"/>
  </r>
  <r>
    <x v="2"/>
    <x v="3"/>
    <x v="13"/>
    <n v="4"/>
    <n v="0"/>
    <n v="4"/>
  </r>
  <r>
    <x v="2"/>
    <x v="3"/>
    <x v="0"/>
    <n v="598.35"/>
    <n v="27"/>
    <n v="571.35"/>
  </r>
  <r>
    <x v="2"/>
    <x v="3"/>
    <x v="1"/>
    <n v="2250.79"/>
    <n v="112.89"/>
    <n v="2137.9"/>
  </r>
  <r>
    <x v="2"/>
    <x v="3"/>
    <x v="2"/>
    <n v="90"/>
    <n v="3"/>
    <n v="87"/>
  </r>
  <r>
    <x v="2"/>
    <x v="3"/>
    <x v="3"/>
    <n v="126"/>
    <n v="2"/>
    <n v="124"/>
  </r>
  <r>
    <x v="2"/>
    <x v="3"/>
    <x v="4"/>
    <n v="585.32000000000005"/>
    <n v="22"/>
    <n v="563.32000000000005"/>
  </r>
  <r>
    <x v="3"/>
    <x v="0"/>
    <x v="0"/>
    <n v="26.79"/>
    <n v="22.79"/>
    <n v="4"/>
  </r>
  <r>
    <x v="3"/>
    <x v="0"/>
    <x v="1"/>
    <n v="100.83"/>
    <n v="83.33"/>
    <n v="17.5"/>
  </r>
  <r>
    <x v="3"/>
    <x v="0"/>
    <x v="2"/>
    <n v="5"/>
    <n v="4"/>
    <n v="1"/>
  </r>
  <r>
    <x v="3"/>
    <x v="0"/>
    <x v="3"/>
    <n v="8"/>
    <n v="7"/>
    <n v="1"/>
  </r>
  <r>
    <x v="3"/>
    <x v="0"/>
    <x v="4"/>
    <n v="43"/>
    <n v="36"/>
    <n v="7"/>
  </r>
  <r>
    <x v="3"/>
    <x v="1"/>
    <x v="0"/>
    <n v="477.18"/>
    <n v="18.25"/>
    <n v="458.93"/>
  </r>
  <r>
    <x v="3"/>
    <x v="1"/>
    <x v="1"/>
    <n v="1821.55"/>
    <n v="121.65"/>
    <n v="1699.9"/>
  </r>
  <r>
    <x v="3"/>
    <x v="1"/>
    <x v="4"/>
    <n v="246.25"/>
    <n v="13.75"/>
    <n v="232.5"/>
  </r>
  <r>
    <x v="3"/>
    <x v="2"/>
    <x v="5"/>
    <n v="135.37"/>
    <n v="126.82"/>
    <n v="8.5500000000000007"/>
  </r>
  <r>
    <x v="3"/>
    <x v="2"/>
    <x v="6"/>
    <n v="2"/>
    <n v="1"/>
    <n v="1"/>
  </r>
  <r>
    <x v="3"/>
    <x v="2"/>
    <x v="7"/>
    <n v="75.81"/>
    <n v="53.98"/>
    <n v="21.83"/>
  </r>
  <r>
    <x v="3"/>
    <x v="2"/>
    <x v="8"/>
    <n v="49.71"/>
    <n v="16.71"/>
    <n v="33"/>
  </r>
  <r>
    <x v="3"/>
    <x v="2"/>
    <x v="9"/>
    <n v="354.57"/>
    <n v="133.04"/>
    <n v="221.53"/>
  </r>
  <r>
    <x v="3"/>
    <x v="2"/>
    <x v="10"/>
    <n v="30.86"/>
    <n v="18.36"/>
    <n v="12.5"/>
  </r>
  <r>
    <x v="3"/>
    <x v="2"/>
    <x v="11"/>
    <n v="110.41"/>
    <n v="52.13"/>
    <n v="58.28"/>
  </r>
  <r>
    <x v="3"/>
    <x v="3"/>
    <x v="12"/>
    <n v="34"/>
    <m/>
    <n v="34"/>
  </r>
  <r>
    <x v="3"/>
    <x v="3"/>
    <x v="13"/>
    <n v="4"/>
    <m/>
    <n v="4"/>
  </r>
  <r>
    <x v="3"/>
    <x v="3"/>
    <x v="0"/>
    <n v="689"/>
    <n v="26"/>
    <n v="663"/>
  </r>
  <r>
    <x v="3"/>
    <x v="3"/>
    <x v="1"/>
    <n v="1988.43"/>
    <n v="113.43"/>
    <n v="1875"/>
  </r>
  <r>
    <x v="3"/>
    <x v="3"/>
    <x v="2"/>
    <n v="74"/>
    <n v="2"/>
    <n v="72"/>
  </r>
  <r>
    <x v="3"/>
    <x v="3"/>
    <x v="3"/>
    <n v="153"/>
    <n v="2"/>
    <n v="151"/>
  </r>
  <r>
    <x v="3"/>
    <x v="3"/>
    <x v="4"/>
    <n v="602"/>
    <n v="31"/>
    <n v="571"/>
  </r>
  <r>
    <x v="4"/>
    <x v="0"/>
    <x v="12"/>
    <n v="1"/>
    <n v="1"/>
    <m/>
  </r>
  <r>
    <x v="4"/>
    <x v="0"/>
    <x v="0"/>
    <n v="27"/>
    <n v="21"/>
    <n v="6"/>
  </r>
  <r>
    <x v="4"/>
    <x v="0"/>
    <x v="1"/>
    <n v="119.33"/>
    <n v="98.33"/>
    <n v="21"/>
  </r>
  <r>
    <x v="4"/>
    <x v="0"/>
    <x v="2"/>
    <n v="4"/>
    <n v="3"/>
    <n v="1"/>
  </r>
  <r>
    <x v="4"/>
    <x v="0"/>
    <x v="3"/>
    <n v="9"/>
    <n v="8"/>
    <n v="1"/>
  </r>
  <r>
    <x v="4"/>
    <x v="0"/>
    <x v="4"/>
    <n v="42"/>
    <n v="36"/>
    <n v="6"/>
  </r>
  <r>
    <x v="4"/>
    <x v="1"/>
    <x v="0"/>
    <n v="478.93"/>
    <n v="19"/>
    <n v="459.93"/>
  </r>
  <r>
    <x v="4"/>
    <x v="1"/>
    <x v="1"/>
    <n v="1863.8"/>
    <n v="148.4"/>
    <n v="1715.4"/>
  </r>
  <r>
    <x v="4"/>
    <x v="1"/>
    <x v="4"/>
    <n v="241.25"/>
    <n v="12.5"/>
    <n v="228.75"/>
  </r>
  <r>
    <x v="4"/>
    <x v="4"/>
    <x v="14"/>
    <n v="18"/>
    <n v="1"/>
    <n v="17"/>
  </r>
  <r>
    <x v="4"/>
    <x v="2"/>
    <x v="5"/>
    <n v="144.99"/>
    <n v="134.44"/>
    <n v="10.55"/>
  </r>
  <r>
    <x v="4"/>
    <x v="2"/>
    <x v="6"/>
    <n v="3"/>
    <n v="2"/>
    <n v="1"/>
  </r>
  <r>
    <x v="4"/>
    <x v="2"/>
    <x v="7"/>
    <n v="80.400000000000006"/>
    <n v="55.4"/>
    <n v="25"/>
  </r>
  <r>
    <x v="4"/>
    <x v="2"/>
    <x v="8"/>
    <n v="49"/>
    <n v="15"/>
    <n v="34"/>
  </r>
  <r>
    <x v="4"/>
    <x v="2"/>
    <x v="9"/>
    <n v="375.56"/>
    <n v="139.56"/>
    <n v="236"/>
  </r>
  <r>
    <x v="4"/>
    <x v="2"/>
    <x v="10"/>
    <n v="34"/>
    <n v="21"/>
    <n v="13"/>
  </r>
  <r>
    <x v="4"/>
    <x v="2"/>
    <x v="11"/>
    <n v="58.61"/>
    <n v="21.26"/>
    <n v="37.35"/>
  </r>
  <r>
    <x v="4"/>
    <x v="3"/>
    <x v="12"/>
    <n v="33"/>
    <m/>
    <n v="33"/>
  </r>
  <r>
    <x v="4"/>
    <x v="3"/>
    <x v="13"/>
    <n v="4"/>
    <m/>
    <n v="4"/>
  </r>
  <r>
    <x v="4"/>
    <x v="3"/>
    <x v="0"/>
    <n v="687"/>
    <n v="27"/>
    <n v="660"/>
  </r>
  <r>
    <x v="4"/>
    <x v="3"/>
    <x v="1"/>
    <n v="2073.9299999999998"/>
    <n v="130.93"/>
    <n v="1943"/>
  </r>
  <r>
    <x v="4"/>
    <x v="3"/>
    <x v="2"/>
    <n v="80"/>
    <n v="2"/>
    <n v="78"/>
  </r>
  <r>
    <x v="4"/>
    <x v="3"/>
    <x v="3"/>
    <n v="147"/>
    <n v="2"/>
    <n v="145"/>
  </r>
  <r>
    <x v="4"/>
    <x v="3"/>
    <x v="4"/>
    <n v="611"/>
    <n v="33"/>
    <n v="578"/>
  </r>
  <r>
    <x v="5"/>
    <x v="0"/>
    <x v="12"/>
    <n v="1"/>
    <n v="1"/>
    <m/>
  </r>
  <r>
    <x v="5"/>
    <x v="0"/>
    <x v="0"/>
    <n v="26"/>
    <n v="21"/>
    <n v="5"/>
  </r>
  <r>
    <x v="5"/>
    <x v="0"/>
    <x v="1"/>
    <n v="99.83"/>
    <n v="81.83"/>
    <n v="18"/>
  </r>
  <r>
    <x v="5"/>
    <x v="0"/>
    <x v="2"/>
    <n v="4"/>
    <n v="3"/>
    <n v="1"/>
  </r>
  <r>
    <x v="5"/>
    <x v="0"/>
    <x v="3"/>
    <n v="8"/>
    <n v="7"/>
    <n v="1"/>
  </r>
  <r>
    <x v="5"/>
    <x v="0"/>
    <x v="4"/>
    <n v="45"/>
    <n v="38"/>
    <n v="7"/>
  </r>
  <r>
    <x v="5"/>
    <x v="1"/>
    <x v="0"/>
    <n v="459.93"/>
    <n v="17"/>
    <n v="442.93"/>
  </r>
  <r>
    <x v="5"/>
    <x v="1"/>
    <x v="1"/>
    <n v="1855.3"/>
    <n v="153.15"/>
    <n v="1702.15"/>
  </r>
  <r>
    <x v="5"/>
    <x v="1"/>
    <x v="4"/>
    <n v="236.5"/>
    <n v="11.75"/>
    <n v="224.75"/>
  </r>
  <r>
    <x v="5"/>
    <x v="4"/>
    <x v="4"/>
    <n v="36"/>
    <n v="7"/>
    <n v="29"/>
  </r>
  <r>
    <x v="5"/>
    <x v="2"/>
    <x v="5"/>
    <n v="155.34"/>
    <n v="144.79"/>
    <n v="10.55"/>
  </r>
  <r>
    <x v="5"/>
    <x v="2"/>
    <x v="6"/>
    <n v="3"/>
    <n v="2"/>
    <n v="1"/>
  </r>
  <r>
    <x v="5"/>
    <x v="2"/>
    <x v="7"/>
    <n v="88.61"/>
    <n v="59.61"/>
    <n v="29"/>
  </r>
  <r>
    <x v="5"/>
    <x v="2"/>
    <x v="8"/>
    <n v="47"/>
    <n v="14"/>
    <n v="33"/>
  </r>
  <r>
    <x v="5"/>
    <x v="2"/>
    <x v="9"/>
    <n v="382.5"/>
    <n v="142.84"/>
    <n v="239.66"/>
  </r>
  <r>
    <x v="5"/>
    <x v="2"/>
    <x v="10"/>
    <n v="32"/>
    <n v="20"/>
    <n v="12"/>
  </r>
  <r>
    <x v="5"/>
    <x v="2"/>
    <x v="11"/>
    <n v="56.95"/>
    <n v="20.6"/>
    <n v="36.35"/>
  </r>
  <r>
    <x v="5"/>
    <x v="3"/>
    <x v="12"/>
    <n v="31"/>
    <m/>
    <n v="31"/>
  </r>
  <r>
    <x v="5"/>
    <x v="3"/>
    <x v="13"/>
    <n v="6"/>
    <m/>
    <n v="6"/>
  </r>
  <r>
    <x v="5"/>
    <x v="3"/>
    <x v="0"/>
    <n v="688"/>
    <n v="31"/>
    <n v="657"/>
  </r>
  <r>
    <x v="5"/>
    <x v="3"/>
    <x v="1"/>
    <n v="2067.9299999999998"/>
    <n v="152.93"/>
    <n v="1915"/>
  </r>
  <r>
    <x v="5"/>
    <x v="3"/>
    <x v="2"/>
    <n v="80"/>
    <n v="2"/>
    <n v="78"/>
  </r>
  <r>
    <x v="5"/>
    <x v="3"/>
    <x v="3"/>
    <n v="153"/>
    <n v="5"/>
    <n v="148"/>
  </r>
  <r>
    <x v="5"/>
    <x v="3"/>
    <x v="4"/>
    <n v="608"/>
    <n v="30"/>
    <n v="578"/>
  </r>
</pivotCacheRecords>
</file>

<file path=xl/pivotCache/pivotCacheRecords18.xml><?xml version="1.0" encoding="utf-8"?>
<pivotCacheRecords xmlns="http://schemas.openxmlformats.org/spreadsheetml/2006/main" xmlns:r="http://schemas.openxmlformats.org/officeDocument/2006/relationships" count="37">
  <r>
    <x v="0"/>
    <x v="0"/>
    <n v="223"/>
    <n v="199"/>
    <n v="24"/>
  </r>
  <r>
    <x v="0"/>
    <x v="1"/>
    <n v="2940"/>
    <n v="178"/>
    <n v="2762"/>
  </r>
  <r>
    <x v="0"/>
    <x v="2"/>
    <n v="961"/>
    <n v="545"/>
    <n v="416"/>
  </r>
  <r>
    <x v="0"/>
    <x v="3"/>
    <n v="359"/>
    <n v="52"/>
    <n v="307"/>
  </r>
  <r>
    <x v="0"/>
    <x v="4"/>
    <n v="4001"/>
    <n v="159"/>
    <n v="3842"/>
  </r>
  <r>
    <x v="1"/>
    <x v="0"/>
    <n v="230"/>
    <n v="192"/>
    <n v="38"/>
  </r>
  <r>
    <x v="1"/>
    <x v="1"/>
    <n v="2950"/>
    <n v="172"/>
    <n v="2778"/>
  </r>
  <r>
    <x v="1"/>
    <x v="2"/>
    <n v="867"/>
    <n v="480"/>
    <n v="387"/>
  </r>
  <r>
    <x v="1"/>
    <x v="3"/>
    <n v="378"/>
    <n v="56"/>
    <n v="322"/>
  </r>
  <r>
    <x v="1"/>
    <x v="4"/>
    <n v="3856"/>
    <n v="164"/>
    <n v="3692"/>
  </r>
  <r>
    <x v="2"/>
    <x v="0"/>
    <n v="203"/>
    <n v="171"/>
    <n v="32"/>
  </r>
  <r>
    <x v="2"/>
    <x v="1"/>
    <n v="2870"/>
    <n v="163"/>
    <n v="2707"/>
  </r>
  <r>
    <x v="2"/>
    <x v="2"/>
    <n v="828"/>
    <n v="463"/>
    <n v="365"/>
  </r>
  <r>
    <x v="2"/>
    <x v="3"/>
    <n v="342"/>
    <n v="56"/>
    <n v="286"/>
  </r>
  <r>
    <x v="2"/>
    <x v="4"/>
    <n v="3690"/>
    <n v="167"/>
    <n v="3523"/>
  </r>
  <r>
    <x v="3"/>
    <x v="0"/>
    <n v="165"/>
    <n v="139"/>
    <n v="26"/>
  </r>
  <r>
    <x v="3"/>
    <x v="1"/>
    <n v="2870"/>
    <n v="158"/>
    <n v="2712"/>
  </r>
  <r>
    <x v="3"/>
    <x v="2"/>
    <n v="838"/>
    <n v="466"/>
    <n v="372"/>
  </r>
  <r>
    <x v="3"/>
    <x v="3"/>
    <n v="316"/>
    <n v="48"/>
    <n v="268"/>
  </r>
  <r>
    <x v="3"/>
    <x v="4"/>
    <n v="3645"/>
    <n v="178"/>
    <n v="3467"/>
  </r>
  <r>
    <x v="4"/>
    <x v="0"/>
    <n v="189"/>
    <n v="158"/>
    <n v="31"/>
  </r>
  <r>
    <x v="4"/>
    <x v="1"/>
    <n v="2863"/>
    <n v="171"/>
    <n v="2692"/>
  </r>
  <r>
    <x v="4"/>
    <x v="2"/>
    <n v="846"/>
    <n v="476"/>
    <n v="370"/>
  </r>
  <r>
    <x v="4"/>
    <x v="3"/>
    <n v="332"/>
    <n v="55"/>
    <n v="277"/>
  </r>
  <r>
    <x v="4"/>
    <x v="4"/>
    <n v="3546"/>
    <n v="175"/>
    <n v="3371"/>
  </r>
  <r>
    <x v="5"/>
    <x v="0"/>
    <n v="207"/>
    <n v="172"/>
    <n v="35"/>
  </r>
  <r>
    <x v="5"/>
    <x v="1"/>
    <n v="2935"/>
    <n v="201"/>
    <n v="2734"/>
  </r>
  <r>
    <x v="5"/>
    <x v="5"/>
    <n v="18"/>
    <n v="1"/>
    <n v="17"/>
  </r>
  <r>
    <x v="5"/>
    <x v="2"/>
    <n v="792"/>
    <n v="427"/>
    <n v="365"/>
  </r>
  <r>
    <x v="5"/>
    <x v="3"/>
    <n v="317"/>
    <n v="54"/>
    <n v="263"/>
  </r>
  <r>
    <x v="5"/>
    <x v="4"/>
    <n v="3637"/>
    <n v="196"/>
    <n v="3441"/>
  </r>
  <r>
    <x v="6"/>
    <x v="0"/>
    <n v="188"/>
    <n v="156"/>
    <n v="32"/>
  </r>
  <r>
    <x v="6"/>
    <x v="1"/>
    <n v="2937"/>
    <n v="208"/>
    <n v="2729"/>
  </r>
  <r>
    <x v="6"/>
    <x v="5"/>
    <n v="36"/>
    <n v="7"/>
    <n v="29"/>
  </r>
  <r>
    <x v="6"/>
    <x v="2"/>
    <n v="818"/>
    <n v="447"/>
    <n v="371"/>
  </r>
  <r>
    <x v="6"/>
    <x v="3"/>
    <n v="315"/>
    <n v="54"/>
    <n v="261"/>
  </r>
  <r>
    <x v="6"/>
    <x v="4"/>
    <n v="3636"/>
    <n v="222"/>
    <n v="3414"/>
  </r>
</pivotCacheRecords>
</file>

<file path=xl/pivotCache/pivotCacheRecords19.xml><?xml version="1.0" encoding="utf-8"?>
<pivotCacheRecords xmlns="http://schemas.openxmlformats.org/spreadsheetml/2006/main" xmlns:r="http://schemas.openxmlformats.org/officeDocument/2006/relationships" count="179">
  <r>
    <x v="0"/>
    <x v="0"/>
    <x v="0"/>
    <n v="52"/>
    <n v="46"/>
    <n v="6"/>
  </r>
  <r>
    <x v="0"/>
    <x v="0"/>
    <x v="1"/>
    <n v="103"/>
    <n v="94"/>
    <n v="9"/>
  </r>
  <r>
    <x v="0"/>
    <x v="0"/>
    <x v="2"/>
    <n v="5"/>
    <n v="4"/>
    <n v="1"/>
  </r>
  <r>
    <x v="0"/>
    <x v="0"/>
    <x v="3"/>
    <n v="11"/>
    <n v="9"/>
    <n v="2"/>
  </r>
  <r>
    <x v="0"/>
    <x v="0"/>
    <x v="4"/>
    <n v="52"/>
    <n v="46"/>
    <n v="6"/>
  </r>
  <r>
    <x v="0"/>
    <x v="1"/>
    <x v="0"/>
    <n v="535"/>
    <n v="19"/>
    <n v="516"/>
  </r>
  <r>
    <x v="0"/>
    <x v="1"/>
    <x v="1"/>
    <n v="2127"/>
    <n v="149"/>
    <n v="1978"/>
  </r>
  <r>
    <x v="0"/>
    <x v="1"/>
    <x v="4"/>
    <n v="278"/>
    <n v="10"/>
    <n v="268"/>
  </r>
  <r>
    <x v="0"/>
    <x v="2"/>
    <x v="5"/>
    <n v="278"/>
    <n v="248"/>
    <n v="30"/>
  </r>
  <r>
    <x v="0"/>
    <x v="2"/>
    <x v="6"/>
    <n v="0"/>
    <n v="0"/>
    <n v="0"/>
  </r>
  <r>
    <x v="0"/>
    <x v="2"/>
    <x v="7"/>
    <n v="45"/>
    <n v="28"/>
    <n v="17"/>
  </r>
  <r>
    <x v="0"/>
    <x v="2"/>
    <x v="8"/>
    <n v="70"/>
    <n v="32"/>
    <n v="38"/>
  </r>
  <r>
    <x v="0"/>
    <x v="2"/>
    <x v="9"/>
    <n v="314"/>
    <n v="91"/>
    <n v="223"/>
  </r>
  <r>
    <x v="0"/>
    <x v="2"/>
    <x v="10"/>
    <n v="20"/>
    <n v="7"/>
    <n v="13"/>
  </r>
  <r>
    <x v="0"/>
    <x v="2"/>
    <x v="11"/>
    <n v="234"/>
    <n v="139"/>
    <n v="95"/>
  </r>
  <r>
    <x v="0"/>
    <x v="3"/>
    <x v="0"/>
    <n v="73"/>
    <n v="8"/>
    <n v="65"/>
  </r>
  <r>
    <x v="0"/>
    <x v="3"/>
    <x v="1"/>
    <n v="277"/>
    <n v="44"/>
    <n v="233"/>
  </r>
  <r>
    <x v="0"/>
    <x v="3"/>
    <x v="4"/>
    <n v="9"/>
    <n v="0"/>
    <n v="9"/>
  </r>
  <r>
    <x v="0"/>
    <x v="4"/>
    <x v="12"/>
    <n v="28"/>
    <n v="0"/>
    <n v="28"/>
  </r>
  <r>
    <x v="0"/>
    <x v="4"/>
    <x v="13"/>
    <n v="9"/>
    <n v="0"/>
    <n v="9"/>
  </r>
  <r>
    <x v="0"/>
    <x v="4"/>
    <x v="0"/>
    <n v="660"/>
    <n v="26"/>
    <n v="634"/>
  </r>
  <r>
    <x v="0"/>
    <x v="4"/>
    <x v="1"/>
    <n v="2374"/>
    <n v="106"/>
    <n v="2268"/>
  </r>
  <r>
    <x v="0"/>
    <x v="4"/>
    <x v="2"/>
    <n v="115"/>
    <n v="3"/>
    <n v="112"/>
  </r>
  <r>
    <x v="0"/>
    <x v="4"/>
    <x v="3"/>
    <n v="136"/>
    <n v="2"/>
    <n v="134"/>
  </r>
  <r>
    <x v="0"/>
    <x v="4"/>
    <x v="4"/>
    <n v="679"/>
    <n v="22"/>
    <n v="657"/>
  </r>
  <r>
    <x v="1"/>
    <x v="0"/>
    <x v="0"/>
    <n v="52"/>
    <n v="44"/>
    <n v="8"/>
  </r>
  <r>
    <x v="1"/>
    <x v="0"/>
    <x v="1"/>
    <n v="110"/>
    <n v="89"/>
    <n v="21"/>
  </r>
  <r>
    <x v="1"/>
    <x v="0"/>
    <x v="2"/>
    <n v="5"/>
    <n v="4"/>
    <n v="1"/>
  </r>
  <r>
    <x v="1"/>
    <x v="0"/>
    <x v="3"/>
    <n v="13"/>
    <n v="11"/>
    <n v="2"/>
  </r>
  <r>
    <x v="1"/>
    <x v="0"/>
    <x v="4"/>
    <n v="50"/>
    <n v="44"/>
    <n v="6"/>
  </r>
  <r>
    <x v="1"/>
    <x v="1"/>
    <x v="0"/>
    <n v="546"/>
    <n v="17"/>
    <n v="529"/>
  </r>
  <r>
    <x v="1"/>
    <x v="1"/>
    <x v="1"/>
    <n v="2124"/>
    <n v="143"/>
    <n v="1981"/>
  </r>
  <r>
    <x v="1"/>
    <x v="1"/>
    <x v="4"/>
    <n v="280"/>
    <n v="12"/>
    <n v="268"/>
  </r>
  <r>
    <x v="1"/>
    <x v="2"/>
    <x v="5"/>
    <n v="195"/>
    <n v="176"/>
    <n v="19"/>
  </r>
  <r>
    <x v="1"/>
    <x v="2"/>
    <x v="6"/>
    <n v="2"/>
    <n v="2"/>
    <n v="0"/>
  </r>
  <r>
    <x v="1"/>
    <x v="2"/>
    <x v="7"/>
    <n v="59"/>
    <n v="40"/>
    <n v="19"/>
  </r>
  <r>
    <x v="1"/>
    <x v="2"/>
    <x v="8"/>
    <n v="44"/>
    <n v="21"/>
    <n v="23"/>
  </r>
  <r>
    <x v="1"/>
    <x v="2"/>
    <x v="9"/>
    <n v="335"/>
    <n v="99"/>
    <n v="236"/>
  </r>
  <r>
    <x v="1"/>
    <x v="2"/>
    <x v="10"/>
    <n v="37"/>
    <n v="20"/>
    <n v="17"/>
  </r>
  <r>
    <x v="1"/>
    <x v="2"/>
    <x v="11"/>
    <n v="195"/>
    <n v="122"/>
    <n v="73"/>
  </r>
  <r>
    <x v="1"/>
    <x v="3"/>
    <x v="0"/>
    <n v="44"/>
    <n v="4"/>
    <n v="40"/>
  </r>
  <r>
    <x v="1"/>
    <x v="3"/>
    <x v="1"/>
    <n v="296"/>
    <n v="48"/>
    <n v="248"/>
  </r>
  <r>
    <x v="1"/>
    <x v="3"/>
    <x v="4"/>
    <n v="38"/>
    <n v="4"/>
    <n v="34"/>
  </r>
  <r>
    <x v="1"/>
    <x v="4"/>
    <x v="12"/>
    <n v="33"/>
    <n v="0"/>
    <n v="33"/>
  </r>
  <r>
    <x v="1"/>
    <x v="4"/>
    <x v="13"/>
    <n v="7"/>
    <n v="0"/>
    <n v="7"/>
  </r>
  <r>
    <x v="1"/>
    <x v="4"/>
    <x v="0"/>
    <n v="634"/>
    <n v="24"/>
    <n v="610"/>
  </r>
  <r>
    <x v="1"/>
    <x v="4"/>
    <x v="1"/>
    <n v="2285"/>
    <n v="109"/>
    <n v="2176"/>
  </r>
  <r>
    <x v="1"/>
    <x v="4"/>
    <x v="2"/>
    <n v="103"/>
    <n v="3"/>
    <n v="100"/>
  </r>
  <r>
    <x v="1"/>
    <x v="4"/>
    <x v="3"/>
    <n v="130"/>
    <n v="1"/>
    <n v="129"/>
  </r>
  <r>
    <x v="1"/>
    <x v="4"/>
    <x v="4"/>
    <n v="664"/>
    <n v="27"/>
    <n v="637"/>
  </r>
  <r>
    <x v="2"/>
    <x v="0"/>
    <x v="0"/>
    <n v="44"/>
    <n v="39"/>
    <n v="5"/>
  </r>
  <r>
    <x v="2"/>
    <x v="0"/>
    <x v="1"/>
    <n v="95"/>
    <n v="77"/>
    <n v="18"/>
  </r>
  <r>
    <x v="2"/>
    <x v="0"/>
    <x v="2"/>
    <n v="6"/>
    <n v="4"/>
    <n v="2"/>
  </r>
  <r>
    <x v="2"/>
    <x v="0"/>
    <x v="3"/>
    <n v="7"/>
    <n v="7"/>
    <n v="0"/>
  </r>
  <r>
    <x v="2"/>
    <x v="0"/>
    <x v="4"/>
    <n v="51"/>
    <n v="44"/>
    <n v="7"/>
  </r>
  <r>
    <x v="2"/>
    <x v="1"/>
    <x v="0"/>
    <n v="543"/>
    <n v="17"/>
    <n v="526"/>
  </r>
  <r>
    <x v="2"/>
    <x v="1"/>
    <x v="1"/>
    <n v="2065"/>
    <n v="132"/>
    <n v="1933"/>
  </r>
  <r>
    <x v="2"/>
    <x v="1"/>
    <x v="4"/>
    <n v="262"/>
    <n v="14"/>
    <n v="248"/>
  </r>
  <r>
    <x v="2"/>
    <x v="2"/>
    <x v="5"/>
    <n v="194"/>
    <n v="176"/>
    <n v="18"/>
  </r>
  <r>
    <x v="2"/>
    <x v="2"/>
    <x v="6"/>
    <n v="3"/>
    <n v="2"/>
    <n v="1"/>
  </r>
  <r>
    <x v="2"/>
    <x v="2"/>
    <x v="7"/>
    <n v="74"/>
    <n v="57"/>
    <n v="17"/>
  </r>
  <r>
    <x v="2"/>
    <x v="2"/>
    <x v="8"/>
    <n v="40"/>
    <n v="15"/>
    <n v="25"/>
  </r>
  <r>
    <x v="2"/>
    <x v="2"/>
    <x v="9"/>
    <n v="316"/>
    <n v="101"/>
    <n v="215"/>
  </r>
  <r>
    <x v="2"/>
    <x v="2"/>
    <x v="10"/>
    <n v="34"/>
    <n v="18"/>
    <n v="16"/>
  </r>
  <r>
    <x v="2"/>
    <x v="2"/>
    <x v="11"/>
    <n v="167"/>
    <n v="94"/>
    <n v="73"/>
  </r>
  <r>
    <x v="2"/>
    <x v="3"/>
    <x v="0"/>
    <n v="46"/>
    <n v="6"/>
    <n v="40"/>
  </r>
  <r>
    <x v="2"/>
    <x v="3"/>
    <x v="1"/>
    <n v="260"/>
    <n v="48"/>
    <n v="212"/>
  </r>
  <r>
    <x v="2"/>
    <x v="3"/>
    <x v="4"/>
    <n v="36"/>
    <n v="2"/>
    <n v="34"/>
  </r>
  <r>
    <x v="2"/>
    <x v="4"/>
    <x v="12"/>
    <n v="35"/>
    <n v="0"/>
    <n v="35"/>
  </r>
  <r>
    <x v="2"/>
    <x v="4"/>
    <x v="13"/>
    <n v="4"/>
    <n v="0"/>
    <n v="4"/>
  </r>
  <r>
    <x v="2"/>
    <x v="4"/>
    <x v="0"/>
    <n v="600"/>
    <n v="27"/>
    <n v="573"/>
  </r>
  <r>
    <x v="2"/>
    <x v="4"/>
    <x v="1"/>
    <n v="2258"/>
    <n v="113"/>
    <n v="2145"/>
  </r>
  <r>
    <x v="2"/>
    <x v="4"/>
    <x v="2"/>
    <n v="90"/>
    <n v="3"/>
    <n v="87"/>
  </r>
  <r>
    <x v="2"/>
    <x v="4"/>
    <x v="3"/>
    <n v="126"/>
    <n v="2"/>
    <n v="124"/>
  </r>
  <r>
    <x v="2"/>
    <x v="4"/>
    <x v="4"/>
    <n v="577"/>
    <n v="22"/>
    <n v="555"/>
  </r>
  <r>
    <x v="3"/>
    <x v="0"/>
    <x v="0"/>
    <n v="31"/>
    <n v="26"/>
    <n v="5"/>
  </r>
  <r>
    <x v="3"/>
    <x v="0"/>
    <x v="1"/>
    <n v="80"/>
    <n v="67"/>
    <n v="13"/>
  </r>
  <r>
    <x v="3"/>
    <x v="0"/>
    <x v="2"/>
    <n v="5"/>
    <n v="4"/>
    <n v="1"/>
  </r>
  <r>
    <x v="3"/>
    <x v="0"/>
    <x v="3"/>
    <n v="8"/>
    <n v="7"/>
    <n v="1"/>
  </r>
  <r>
    <x v="3"/>
    <x v="0"/>
    <x v="4"/>
    <n v="41"/>
    <n v="35"/>
    <n v="6"/>
  </r>
  <r>
    <x v="3"/>
    <x v="1"/>
    <x v="0"/>
    <n v="549"/>
    <n v="15"/>
    <n v="534"/>
  </r>
  <r>
    <x v="3"/>
    <x v="1"/>
    <x v="1"/>
    <n v="2061"/>
    <n v="127"/>
    <n v="1934"/>
  </r>
  <r>
    <x v="3"/>
    <x v="1"/>
    <x v="4"/>
    <n v="260"/>
    <n v="16"/>
    <n v="244"/>
  </r>
  <r>
    <x v="3"/>
    <x v="2"/>
    <x v="5"/>
    <n v="170"/>
    <n v="159"/>
    <n v="11"/>
  </r>
  <r>
    <x v="3"/>
    <x v="2"/>
    <x v="6"/>
    <n v="3"/>
    <n v="2"/>
    <n v="1"/>
  </r>
  <r>
    <x v="3"/>
    <x v="2"/>
    <x v="7"/>
    <n v="78"/>
    <n v="58"/>
    <n v="20"/>
  </r>
  <r>
    <x v="3"/>
    <x v="2"/>
    <x v="8"/>
    <n v="42"/>
    <n v="17"/>
    <n v="25"/>
  </r>
  <r>
    <x v="3"/>
    <x v="2"/>
    <x v="9"/>
    <n v="346"/>
    <n v="113"/>
    <n v="233"/>
  </r>
  <r>
    <x v="3"/>
    <x v="2"/>
    <x v="10"/>
    <n v="34"/>
    <n v="19"/>
    <n v="15"/>
  </r>
  <r>
    <x v="3"/>
    <x v="2"/>
    <x v="11"/>
    <n v="165"/>
    <n v="98"/>
    <n v="67"/>
  </r>
  <r>
    <x v="3"/>
    <x v="3"/>
    <x v="0"/>
    <n v="46"/>
    <n v="4"/>
    <n v="38"/>
  </r>
  <r>
    <x v="3"/>
    <x v="3"/>
    <x v="1"/>
    <n v="260"/>
    <n v="40"/>
    <n v="198"/>
  </r>
  <r>
    <x v="3"/>
    <x v="3"/>
    <x v="4"/>
    <n v="36"/>
    <n v="4"/>
    <n v="32"/>
  </r>
  <r>
    <x v="3"/>
    <x v="4"/>
    <x v="12"/>
    <n v="34"/>
    <n v="0"/>
    <n v="34"/>
  </r>
  <r>
    <x v="3"/>
    <x v="4"/>
    <x v="13"/>
    <n v="4"/>
    <n v="0"/>
    <n v="4"/>
  </r>
  <r>
    <x v="3"/>
    <x v="4"/>
    <x v="0"/>
    <n v="635"/>
    <n v="29"/>
    <n v="606"/>
  </r>
  <r>
    <x v="3"/>
    <x v="4"/>
    <x v="1"/>
    <n v="2161"/>
    <n v="122"/>
    <n v="2039"/>
  </r>
  <r>
    <x v="3"/>
    <x v="4"/>
    <x v="2"/>
    <n v="70"/>
    <n v="2"/>
    <n v="68"/>
  </r>
  <r>
    <x v="3"/>
    <x v="4"/>
    <x v="3"/>
    <n v="151"/>
    <n v="2"/>
    <n v="149"/>
  </r>
  <r>
    <x v="3"/>
    <x v="4"/>
    <x v="4"/>
    <n v="590"/>
    <n v="23"/>
    <n v="567"/>
  </r>
  <r>
    <x v="4"/>
    <x v="0"/>
    <x v="0"/>
    <n v="27"/>
    <n v="23"/>
    <n v="4"/>
  </r>
  <r>
    <x v="4"/>
    <x v="0"/>
    <x v="1"/>
    <n v="106"/>
    <n v="88"/>
    <n v="18"/>
  </r>
  <r>
    <x v="4"/>
    <x v="0"/>
    <x v="2"/>
    <n v="5"/>
    <n v="4"/>
    <n v="1"/>
  </r>
  <r>
    <x v="4"/>
    <x v="0"/>
    <x v="3"/>
    <n v="8"/>
    <n v="7"/>
    <n v="1"/>
  </r>
  <r>
    <x v="4"/>
    <x v="0"/>
    <x v="4"/>
    <n v="43"/>
    <n v="36"/>
    <n v="7"/>
  </r>
  <r>
    <x v="4"/>
    <x v="1"/>
    <x v="0"/>
    <n v="525"/>
    <n v="19"/>
    <n v="506"/>
  </r>
  <r>
    <x v="4"/>
    <x v="1"/>
    <x v="1"/>
    <n v="2077"/>
    <n v="138"/>
    <n v="1939"/>
  </r>
  <r>
    <x v="4"/>
    <x v="1"/>
    <x v="4"/>
    <n v="261"/>
    <n v="14"/>
    <n v="247"/>
  </r>
  <r>
    <x v="4"/>
    <x v="2"/>
    <x v="5"/>
    <n v="164"/>
    <n v="155"/>
    <n v="9"/>
  </r>
  <r>
    <x v="4"/>
    <x v="2"/>
    <x v="6"/>
    <n v="2"/>
    <n v="1"/>
    <n v="1"/>
  </r>
  <r>
    <x v="4"/>
    <x v="2"/>
    <x v="7"/>
    <n v="79"/>
    <n v="57"/>
    <n v="22"/>
  </r>
  <r>
    <x v="4"/>
    <x v="2"/>
    <x v="8"/>
    <n v="50"/>
    <n v="17"/>
    <n v="33"/>
  </r>
  <r>
    <x v="4"/>
    <x v="2"/>
    <x v="9"/>
    <n v="366"/>
    <n v="139"/>
    <n v="227"/>
  </r>
  <r>
    <x v="4"/>
    <x v="2"/>
    <x v="10"/>
    <n v="32"/>
    <n v="19"/>
    <n v="13"/>
  </r>
  <r>
    <x v="4"/>
    <x v="2"/>
    <x v="14"/>
    <n v="153"/>
    <n v="88"/>
    <n v="65"/>
  </r>
  <r>
    <x v="4"/>
    <x v="3"/>
    <x v="0"/>
    <n v="39"/>
    <n v="3"/>
    <n v="36"/>
  </r>
  <r>
    <x v="4"/>
    <x v="3"/>
    <x v="1"/>
    <n v="256"/>
    <n v="47"/>
    <n v="209"/>
  </r>
  <r>
    <x v="4"/>
    <x v="3"/>
    <x v="4"/>
    <n v="37"/>
    <n v="5"/>
    <n v="32"/>
  </r>
  <r>
    <x v="4"/>
    <x v="4"/>
    <x v="12"/>
    <n v="34"/>
    <m/>
    <n v="34"/>
  </r>
  <r>
    <x v="4"/>
    <x v="4"/>
    <x v="13"/>
    <n v="4"/>
    <m/>
    <n v="4"/>
  </r>
  <r>
    <x v="4"/>
    <x v="4"/>
    <x v="0"/>
    <n v="689"/>
    <n v="26"/>
    <n v="663"/>
  </r>
  <r>
    <x v="4"/>
    <x v="4"/>
    <x v="1"/>
    <n v="1989"/>
    <n v="114"/>
    <n v="1875"/>
  </r>
  <r>
    <x v="4"/>
    <x v="4"/>
    <x v="2"/>
    <n v="74"/>
    <n v="2"/>
    <n v="72"/>
  </r>
  <r>
    <x v="4"/>
    <x v="4"/>
    <x v="3"/>
    <n v="153"/>
    <n v="2"/>
    <n v="151"/>
  </r>
  <r>
    <x v="4"/>
    <x v="4"/>
    <x v="4"/>
    <n v="603"/>
    <n v="31"/>
    <n v="572"/>
  </r>
  <r>
    <x v="5"/>
    <x v="0"/>
    <x v="12"/>
    <n v="1"/>
    <n v="1"/>
    <m/>
  </r>
  <r>
    <x v="5"/>
    <x v="0"/>
    <x v="0"/>
    <n v="27"/>
    <n v="21"/>
    <n v="6"/>
  </r>
  <r>
    <x v="5"/>
    <x v="0"/>
    <x v="1"/>
    <n v="124"/>
    <n v="103"/>
    <n v="21"/>
  </r>
  <r>
    <x v="5"/>
    <x v="0"/>
    <x v="2"/>
    <n v="4"/>
    <n v="3"/>
    <n v="1"/>
  </r>
  <r>
    <x v="5"/>
    <x v="0"/>
    <x v="3"/>
    <n v="9"/>
    <n v="8"/>
    <n v="1"/>
  </r>
  <r>
    <x v="5"/>
    <x v="0"/>
    <x v="4"/>
    <n v="42"/>
    <n v="36"/>
    <n v="6"/>
  </r>
  <r>
    <x v="5"/>
    <x v="1"/>
    <x v="0"/>
    <n v="533"/>
    <n v="20"/>
    <n v="513"/>
  </r>
  <r>
    <x v="5"/>
    <x v="1"/>
    <x v="1"/>
    <n v="2141"/>
    <n v="168"/>
    <n v="1973"/>
  </r>
  <r>
    <x v="5"/>
    <x v="1"/>
    <x v="4"/>
    <n v="261"/>
    <n v="13"/>
    <n v="248"/>
  </r>
  <r>
    <x v="5"/>
    <x v="5"/>
    <x v="15"/>
    <n v="18"/>
    <n v="1"/>
    <n v="17"/>
  </r>
  <r>
    <x v="5"/>
    <x v="2"/>
    <x v="5"/>
    <n v="170"/>
    <n v="159"/>
    <n v="11"/>
  </r>
  <r>
    <x v="5"/>
    <x v="2"/>
    <x v="6"/>
    <n v="3"/>
    <n v="2"/>
    <n v="1"/>
  </r>
  <r>
    <x v="5"/>
    <x v="2"/>
    <x v="7"/>
    <n v="84"/>
    <n v="58"/>
    <n v="26"/>
  </r>
  <r>
    <x v="5"/>
    <x v="2"/>
    <x v="8"/>
    <n v="49"/>
    <n v="15"/>
    <n v="34"/>
  </r>
  <r>
    <x v="5"/>
    <x v="2"/>
    <x v="9"/>
    <n v="388"/>
    <n v="146"/>
    <n v="242"/>
  </r>
  <r>
    <x v="5"/>
    <x v="2"/>
    <x v="10"/>
    <n v="34"/>
    <n v="21"/>
    <n v="13"/>
  </r>
  <r>
    <x v="5"/>
    <x v="2"/>
    <x v="14"/>
    <n v="64"/>
    <n v="26"/>
    <n v="38"/>
  </r>
  <r>
    <x v="5"/>
    <x v="3"/>
    <x v="0"/>
    <n v="40"/>
    <n v="3"/>
    <n v="37"/>
  </r>
  <r>
    <x v="5"/>
    <x v="3"/>
    <x v="1"/>
    <n v="240"/>
    <n v="46"/>
    <n v="194"/>
  </r>
  <r>
    <x v="5"/>
    <x v="3"/>
    <x v="4"/>
    <n v="37"/>
    <n v="5"/>
    <n v="32"/>
  </r>
  <r>
    <x v="5"/>
    <x v="4"/>
    <x v="12"/>
    <n v="33"/>
    <m/>
    <n v="33"/>
  </r>
  <r>
    <x v="5"/>
    <x v="4"/>
    <x v="13"/>
    <n v="4"/>
    <m/>
    <n v="4"/>
  </r>
  <r>
    <x v="5"/>
    <x v="4"/>
    <x v="0"/>
    <n v="687"/>
    <n v="27"/>
    <n v="660"/>
  </r>
  <r>
    <x v="5"/>
    <x v="4"/>
    <x v="1"/>
    <n v="2075"/>
    <n v="132"/>
    <n v="1943"/>
  </r>
  <r>
    <x v="5"/>
    <x v="4"/>
    <x v="2"/>
    <n v="80"/>
    <n v="2"/>
    <n v="78"/>
  </r>
  <r>
    <x v="5"/>
    <x v="4"/>
    <x v="3"/>
    <n v="147"/>
    <n v="2"/>
    <n v="145"/>
  </r>
  <r>
    <x v="5"/>
    <x v="4"/>
    <x v="4"/>
    <n v="611"/>
    <n v="33"/>
    <n v="578"/>
  </r>
  <r>
    <x v="6"/>
    <x v="0"/>
    <x v="12"/>
    <n v="1"/>
    <n v="1"/>
    <m/>
  </r>
  <r>
    <x v="6"/>
    <x v="0"/>
    <x v="0"/>
    <n v="26"/>
    <n v="21"/>
    <n v="5"/>
  </r>
  <r>
    <x v="6"/>
    <x v="0"/>
    <x v="1"/>
    <n v="104"/>
    <n v="86"/>
    <n v="18"/>
  </r>
  <r>
    <x v="6"/>
    <x v="0"/>
    <x v="2"/>
    <n v="4"/>
    <n v="3"/>
    <n v="1"/>
  </r>
  <r>
    <x v="6"/>
    <x v="0"/>
    <x v="3"/>
    <n v="8"/>
    <n v="7"/>
    <n v="1"/>
  </r>
  <r>
    <x v="6"/>
    <x v="0"/>
    <x v="4"/>
    <n v="45"/>
    <n v="38"/>
    <n v="7"/>
  </r>
  <r>
    <x v="6"/>
    <x v="1"/>
    <x v="0"/>
    <n v="520"/>
    <n v="20"/>
    <n v="500"/>
  </r>
  <r>
    <x v="6"/>
    <x v="1"/>
    <x v="1"/>
    <n v="2155"/>
    <n v="175"/>
    <n v="1980"/>
  </r>
  <r>
    <x v="6"/>
    <x v="1"/>
    <x v="4"/>
    <n v="262"/>
    <n v="13"/>
    <n v="249"/>
  </r>
  <r>
    <x v="6"/>
    <x v="5"/>
    <x v="4"/>
    <n v="36"/>
    <n v="7"/>
    <n v="29"/>
  </r>
  <r>
    <x v="6"/>
    <x v="2"/>
    <x v="5"/>
    <n v="183"/>
    <n v="172"/>
    <n v="11"/>
  </r>
  <r>
    <x v="6"/>
    <x v="2"/>
    <x v="6"/>
    <n v="3"/>
    <n v="2"/>
    <n v="1"/>
  </r>
  <r>
    <x v="6"/>
    <x v="2"/>
    <x v="7"/>
    <n v="90"/>
    <n v="61"/>
    <n v="29"/>
  </r>
  <r>
    <x v="6"/>
    <x v="2"/>
    <x v="8"/>
    <n v="47"/>
    <n v="14"/>
    <n v="33"/>
  </r>
  <r>
    <x v="6"/>
    <x v="2"/>
    <x v="9"/>
    <n v="400"/>
    <n v="152"/>
    <n v="248"/>
  </r>
  <r>
    <x v="6"/>
    <x v="2"/>
    <x v="10"/>
    <n v="32"/>
    <n v="20"/>
    <n v="12"/>
  </r>
  <r>
    <x v="6"/>
    <x v="2"/>
    <x v="14"/>
    <n v="63"/>
    <n v="26"/>
    <n v="37"/>
  </r>
  <r>
    <x v="6"/>
    <x v="3"/>
    <x v="0"/>
    <n v="41"/>
    <n v="1"/>
    <n v="40"/>
  </r>
  <r>
    <x v="6"/>
    <x v="3"/>
    <x v="1"/>
    <n v="237"/>
    <n v="48"/>
    <n v="189"/>
  </r>
  <r>
    <x v="6"/>
    <x v="3"/>
    <x v="4"/>
    <n v="37"/>
    <n v="5"/>
    <n v="32"/>
  </r>
  <r>
    <x v="6"/>
    <x v="4"/>
    <x v="12"/>
    <n v="31"/>
    <m/>
    <n v="31"/>
  </r>
  <r>
    <x v="6"/>
    <x v="4"/>
    <x v="13"/>
    <n v="6"/>
    <m/>
    <n v="6"/>
  </r>
  <r>
    <x v="6"/>
    <x v="4"/>
    <x v="0"/>
    <n v="688"/>
    <n v="31"/>
    <n v="657"/>
  </r>
  <r>
    <x v="6"/>
    <x v="4"/>
    <x v="1"/>
    <n v="2070"/>
    <n v="154"/>
    <n v="1916"/>
  </r>
  <r>
    <x v="6"/>
    <x v="4"/>
    <x v="2"/>
    <n v="80"/>
    <n v="2"/>
    <n v="78"/>
  </r>
  <r>
    <x v="6"/>
    <x v="4"/>
    <x v="3"/>
    <n v="153"/>
    <n v="5"/>
    <n v="148"/>
  </r>
  <r>
    <x v="6"/>
    <x v="4"/>
    <x v="4"/>
    <n v="608"/>
    <n v="30"/>
    <n v="578"/>
  </r>
</pivotCacheRecords>
</file>

<file path=xl/pivotCache/pivotCacheRecords2.xml><?xml version="1.0" encoding="utf-8"?>
<pivotCacheRecords xmlns="http://schemas.openxmlformats.org/spreadsheetml/2006/main" xmlns:r="http://schemas.openxmlformats.org/officeDocument/2006/relationships" count="8">
  <r>
    <x v="0"/>
    <x v="0"/>
    <n v="358"/>
    <m/>
    <m/>
    <n v="95"/>
    <n v="29"/>
    <m/>
    <m/>
    <n v="234"/>
  </r>
  <r>
    <x v="0"/>
    <x v="1"/>
    <n v="264"/>
    <n v="33"/>
    <n v="4"/>
    <m/>
    <m/>
    <n v="80"/>
    <n v="147"/>
    <m/>
  </r>
  <r>
    <x v="0"/>
    <x v="2"/>
    <n v="2955"/>
    <m/>
    <m/>
    <n v="592"/>
    <n v="1986"/>
    <m/>
    <m/>
    <n v="377"/>
  </r>
  <r>
    <x v="0"/>
    <x v="3"/>
    <n v="60"/>
    <m/>
    <m/>
    <m/>
    <n v="60"/>
    <m/>
    <m/>
    <m/>
  </r>
  <r>
    <x v="1"/>
    <x v="0"/>
    <n v="351"/>
    <m/>
    <m/>
    <n v="91"/>
    <n v="28"/>
    <m/>
    <m/>
    <n v="232"/>
  </r>
  <r>
    <x v="1"/>
    <x v="1"/>
    <n v="270"/>
    <n v="31"/>
    <n v="6"/>
    <m/>
    <m/>
    <n v="80"/>
    <n v="153"/>
    <m/>
  </r>
  <r>
    <x v="1"/>
    <x v="2"/>
    <n v="2966"/>
    <m/>
    <m/>
    <n v="597"/>
    <n v="1993"/>
    <m/>
    <m/>
    <n v="376"/>
  </r>
  <r>
    <x v="1"/>
    <x v="3"/>
    <n v="49"/>
    <m/>
    <m/>
    <m/>
    <n v="49"/>
    <m/>
    <m/>
    <m/>
  </r>
</pivotCacheRecords>
</file>

<file path=xl/pivotCache/pivotCacheRecords20.xml><?xml version="1.0" encoding="utf-8"?>
<pivotCacheRecords xmlns="http://schemas.openxmlformats.org/spreadsheetml/2006/main" xmlns:r="http://schemas.openxmlformats.org/officeDocument/2006/relationships" count="42">
  <r>
    <x v="0"/>
    <x v="0"/>
    <m/>
    <x v="0"/>
    <n v="584"/>
    <m/>
    <n v="14"/>
    <n v="10.8"/>
    <n v="20.8"/>
    <n v="204.10000000000002"/>
    <n v="153.1"/>
    <n v="181.2"/>
  </r>
  <r>
    <x v="0"/>
    <x v="0"/>
    <m/>
    <x v="1"/>
    <n v="325.2"/>
    <m/>
    <n v="4"/>
    <n v="4"/>
    <n v="8"/>
    <n v="102.4"/>
    <n v="100.5"/>
    <n v="106.3"/>
  </r>
  <r>
    <x v="0"/>
    <x v="0"/>
    <m/>
    <x v="2"/>
    <n v="137.1"/>
    <m/>
    <n v="6"/>
    <n v="2"/>
    <n v="7"/>
    <n v="44.7"/>
    <n v="36.700000000000003"/>
    <n v="40.699999999999996"/>
  </r>
  <r>
    <x v="0"/>
    <x v="0"/>
    <m/>
    <x v="3"/>
    <n v="121.7"/>
    <m/>
    <n v="4"/>
    <n v="4.8"/>
    <n v="5.8"/>
    <n v="57"/>
    <n v="15.899999999999999"/>
    <n v="34.200000000000003"/>
  </r>
  <r>
    <x v="0"/>
    <x v="1"/>
    <m/>
    <x v="4"/>
    <n v="227.3"/>
    <m/>
    <n v="55.7"/>
    <n v="9"/>
    <n v="21.5"/>
    <n v="52.3"/>
    <n v="46.4"/>
    <n v="42.4"/>
  </r>
  <r>
    <x v="0"/>
    <x v="2"/>
    <m/>
    <x v="4"/>
    <n v="811.3"/>
    <m/>
    <n v="69.7"/>
    <n v="19.8"/>
    <n v="42.3"/>
    <n v="256.40000000000003"/>
    <n v="199.5"/>
    <n v="223.6"/>
  </r>
  <r>
    <x v="1"/>
    <x v="0"/>
    <m/>
    <x v="0"/>
    <n v="520.51"/>
    <m/>
    <n v="9"/>
    <n v="23"/>
    <n v="30.189999999999998"/>
    <n v="217.87"/>
    <n v="126.97999999999996"/>
    <n v="113.47000000000003"/>
  </r>
  <r>
    <x v="1"/>
    <x v="0"/>
    <m/>
    <x v="1"/>
    <n v="276.51"/>
    <m/>
    <n v="3"/>
    <n v="9"/>
    <n v="13.36"/>
    <n v="108.52999999999999"/>
    <n v="75.46999999999997"/>
    <n v="67.15000000000002"/>
  </r>
  <r>
    <x v="1"/>
    <x v="0"/>
    <m/>
    <x v="2"/>
    <n v="128.35"/>
    <m/>
    <n v="3"/>
    <n v="7"/>
    <n v="11"/>
    <n v="46.7"/>
    <n v="36.069999999999986"/>
    <n v="24.580000000000005"/>
  </r>
  <r>
    <x v="1"/>
    <x v="0"/>
    <m/>
    <x v="3"/>
    <n v="115.65"/>
    <m/>
    <n v="3"/>
    <n v="7"/>
    <n v="5.83"/>
    <n v="62.64"/>
    <n v="15.44"/>
    <n v="21.74"/>
  </r>
  <r>
    <x v="1"/>
    <x v="1"/>
    <m/>
    <x v="4"/>
    <n v="223.45000000000002"/>
    <n v="2"/>
    <n v="34.99"/>
    <n v="12.9"/>
    <n v="25.28"/>
    <n v="109.36000000000001"/>
    <n v="0"/>
    <n v="38.92"/>
  </r>
  <r>
    <x v="1"/>
    <x v="2"/>
    <m/>
    <x v="4"/>
    <n v="743.95999999999992"/>
    <n v="2"/>
    <n v="43.99"/>
    <n v="35.9"/>
    <n v="55.47"/>
    <n v="327.22999999999996"/>
    <n v="126.98"/>
    <n v="152.39000000000001"/>
  </r>
  <r>
    <x v="2"/>
    <x v="0"/>
    <m/>
    <x v="0"/>
    <n v="426.39114285714288"/>
    <m/>
    <n v="8"/>
    <n v="21.6"/>
    <n v="36.428571428571431"/>
    <n v="190.97"/>
    <n v="109.34542857142856"/>
    <n v="60.047142857142852"/>
  </r>
  <r>
    <x v="2"/>
    <x v="0"/>
    <m/>
    <x v="1"/>
    <n v="219.71714285714287"/>
    <m/>
    <n v="2"/>
    <n v="9.6"/>
    <n v="14.685714285714285"/>
    <n v="97.048571428571421"/>
    <n v="61.014285714285712"/>
    <n v="35.368571428571428"/>
  </r>
  <r>
    <x v="2"/>
    <x v="0"/>
    <m/>
    <x v="2"/>
    <n v="95.721428571428561"/>
    <m/>
    <n v="3"/>
    <n v="5"/>
    <n v="11.528571428571428"/>
    <n v="33.935714285714283"/>
    <n v="32.164285714285711"/>
    <n v="10.092857142857142"/>
  </r>
  <r>
    <x v="2"/>
    <x v="0"/>
    <m/>
    <x v="3"/>
    <n v="110.95257142857143"/>
    <m/>
    <n v="3"/>
    <n v="7"/>
    <n v="10.214285714285715"/>
    <n v="59.985714285714288"/>
    <n v="16.166857142857143"/>
    <n v="14.585714285714284"/>
  </r>
  <r>
    <x v="2"/>
    <x v="1"/>
    <m/>
    <x v="4"/>
    <n v="276.74971428571428"/>
    <n v="3"/>
    <n v="32"/>
    <n v="11.709428571428571"/>
    <n v="34.285714285714285"/>
    <n v="106.63857142857142"/>
    <n v="3.8905714285714286"/>
    <n v="85"/>
  </r>
  <r>
    <x v="2"/>
    <x v="2"/>
    <m/>
    <x v="4"/>
    <n v="718.56228571428574"/>
    <n v="3"/>
    <n v="40"/>
    <n v="33.309428571428569"/>
    <n v="70.714285714285722"/>
    <n v="303.60857142857139"/>
    <n v="122.20028571428574"/>
    <n v="146"/>
  </r>
  <r>
    <x v="3"/>
    <x v="0"/>
    <m/>
    <x v="0"/>
    <n v="486"/>
    <m/>
    <n v="8"/>
    <n v="21"/>
    <n v="37"/>
    <n v="231"/>
    <n v="104"/>
    <n v="81"/>
  </r>
  <r>
    <x v="3"/>
    <x v="0"/>
    <m/>
    <x v="1"/>
    <n v="248"/>
    <m/>
    <n v="2"/>
    <n v="9"/>
    <n v="14"/>
    <n v="114"/>
    <n v="64"/>
    <n v="43"/>
  </r>
  <r>
    <x v="3"/>
    <x v="0"/>
    <m/>
    <x v="2"/>
    <n v="113"/>
    <m/>
    <n v="3"/>
    <n v="5"/>
    <n v="12"/>
    <n v="47"/>
    <n v="29"/>
    <n v="16"/>
  </r>
  <r>
    <x v="3"/>
    <x v="0"/>
    <m/>
    <x v="3"/>
    <n v="124"/>
    <m/>
    <n v="3"/>
    <n v="7"/>
    <n v="11"/>
    <n v="70"/>
    <n v="11"/>
    <n v="21"/>
  </r>
  <r>
    <x v="3"/>
    <x v="1"/>
    <m/>
    <x v="4"/>
    <n v="250"/>
    <n v="3"/>
    <n v="34"/>
    <n v="12"/>
    <n v="36"/>
    <n v="100"/>
    <n v="5"/>
    <n v="58"/>
  </r>
  <r>
    <x v="3"/>
    <x v="2"/>
    <m/>
    <x v="4"/>
    <n v="745"/>
    <n v="3"/>
    <n v="42"/>
    <n v="33"/>
    <n v="74"/>
    <n v="334"/>
    <n v="115"/>
    <n v="140"/>
  </r>
  <r>
    <x v="4"/>
    <x v="0"/>
    <m/>
    <x v="0"/>
    <n v="499"/>
    <m/>
    <n v="8"/>
    <n v="20"/>
    <n v="35"/>
    <n v="250"/>
    <n v="106"/>
    <n v="79"/>
  </r>
  <r>
    <x v="4"/>
    <x v="0"/>
    <m/>
    <x v="1"/>
    <n v="260"/>
    <m/>
    <n v="2"/>
    <n v="9"/>
    <n v="15"/>
    <n v="128"/>
    <n v="63"/>
    <n v="43"/>
  </r>
  <r>
    <x v="4"/>
    <x v="0"/>
    <m/>
    <x v="2"/>
    <n v="105"/>
    <m/>
    <n v="3"/>
    <n v="3"/>
    <n v="10"/>
    <n v="44"/>
    <n v="30"/>
    <n v="16"/>
  </r>
  <r>
    <x v="4"/>
    <x v="0"/>
    <m/>
    <x v="3"/>
    <n v="133"/>
    <m/>
    <n v="3"/>
    <n v="8"/>
    <n v="10"/>
    <n v="78"/>
    <n v="13"/>
    <n v="20"/>
  </r>
  <r>
    <x v="4"/>
    <x v="1"/>
    <m/>
    <x v="4"/>
    <n v="260"/>
    <n v="2"/>
    <n v="42"/>
    <n v="11"/>
    <n v="40"/>
    <n v="105"/>
    <n v="4"/>
    <n v="56"/>
  </r>
  <r>
    <x v="4"/>
    <x v="2"/>
    <m/>
    <x v="4"/>
    <n v="759"/>
    <n v="2"/>
    <n v="50"/>
    <n v="31"/>
    <n v="76"/>
    <n v="355"/>
    <n v="110"/>
    <n v="135"/>
  </r>
  <r>
    <x v="5"/>
    <x v="0"/>
    <m/>
    <x v="0"/>
    <n v="455"/>
    <m/>
    <n v="7"/>
    <n v="22"/>
    <n v="34"/>
    <n v="250"/>
    <n v="58"/>
    <n v="83"/>
  </r>
  <r>
    <x v="5"/>
    <x v="0"/>
    <m/>
    <x v="1"/>
    <n v="225"/>
    <m/>
    <n v="2"/>
    <n v="9"/>
    <n v="15"/>
    <n v="128"/>
    <n v="25"/>
    <n v="46"/>
  </r>
  <r>
    <x v="5"/>
    <x v="0"/>
    <m/>
    <x v="2"/>
    <n v="97"/>
    <m/>
    <n v="2"/>
    <n v="4"/>
    <n v="10"/>
    <n v="48"/>
    <n v="16"/>
    <n v="17"/>
  </r>
  <r>
    <x v="5"/>
    <x v="0"/>
    <m/>
    <x v="3"/>
    <n v="133"/>
    <m/>
    <n v="3"/>
    <n v="9"/>
    <n v="10"/>
    <n v="74"/>
    <n v="16"/>
    <n v="20"/>
  </r>
  <r>
    <x v="5"/>
    <x v="1"/>
    <m/>
    <x v="4"/>
    <n v="291"/>
    <n v="3"/>
    <n v="42"/>
    <n v="12"/>
    <n v="46"/>
    <n v="125"/>
    <n v="1"/>
    <n v="62"/>
  </r>
  <r>
    <x v="5"/>
    <x v="2"/>
    <m/>
    <x v="4"/>
    <n v="746"/>
    <n v="3"/>
    <n v="49"/>
    <n v="34"/>
    <n v="80"/>
    <n v="376"/>
    <n v="59"/>
    <n v="145"/>
  </r>
  <r>
    <x v="6"/>
    <x v="0"/>
    <m/>
    <x v="0"/>
    <n v="433"/>
    <m/>
    <n v="6"/>
    <n v="23"/>
    <n v="19"/>
    <n v="243"/>
    <n v="56"/>
    <n v="86"/>
  </r>
  <r>
    <x v="6"/>
    <x v="0"/>
    <m/>
    <x v="1"/>
    <n v="219"/>
    <m/>
    <n v="2"/>
    <n v="9"/>
    <n v="8"/>
    <n v="130"/>
    <n v="25"/>
    <n v="45"/>
  </r>
  <r>
    <x v="6"/>
    <x v="0"/>
    <m/>
    <x v="2"/>
    <n v="90"/>
    <m/>
    <n v="2"/>
    <n v="5"/>
    <n v="6"/>
    <n v="44"/>
    <n v="15"/>
    <n v="17"/>
  </r>
  <r>
    <x v="6"/>
    <x v="0"/>
    <m/>
    <x v="3"/>
    <n v="124"/>
    <m/>
    <n v="2"/>
    <n v="9"/>
    <n v="5"/>
    <n v="70"/>
    <n v="15"/>
    <n v="23"/>
  </r>
  <r>
    <x v="6"/>
    <x v="1"/>
    <m/>
    <x v="4"/>
    <n v="333"/>
    <n v="3"/>
    <n v="41"/>
    <n v="9"/>
    <n v="70"/>
    <n v="139"/>
    <n v="1"/>
    <n v="70"/>
  </r>
  <r>
    <x v="6"/>
    <x v="2"/>
    <m/>
    <x v="4"/>
    <n v="765"/>
    <n v="3"/>
    <n v="47"/>
    <n v="32"/>
    <n v="89"/>
    <n v="383"/>
    <n v="57"/>
    <n v="155"/>
  </r>
</pivotCacheRecords>
</file>

<file path=xl/pivotCache/pivotCacheRecords21.xml><?xml version="1.0" encoding="utf-8"?>
<pivotCacheRecords xmlns="http://schemas.openxmlformats.org/spreadsheetml/2006/main" xmlns:r="http://schemas.openxmlformats.org/officeDocument/2006/relationships" count="7">
  <r>
    <x v="0"/>
    <x v="0"/>
    <x v="0"/>
    <s v="S92000003"/>
    <n v="212.96"/>
    <m/>
    <n v="5"/>
    <n v="11"/>
    <n v="51.56"/>
    <n v="51.01"/>
    <n v="94.39"/>
  </r>
  <r>
    <x v="1"/>
    <x v="0"/>
    <x v="0"/>
    <s v="S92000003"/>
    <n v="220.79"/>
    <m/>
    <n v="5"/>
    <n v="12.85"/>
    <n v="49.46"/>
    <n v="50.79"/>
    <n v="102.69"/>
  </r>
  <r>
    <x v="2"/>
    <x v="0"/>
    <x v="0"/>
    <s v="S92000003"/>
    <n v="195.16952380952381"/>
    <m/>
    <n v="6"/>
    <n v="6.8333333333333339"/>
    <n v="50.314285714285717"/>
    <n v="43"/>
    <n v="89.021904761904764"/>
  </r>
  <r>
    <x v="3"/>
    <x v="0"/>
    <x v="0"/>
    <s v="S92000003"/>
    <n v="160"/>
    <m/>
    <n v="5"/>
    <n v="8"/>
    <n v="40"/>
    <n v="30"/>
    <n v="76"/>
  </r>
  <r>
    <x v="4"/>
    <x v="0"/>
    <x v="0"/>
    <s v="S92000003"/>
    <n v="184"/>
    <m/>
    <n v="5"/>
    <n v="8"/>
    <n v="43"/>
    <n v="27"/>
    <n v="101"/>
  </r>
  <r>
    <x v="5"/>
    <x v="0"/>
    <x v="0"/>
    <s v="S92000003"/>
    <n v="202"/>
    <n v="1"/>
    <n v="4"/>
    <n v="9"/>
    <n v="42"/>
    <n v="27"/>
    <n v="119"/>
  </r>
  <r>
    <x v="6"/>
    <x v="0"/>
    <x v="0"/>
    <s v="S92000003"/>
    <n v="184"/>
    <n v="1"/>
    <n v="4"/>
    <n v="8"/>
    <n v="45"/>
    <n v="26"/>
    <n v="100"/>
  </r>
</pivotCacheRecords>
</file>

<file path=xl/pivotCache/pivotCacheRecords22.xml><?xml version="1.0" encoding="utf-8"?>
<pivotCacheRecords xmlns="http://schemas.openxmlformats.org/spreadsheetml/2006/main" xmlns:r="http://schemas.openxmlformats.org/officeDocument/2006/relationships" count="222">
  <r>
    <x v="0"/>
    <x v="0"/>
    <m/>
    <x v="0"/>
    <n v="2665.13"/>
    <n v="262.12"/>
    <n v="489.46"/>
    <n v="1913.55"/>
  </r>
  <r>
    <x v="0"/>
    <x v="0"/>
    <m/>
    <x v="1"/>
    <n v="16.71"/>
    <n v="1.52"/>
    <n v="3.29"/>
    <n v="11.9"/>
  </r>
  <r>
    <x v="0"/>
    <x v="0"/>
    <m/>
    <x v="2"/>
    <n v="177.25"/>
    <n v="15.25"/>
    <n v="31.25"/>
    <n v="130.75"/>
  </r>
  <r>
    <x v="0"/>
    <x v="0"/>
    <m/>
    <x v="3"/>
    <n v="66.86"/>
    <n v="8.25"/>
    <n v="8.5"/>
    <n v="50.11"/>
  </r>
  <r>
    <x v="0"/>
    <x v="0"/>
    <m/>
    <x v="4"/>
    <n v="46.75"/>
    <n v="5"/>
    <n v="8.75"/>
    <n v="33"/>
  </r>
  <r>
    <x v="0"/>
    <x v="0"/>
    <m/>
    <x v="5"/>
    <m/>
    <m/>
    <m/>
    <m/>
  </r>
  <r>
    <x v="0"/>
    <x v="0"/>
    <m/>
    <x v="6"/>
    <n v="124"/>
    <n v="12.5"/>
    <n v="24"/>
    <n v="87.5"/>
  </r>
  <r>
    <x v="0"/>
    <x v="0"/>
    <m/>
    <x v="7"/>
    <n v="49.69"/>
    <n v="3.81"/>
    <n v="7.6"/>
    <n v="38.28"/>
  </r>
  <r>
    <x v="0"/>
    <x v="0"/>
    <m/>
    <x v="8"/>
    <n v="525.5"/>
    <n v="52.25"/>
    <n v="108.25"/>
    <n v="365"/>
  </r>
  <r>
    <x v="0"/>
    <x v="0"/>
    <m/>
    <x v="9"/>
    <n v="35.5"/>
    <n v="3"/>
    <n v="3.75"/>
    <n v="28.75"/>
  </r>
  <r>
    <x v="0"/>
    <x v="0"/>
    <m/>
    <x v="10"/>
    <n v="8.75"/>
    <n v="1"/>
    <n v="1.75"/>
    <n v="6"/>
  </r>
  <r>
    <x v="0"/>
    <x v="0"/>
    <m/>
    <x v="11"/>
    <n v="95.38"/>
    <n v="8"/>
    <n v="19.5"/>
    <n v="67.88"/>
  </r>
  <r>
    <x v="0"/>
    <x v="0"/>
    <m/>
    <x v="12"/>
    <n v="86.25"/>
    <n v="8.5"/>
    <n v="14"/>
    <n v="63.75"/>
  </r>
  <r>
    <x v="0"/>
    <x v="0"/>
    <m/>
    <x v="13"/>
    <n v="111"/>
    <n v="12"/>
    <n v="21.25"/>
    <n v="77.75"/>
  </r>
  <r>
    <x v="0"/>
    <x v="0"/>
    <m/>
    <x v="14"/>
    <n v="128"/>
    <n v="9.5"/>
    <n v="24"/>
    <n v="94.5"/>
  </r>
  <r>
    <x v="0"/>
    <x v="0"/>
    <m/>
    <x v="15"/>
    <n v="119.5"/>
    <n v="12.5"/>
    <n v="22"/>
    <n v="85"/>
  </r>
  <r>
    <x v="0"/>
    <x v="0"/>
    <m/>
    <x v="16"/>
    <n v="126"/>
    <n v="12.25"/>
    <n v="28.25"/>
    <n v="85.5"/>
  </r>
  <r>
    <x v="0"/>
    <x v="0"/>
    <m/>
    <x v="17"/>
    <n v="49.25"/>
    <n v="5"/>
    <n v="8.25"/>
    <n v="36"/>
  </r>
  <r>
    <x v="0"/>
    <x v="0"/>
    <m/>
    <x v="18"/>
    <n v="79.25"/>
    <n v="8.75"/>
    <n v="8"/>
    <n v="62.5"/>
  </r>
  <r>
    <x v="0"/>
    <x v="0"/>
    <m/>
    <x v="19"/>
    <n v="58.03"/>
    <n v="7.33"/>
    <n v="11.9"/>
    <n v="38.799999999999997"/>
  </r>
  <r>
    <x v="0"/>
    <x v="0"/>
    <m/>
    <x v="20"/>
    <n v="6.5"/>
    <n v="1"/>
    <n v="1.75"/>
    <n v="3.75"/>
  </r>
  <r>
    <x v="0"/>
    <x v="0"/>
    <m/>
    <x v="21"/>
    <n v="269.71000000000004"/>
    <n v="27.46"/>
    <n v="57.67"/>
    <n v="184.58"/>
  </r>
  <r>
    <x v="0"/>
    <x v="0"/>
    <m/>
    <x v="22"/>
    <n v="178.25"/>
    <n v="16.75"/>
    <n v="22.75"/>
    <n v="138.75"/>
  </r>
  <r>
    <x v="0"/>
    <x v="0"/>
    <m/>
    <x v="23"/>
    <n v="9.75"/>
    <n v="0.75"/>
    <n v="1.75"/>
    <n v="7.25"/>
  </r>
  <r>
    <x v="0"/>
    <x v="0"/>
    <m/>
    <x v="24"/>
    <n v="11.75"/>
    <n v="1"/>
    <n v="2"/>
    <n v="8.75"/>
  </r>
  <r>
    <x v="0"/>
    <x v="0"/>
    <m/>
    <x v="25"/>
    <n v="15.75"/>
    <n v="1.75"/>
    <n v="1"/>
    <n v="13"/>
  </r>
  <r>
    <x v="0"/>
    <x v="0"/>
    <m/>
    <x v="26"/>
    <n v="49.75"/>
    <n v="5.75"/>
    <n v="9.5"/>
    <n v="34.5"/>
  </r>
  <r>
    <x v="0"/>
    <x v="0"/>
    <m/>
    <x v="27"/>
    <n v="86.75"/>
    <n v="7"/>
    <n v="17"/>
    <n v="62.75"/>
  </r>
  <r>
    <x v="0"/>
    <x v="0"/>
    <m/>
    <x v="28"/>
    <n v="12.25"/>
    <n v="0.75"/>
    <n v="2.75"/>
    <n v="8.75"/>
  </r>
  <r>
    <x v="0"/>
    <x v="0"/>
    <m/>
    <x v="29"/>
    <n v="27"/>
    <n v="2.75"/>
    <n v="3"/>
    <n v="21.25"/>
  </r>
  <r>
    <x v="0"/>
    <x v="0"/>
    <m/>
    <x v="30"/>
    <m/>
    <m/>
    <m/>
    <m/>
  </r>
  <r>
    <x v="0"/>
    <x v="0"/>
    <m/>
    <x v="31"/>
    <n v="2"/>
    <m/>
    <n v="1"/>
    <n v="1"/>
  </r>
  <r>
    <x v="0"/>
    <x v="0"/>
    <m/>
    <x v="32"/>
    <n v="92"/>
    <n v="10.75"/>
    <n v="15"/>
    <n v="66.25"/>
  </r>
  <r>
    <x v="1"/>
    <x v="0"/>
    <m/>
    <x v="0"/>
    <n v="2668.5"/>
    <n v="263.75"/>
    <n v="498"/>
    <n v="1906.75"/>
  </r>
  <r>
    <x v="1"/>
    <x v="0"/>
    <m/>
    <x v="1"/>
    <n v="18.25"/>
    <n v="1.5"/>
    <n v="4"/>
    <n v="12.75"/>
  </r>
  <r>
    <x v="1"/>
    <x v="0"/>
    <m/>
    <x v="2"/>
    <n v="185"/>
    <n v="15.25"/>
    <n v="32.75"/>
    <n v="137"/>
  </r>
  <r>
    <x v="1"/>
    <x v="0"/>
    <m/>
    <x v="3"/>
    <n v="71.25"/>
    <n v="7.5"/>
    <n v="7.25"/>
    <n v="56.5"/>
  </r>
  <r>
    <x v="1"/>
    <x v="0"/>
    <m/>
    <x v="4"/>
    <n v="52.75"/>
    <n v="5"/>
    <n v="11.5"/>
    <n v="36.25"/>
  </r>
  <r>
    <x v="1"/>
    <x v="0"/>
    <m/>
    <x v="5"/>
    <n v="0"/>
    <n v="0"/>
    <n v="0"/>
    <n v="0"/>
  </r>
  <r>
    <x v="1"/>
    <x v="0"/>
    <m/>
    <x v="6"/>
    <n v="140.25"/>
    <n v="15.5"/>
    <n v="26.5"/>
    <n v="98.25"/>
  </r>
  <r>
    <x v="1"/>
    <x v="0"/>
    <m/>
    <x v="7"/>
    <n v="51.75"/>
    <n v="4.5"/>
    <n v="6.75"/>
    <n v="40.5"/>
  </r>
  <r>
    <x v="1"/>
    <x v="0"/>
    <m/>
    <x v="8"/>
    <n v="512.75"/>
    <n v="52.25"/>
    <n v="100.25"/>
    <n v="360.25"/>
  </r>
  <r>
    <x v="1"/>
    <x v="0"/>
    <m/>
    <x v="9"/>
    <n v="33.5"/>
    <n v="3"/>
    <n v="3.75"/>
    <n v="26.75"/>
  </r>
  <r>
    <x v="1"/>
    <x v="0"/>
    <m/>
    <x v="10"/>
    <n v="11.75"/>
    <n v="1"/>
    <n v="1.75"/>
    <n v="9"/>
  </r>
  <r>
    <x v="1"/>
    <x v="0"/>
    <m/>
    <x v="11"/>
    <n v="111.75"/>
    <n v="10"/>
    <n v="23"/>
    <n v="78.75"/>
  </r>
  <r>
    <x v="1"/>
    <x v="0"/>
    <m/>
    <x v="12"/>
    <n v="82.5"/>
    <n v="8.5"/>
    <n v="15.5"/>
    <n v="58.5"/>
  </r>
  <r>
    <x v="1"/>
    <x v="0"/>
    <m/>
    <x v="13"/>
    <n v="107.25"/>
    <n v="12"/>
    <n v="25"/>
    <n v="70.25"/>
  </r>
  <r>
    <x v="1"/>
    <x v="0"/>
    <m/>
    <x v="14"/>
    <n v="116.75"/>
    <n v="12.75"/>
    <n v="24.25"/>
    <n v="79.75"/>
  </r>
  <r>
    <x v="1"/>
    <x v="0"/>
    <m/>
    <x v="15"/>
    <n v="132.25"/>
    <n v="13.25"/>
    <n v="22.75"/>
    <n v="96.25"/>
  </r>
  <r>
    <x v="1"/>
    <x v="0"/>
    <m/>
    <x v="16"/>
    <n v="119"/>
    <n v="11.25"/>
    <n v="28"/>
    <n v="79.75"/>
  </r>
  <r>
    <x v="1"/>
    <x v="0"/>
    <m/>
    <x v="17"/>
    <n v="49"/>
    <n v="5"/>
    <n v="8.25"/>
    <n v="35.75"/>
  </r>
  <r>
    <x v="1"/>
    <x v="0"/>
    <m/>
    <x v="18"/>
    <n v="76.75"/>
    <n v="8.75"/>
    <n v="8"/>
    <n v="60"/>
  </r>
  <r>
    <x v="1"/>
    <x v="0"/>
    <m/>
    <x v="19"/>
    <n v="58.5"/>
    <n v="7.25"/>
    <n v="11"/>
    <n v="40.25"/>
  </r>
  <r>
    <x v="1"/>
    <x v="0"/>
    <m/>
    <x v="20"/>
    <n v="6.5"/>
    <n v="1"/>
    <n v="1.75"/>
    <n v="3.75"/>
  </r>
  <r>
    <x v="1"/>
    <x v="0"/>
    <m/>
    <x v="21"/>
    <n v="253.25"/>
    <n v="25.25"/>
    <n v="56"/>
    <n v="172"/>
  </r>
  <r>
    <x v="1"/>
    <x v="0"/>
    <m/>
    <x v="22"/>
    <n v="166.5"/>
    <n v="14.75"/>
    <n v="22.75"/>
    <n v="129"/>
  </r>
  <r>
    <x v="1"/>
    <x v="0"/>
    <m/>
    <x v="23"/>
    <n v="10.5"/>
    <n v="0.75"/>
    <n v="1.75"/>
    <n v="8"/>
  </r>
  <r>
    <x v="1"/>
    <x v="0"/>
    <m/>
    <x v="24"/>
    <n v="11.75"/>
    <n v="1"/>
    <n v="2"/>
    <n v="8.75"/>
  </r>
  <r>
    <x v="1"/>
    <x v="0"/>
    <m/>
    <x v="25"/>
    <n v="18.5"/>
    <n v="1.75"/>
    <n v="1"/>
    <n v="15.75"/>
  </r>
  <r>
    <x v="1"/>
    <x v="0"/>
    <m/>
    <x v="26"/>
    <n v="53"/>
    <n v="5"/>
    <n v="10"/>
    <n v="38"/>
  </r>
  <r>
    <x v="1"/>
    <x v="0"/>
    <m/>
    <x v="27"/>
    <n v="83.5"/>
    <n v="7"/>
    <n v="18"/>
    <n v="58.5"/>
  </r>
  <r>
    <x v="1"/>
    <x v="0"/>
    <m/>
    <x v="28"/>
    <n v="11.75"/>
    <n v="0.75"/>
    <n v="2.75"/>
    <n v="8.25"/>
  </r>
  <r>
    <x v="1"/>
    <x v="0"/>
    <m/>
    <x v="29"/>
    <n v="28.25"/>
    <n v="2.5"/>
    <n v="3"/>
    <n v="22.75"/>
  </r>
  <r>
    <x v="1"/>
    <x v="0"/>
    <m/>
    <x v="30"/>
    <n v="0"/>
    <n v="0"/>
    <n v="0"/>
    <n v="0"/>
  </r>
  <r>
    <x v="1"/>
    <x v="0"/>
    <m/>
    <x v="31"/>
    <n v="0"/>
    <n v="0"/>
    <n v="0"/>
    <n v="0"/>
  </r>
  <r>
    <x v="1"/>
    <x v="0"/>
    <m/>
    <x v="32"/>
    <n v="94"/>
    <n v="9.75"/>
    <n v="18.75"/>
    <n v="65.5"/>
  </r>
  <r>
    <x v="2"/>
    <x v="0"/>
    <m/>
    <x v="0"/>
    <n v="2527"/>
    <n v="248"/>
    <n v="486"/>
    <n v="1793"/>
  </r>
  <r>
    <x v="2"/>
    <x v="0"/>
    <m/>
    <x v="1"/>
    <n v="16.25"/>
    <n v="2"/>
    <n v="3"/>
    <n v="11.25"/>
  </r>
  <r>
    <x v="2"/>
    <x v="0"/>
    <m/>
    <x v="2"/>
    <n v="169"/>
    <n v="14.5"/>
    <n v="30.75"/>
    <n v="123.75"/>
  </r>
  <r>
    <x v="2"/>
    <x v="0"/>
    <m/>
    <x v="3"/>
    <n v="71"/>
    <n v="6.25"/>
    <n v="8.75"/>
    <n v="56"/>
  </r>
  <r>
    <x v="2"/>
    <x v="0"/>
    <m/>
    <x v="4"/>
    <n v="45.25"/>
    <n v="4"/>
    <n v="9.75"/>
    <n v="31.5"/>
  </r>
  <r>
    <x v="2"/>
    <x v="0"/>
    <m/>
    <x v="5"/>
    <n v="1"/>
    <n v="0"/>
    <n v="0"/>
    <n v="1"/>
  </r>
  <r>
    <x v="2"/>
    <x v="0"/>
    <m/>
    <x v="6"/>
    <n v="134.25"/>
    <n v="11.75"/>
    <n v="33"/>
    <n v="89.5"/>
  </r>
  <r>
    <x v="2"/>
    <x v="0"/>
    <m/>
    <x v="7"/>
    <n v="39.75"/>
    <n v="3.75"/>
    <n v="7"/>
    <n v="29"/>
  </r>
  <r>
    <x v="2"/>
    <x v="0"/>
    <m/>
    <x v="8"/>
    <n v="489.75"/>
    <n v="51"/>
    <n v="102.5"/>
    <n v="336.25"/>
  </r>
  <r>
    <x v="2"/>
    <x v="0"/>
    <m/>
    <x v="9"/>
    <n v="33.75"/>
    <n v="3.5"/>
    <n v="5.5"/>
    <n v="24.75"/>
  </r>
  <r>
    <x v="2"/>
    <x v="0"/>
    <m/>
    <x v="10"/>
    <n v="9.25"/>
    <n v="1"/>
    <n v="1.75"/>
    <n v="6.5"/>
  </r>
  <r>
    <x v="2"/>
    <x v="0"/>
    <m/>
    <x v="11"/>
    <n v="97.25"/>
    <n v="11"/>
    <n v="21"/>
    <n v="65.25"/>
  </r>
  <r>
    <x v="2"/>
    <x v="0"/>
    <m/>
    <x v="12"/>
    <n v="91.5"/>
    <n v="9"/>
    <n v="10"/>
    <n v="72.5"/>
  </r>
  <r>
    <x v="2"/>
    <x v="0"/>
    <m/>
    <x v="13"/>
    <n v="96.5"/>
    <n v="12"/>
    <n v="18.75"/>
    <n v="65.75"/>
  </r>
  <r>
    <x v="2"/>
    <x v="0"/>
    <m/>
    <x v="14"/>
    <n v="110.5"/>
    <n v="8.75"/>
    <n v="22.5"/>
    <n v="79.25"/>
  </r>
  <r>
    <x v="2"/>
    <x v="0"/>
    <m/>
    <x v="15"/>
    <n v="123.25"/>
    <n v="11.5"/>
    <n v="22.5"/>
    <n v="89.25"/>
  </r>
  <r>
    <x v="2"/>
    <x v="0"/>
    <m/>
    <x v="16"/>
    <n v="116.75"/>
    <n v="13.25"/>
    <n v="23.25"/>
    <n v="80.25"/>
  </r>
  <r>
    <x v="2"/>
    <x v="0"/>
    <m/>
    <x v="17"/>
    <n v="46"/>
    <n v="4.75"/>
    <n v="5.75"/>
    <n v="35.5"/>
  </r>
  <r>
    <x v="2"/>
    <x v="0"/>
    <m/>
    <x v="18"/>
    <n v="64"/>
    <n v="7.75"/>
    <n v="8.75"/>
    <n v="47.5"/>
  </r>
  <r>
    <x v="2"/>
    <x v="0"/>
    <m/>
    <x v="19"/>
    <n v="62.25"/>
    <n v="8.25"/>
    <n v="15"/>
    <n v="39"/>
  </r>
  <r>
    <x v="2"/>
    <x v="0"/>
    <m/>
    <x v="20"/>
    <n v="15.25"/>
    <n v="1.75"/>
    <n v="5.5"/>
    <n v="8"/>
  </r>
  <r>
    <x v="2"/>
    <x v="0"/>
    <m/>
    <x v="21"/>
    <n v="226.25"/>
    <n v="24"/>
    <n v="56.25"/>
    <n v="146"/>
  </r>
  <r>
    <x v="2"/>
    <x v="0"/>
    <m/>
    <x v="22"/>
    <n v="171.39285714285714"/>
    <n v="11.75"/>
    <n v="24.75"/>
    <n v="134.89285714285714"/>
  </r>
  <r>
    <x v="2"/>
    <x v="0"/>
    <m/>
    <x v="23"/>
    <n v="10"/>
    <n v="1"/>
    <n v="1.75"/>
    <n v="7.25"/>
  </r>
  <r>
    <x v="2"/>
    <x v="0"/>
    <m/>
    <x v="24"/>
    <n v="10.5"/>
    <n v="1"/>
    <n v="1"/>
    <n v="8.5"/>
  </r>
  <r>
    <x v="2"/>
    <x v="0"/>
    <m/>
    <x v="25"/>
    <n v="16.75"/>
    <n v="1.75"/>
    <n v="1.75"/>
    <n v="13.25"/>
  </r>
  <r>
    <x v="2"/>
    <x v="0"/>
    <m/>
    <x v="26"/>
    <n v="44.25"/>
    <n v="4.25"/>
    <n v="8.25"/>
    <n v="31.75"/>
  </r>
  <r>
    <x v="2"/>
    <x v="0"/>
    <m/>
    <x v="27"/>
    <n v="82"/>
    <n v="6"/>
    <n v="13.5"/>
    <n v="62.5"/>
  </r>
  <r>
    <x v="2"/>
    <x v="0"/>
    <m/>
    <x v="28"/>
    <n v="9.5"/>
    <n v="0.75"/>
    <n v="2.5"/>
    <n v="6.25"/>
  </r>
  <r>
    <x v="2"/>
    <x v="0"/>
    <m/>
    <x v="29"/>
    <n v="27"/>
    <n v="2.5"/>
    <n v="2.5"/>
    <n v="22"/>
  </r>
  <r>
    <x v="2"/>
    <x v="0"/>
    <m/>
    <x v="30"/>
    <n v="0"/>
    <n v="0"/>
    <n v="0"/>
    <n v="0"/>
  </r>
  <r>
    <x v="2"/>
    <x v="0"/>
    <m/>
    <x v="31"/>
    <n v="3.25"/>
    <n v="0"/>
    <n v="0"/>
    <n v="3.25"/>
  </r>
  <r>
    <x v="2"/>
    <x v="0"/>
    <m/>
    <x v="32"/>
    <n v="93.37"/>
    <n v="9"/>
    <n v="18.93"/>
    <n v="65.44"/>
  </r>
  <r>
    <x v="3"/>
    <x v="0"/>
    <m/>
    <x v="0"/>
    <n v="2546"/>
    <n v="246"/>
    <n v="499"/>
    <n v="1800"/>
  </r>
  <r>
    <x v="3"/>
    <x v="0"/>
    <m/>
    <x v="1"/>
    <n v="17"/>
    <n v="2"/>
    <n v="2"/>
    <n v="13"/>
  </r>
  <r>
    <x v="3"/>
    <x v="0"/>
    <m/>
    <x v="2"/>
    <n v="177"/>
    <n v="14"/>
    <n v="34"/>
    <n v="129"/>
  </r>
  <r>
    <x v="3"/>
    <x v="0"/>
    <m/>
    <x v="3"/>
    <n v="69"/>
    <n v="6"/>
    <n v="9"/>
    <n v="54"/>
  </r>
  <r>
    <x v="3"/>
    <x v="0"/>
    <m/>
    <x v="4"/>
    <n v="45"/>
    <n v="4"/>
    <n v="11"/>
    <n v="30"/>
  </r>
  <r>
    <x v="3"/>
    <x v="0"/>
    <m/>
    <x v="5"/>
    <n v="0"/>
    <n v="0"/>
    <n v="0"/>
    <n v="0"/>
  </r>
  <r>
    <x v="3"/>
    <x v="0"/>
    <m/>
    <x v="6"/>
    <n v="130"/>
    <n v="12"/>
    <n v="32"/>
    <n v="86"/>
  </r>
  <r>
    <x v="3"/>
    <x v="0"/>
    <m/>
    <x v="7"/>
    <n v="39"/>
    <n v="3"/>
    <n v="7"/>
    <n v="29"/>
  </r>
  <r>
    <x v="3"/>
    <x v="0"/>
    <m/>
    <x v="8"/>
    <n v="485"/>
    <n v="50"/>
    <n v="97"/>
    <n v="338"/>
  </r>
  <r>
    <x v="3"/>
    <x v="0"/>
    <m/>
    <x v="9"/>
    <n v="31"/>
    <n v="2"/>
    <n v="5"/>
    <n v="24"/>
  </r>
  <r>
    <x v="3"/>
    <x v="0"/>
    <m/>
    <x v="10"/>
    <n v="8"/>
    <n v="1"/>
    <n v="1"/>
    <n v="6"/>
  </r>
  <r>
    <x v="3"/>
    <x v="0"/>
    <m/>
    <x v="11"/>
    <n v="112"/>
    <n v="11"/>
    <n v="22"/>
    <n v="79"/>
  </r>
  <r>
    <x v="3"/>
    <x v="0"/>
    <m/>
    <x v="12"/>
    <n v="89"/>
    <n v="9"/>
    <n v="10"/>
    <n v="70"/>
  </r>
  <r>
    <x v="3"/>
    <x v="0"/>
    <m/>
    <x v="13"/>
    <n v="92"/>
    <n v="11"/>
    <n v="20"/>
    <n v="61"/>
  </r>
  <r>
    <x v="3"/>
    <x v="0"/>
    <m/>
    <x v="14"/>
    <n v="107"/>
    <n v="8"/>
    <n v="21"/>
    <n v="78"/>
  </r>
  <r>
    <x v="3"/>
    <x v="0"/>
    <m/>
    <x v="15"/>
    <n v="118"/>
    <n v="12"/>
    <n v="23"/>
    <n v="83"/>
  </r>
  <r>
    <x v="3"/>
    <x v="0"/>
    <m/>
    <x v="16"/>
    <n v="112"/>
    <n v="11"/>
    <n v="25"/>
    <n v="76"/>
  </r>
  <r>
    <x v="3"/>
    <x v="0"/>
    <m/>
    <x v="17"/>
    <n v="42"/>
    <n v="5"/>
    <n v="7"/>
    <n v="30"/>
  </r>
  <r>
    <x v="3"/>
    <x v="0"/>
    <m/>
    <x v="18"/>
    <n v="64"/>
    <n v="7"/>
    <n v="8"/>
    <n v="49"/>
  </r>
  <r>
    <x v="3"/>
    <x v="0"/>
    <m/>
    <x v="19"/>
    <n v="63"/>
    <n v="7"/>
    <n v="15"/>
    <n v="41"/>
  </r>
  <r>
    <x v="3"/>
    <x v="0"/>
    <m/>
    <x v="20"/>
    <n v="5"/>
    <n v="1"/>
    <n v="1"/>
    <n v="3"/>
  </r>
  <r>
    <x v="3"/>
    <x v="0"/>
    <m/>
    <x v="21"/>
    <n v="250"/>
    <n v="24"/>
    <n v="61"/>
    <n v="165"/>
  </r>
  <r>
    <x v="3"/>
    <x v="0"/>
    <m/>
    <x v="22"/>
    <n v="171"/>
    <n v="13"/>
    <n v="25"/>
    <n v="133"/>
  </r>
  <r>
    <x v="3"/>
    <x v="0"/>
    <m/>
    <x v="23"/>
    <n v="9"/>
    <n v="1"/>
    <n v="1"/>
    <n v="7"/>
  </r>
  <r>
    <x v="3"/>
    <x v="0"/>
    <m/>
    <x v="24"/>
    <n v="10"/>
    <n v="1"/>
    <n v="1"/>
    <n v="8"/>
  </r>
  <r>
    <x v="3"/>
    <x v="0"/>
    <m/>
    <x v="25"/>
    <n v="12"/>
    <n v="0"/>
    <n v="0"/>
    <n v="12"/>
  </r>
  <r>
    <x v="3"/>
    <x v="0"/>
    <m/>
    <x v="26"/>
    <n v="48"/>
    <n v="4"/>
    <n v="9"/>
    <n v="35"/>
  </r>
  <r>
    <x v="3"/>
    <x v="0"/>
    <m/>
    <x v="27"/>
    <n v="78"/>
    <n v="6"/>
    <n v="14"/>
    <n v="58"/>
  </r>
  <r>
    <x v="3"/>
    <x v="0"/>
    <m/>
    <x v="28"/>
    <n v="11"/>
    <n v="1"/>
    <n v="2"/>
    <n v="8"/>
  </r>
  <r>
    <x v="3"/>
    <x v="0"/>
    <m/>
    <x v="29"/>
    <n v="25"/>
    <n v="3"/>
    <n v="5"/>
    <n v="17"/>
  </r>
  <r>
    <x v="3"/>
    <x v="0"/>
    <m/>
    <x v="30"/>
    <n v="0"/>
    <n v="0"/>
    <n v="0"/>
    <n v="0"/>
  </r>
  <r>
    <x v="3"/>
    <x v="0"/>
    <m/>
    <x v="31"/>
    <n v="0"/>
    <n v="0"/>
    <n v="0"/>
    <n v="0"/>
  </r>
  <r>
    <x v="3"/>
    <x v="0"/>
    <m/>
    <x v="32"/>
    <n v="93"/>
    <n v="9"/>
    <n v="18"/>
    <n v="66"/>
  </r>
  <r>
    <x v="4"/>
    <x v="0"/>
    <m/>
    <x v="0"/>
    <n v="2545"/>
    <n v="246"/>
    <n v="477"/>
    <n v="1822"/>
  </r>
  <r>
    <x v="4"/>
    <x v="0"/>
    <m/>
    <x v="1"/>
    <n v="17"/>
    <n v="2"/>
    <n v="2"/>
    <n v="13"/>
  </r>
  <r>
    <x v="4"/>
    <x v="0"/>
    <m/>
    <x v="2"/>
    <n v="167"/>
    <n v="14"/>
    <n v="31"/>
    <n v="122"/>
  </r>
  <r>
    <x v="4"/>
    <x v="0"/>
    <m/>
    <x v="3"/>
    <n v="69"/>
    <n v="6"/>
    <n v="7"/>
    <n v="56"/>
  </r>
  <r>
    <x v="4"/>
    <x v="0"/>
    <m/>
    <x v="4"/>
    <n v="47"/>
    <n v="5"/>
    <n v="9"/>
    <n v="34"/>
  </r>
  <r>
    <x v="4"/>
    <x v="0"/>
    <m/>
    <x v="6"/>
    <n v="125"/>
    <n v="13"/>
    <n v="24"/>
    <n v="88"/>
  </r>
  <r>
    <x v="4"/>
    <x v="0"/>
    <m/>
    <x v="7"/>
    <n v="41"/>
    <n v="4"/>
    <n v="8"/>
    <n v="28"/>
  </r>
  <r>
    <x v="4"/>
    <x v="0"/>
    <m/>
    <x v="8"/>
    <n v="494"/>
    <n v="53"/>
    <n v="101"/>
    <n v="340"/>
  </r>
  <r>
    <x v="4"/>
    <x v="0"/>
    <m/>
    <x v="9"/>
    <n v="34"/>
    <n v="3"/>
    <n v="5"/>
    <n v="26"/>
  </r>
  <r>
    <x v="4"/>
    <x v="0"/>
    <m/>
    <x v="10"/>
    <n v="10"/>
    <n v="1"/>
    <n v="2"/>
    <n v="7"/>
  </r>
  <r>
    <x v="4"/>
    <x v="0"/>
    <m/>
    <x v="11"/>
    <n v="111"/>
    <n v="11"/>
    <n v="24"/>
    <n v="76"/>
  </r>
  <r>
    <x v="4"/>
    <x v="0"/>
    <m/>
    <x v="12"/>
    <n v="92"/>
    <n v="10"/>
    <n v="9"/>
    <n v="73"/>
  </r>
  <r>
    <x v="4"/>
    <x v="0"/>
    <m/>
    <x v="13"/>
    <n v="98"/>
    <n v="9"/>
    <n v="22"/>
    <n v="68"/>
  </r>
  <r>
    <x v="4"/>
    <x v="0"/>
    <m/>
    <x v="14"/>
    <n v="110"/>
    <n v="8"/>
    <n v="22"/>
    <n v="80"/>
  </r>
  <r>
    <x v="4"/>
    <x v="0"/>
    <m/>
    <x v="15"/>
    <n v="118"/>
    <n v="12"/>
    <n v="24"/>
    <n v="82"/>
  </r>
  <r>
    <x v="4"/>
    <x v="0"/>
    <m/>
    <x v="16"/>
    <n v="110"/>
    <n v="11"/>
    <n v="23"/>
    <n v="76"/>
  </r>
  <r>
    <x v="4"/>
    <x v="0"/>
    <m/>
    <x v="17"/>
    <n v="44"/>
    <n v="5"/>
    <n v="5"/>
    <n v="34"/>
  </r>
  <r>
    <x v="4"/>
    <x v="0"/>
    <m/>
    <x v="18"/>
    <n v="66"/>
    <n v="9"/>
    <n v="7"/>
    <n v="50"/>
  </r>
  <r>
    <x v="4"/>
    <x v="0"/>
    <m/>
    <x v="19"/>
    <n v="65"/>
    <n v="8"/>
    <n v="14"/>
    <n v="44"/>
  </r>
  <r>
    <x v="4"/>
    <x v="0"/>
    <m/>
    <x v="20"/>
    <n v="6"/>
    <n v="1"/>
    <n v="1"/>
    <n v="4"/>
  </r>
  <r>
    <x v="4"/>
    <x v="0"/>
    <m/>
    <x v="21"/>
    <n v="248"/>
    <n v="23"/>
    <n v="63"/>
    <n v="162"/>
  </r>
  <r>
    <x v="4"/>
    <x v="0"/>
    <m/>
    <x v="22"/>
    <n v="166"/>
    <n v="14"/>
    <n v="24"/>
    <n v="128"/>
  </r>
  <r>
    <x v="4"/>
    <x v="0"/>
    <m/>
    <x v="23"/>
    <n v="8"/>
    <n v="1"/>
    <n v="1"/>
    <n v="6"/>
  </r>
  <r>
    <x v="4"/>
    <x v="0"/>
    <m/>
    <x v="24"/>
    <n v="13"/>
    <n v="1"/>
    <n v="2"/>
    <n v="10"/>
  </r>
  <r>
    <x v="4"/>
    <x v="0"/>
    <m/>
    <x v="25"/>
    <n v="16"/>
    <n v="2"/>
    <n v="2"/>
    <n v="12"/>
  </r>
  <r>
    <x v="4"/>
    <x v="0"/>
    <m/>
    <x v="26"/>
    <n v="49"/>
    <n v="4"/>
    <n v="9"/>
    <n v="36"/>
  </r>
  <r>
    <x v="4"/>
    <x v="0"/>
    <m/>
    <x v="27"/>
    <n v="80"/>
    <n v="6"/>
    <n v="14"/>
    <n v="60"/>
  </r>
  <r>
    <x v="4"/>
    <x v="0"/>
    <m/>
    <x v="28"/>
    <n v="12"/>
    <n v="1"/>
    <n v="2"/>
    <n v="9"/>
  </r>
  <r>
    <x v="4"/>
    <x v="0"/>
    <m/>
    <x v="29"/>
    <n v="28"/>
    <n v="2"/>
    <n v="5"/>
    <n v="21"/>
  </r>
  <r>
    <x v="4"/>
    <x v="0"/>
    <m/>
    <x v="32"/>
    <n v="101"/>
    <n v="9"/>
    <n v="18"/>
    <n v="75"/>
  </r>
  <r>
    <x v="5"/>
    <x v="0"/>
    <m/>
    <x v="0"/>
    <n v="2584"/>
    <n v="241"/>
    <n v="479"/>
    <n v="1864"/>
  </r>
  <r>
    <x v="5"/>
    <x v="0"/>
    <m/>
    <x v="1"/>
    <n v="15"/>
    <n v="1"/>
    <n v="3"/>
    <n v="11"/>
  </r>
  <r>
    <x v="5"/>
    <x v="0"/>
    <m/>
    <x v="2"/>
    <n v="173"/>
    <n v="15"/>
    <n v="31"/>
    <n v="127"/>
  </r>
  <r>
    <x v="5"/>
    <x v="0"/>
    <m/>
    <x v="3"/>
    <n v="62"/>
    <n v="4"/>
    <n v="8"/>
    <n v="49"/>
  </r>
  <r>
    <x v="5"/>
    <x v="0"/>
    <m/>
    <x v="4"/>
    <n v="51"/>
    <n v="4"/>
    <n v="10"/>
    <n v="36"/>
  </r>
  <r>
    <x v="5"/>
    <x v="0"/>
    <m/>
    <x v="6"/>
    <n v="127"/>
    <n v="12"/>
    <n v="24"/>
    <n v="90"/>
  </r>
  <r>
    <x v="5"/>
    <x v="0"/>
    <m/>
    <x v="7"/>
    <n v="41"/>
    <n v="4"/>
    <n v="8"/>
    <n v="29"/>
  </r>
  <r>
    <x v="5"/>
    <x v="0"/>
    <m/>
    <x v="8"/>
    <n v="503"/>
    <n v="54"/>
    <n v="96"/>
    <n v="353"/>
  </r>
  <r>
    <x v="5"/>
    <x v="0"/>
    <m/>
    <x v="9"/>
    <n v="36"/>
    <n v="3"/>
    <n v="5"/>
    <n v="29"/>
  </r>
  <r>
    <x v="5"/>
    <x v="0"/>
    <m/>
    <x v="10"/>
    <n v="11"/>
    <n v="1"/>
    <n v="2"/>
    <n v="8"/>
  </r>
  <r>
    <x v="5"/>
    <x v="0"/>
    <m/>
    <x v="11"/>
    <n v="109"/>
    <n v="10"/>
    <n v="24"/>
    <n v="75"/>
  </r>
  <r>
    <x v="5"/>
    <x v="0"/>
    <m/>
    <x v="12"/>
    <n v="91"/>
    <n v="11"/>
    <n v="10"/>
    <n v="70"/>
  </r>
  <r>
    <x v="5"/>
    <x v="0"/>
    <m/>
    <x v="13"/>
    <n v="106"/>
    <n v="8"/>
    <n v="23"/>
    <n v="75"/>
  </r>
  <r>
    <x v="5"/>
    <x v="0"/>
    <m/>
    <x v="14"/>
    <n v="112"/>
    <n v="9"/>
    <n v="20"/>
    <n v="82"/>
  </r>
  <r>
    <x v="5"/>
    <x v="0"/>
    <m/>
    <x v="15"/>
    <n v="118"/>
    <n v="11"/>
    <n v="25"/>
    <n v="82"/>
  </r>
  <r>
    <x v="5"/>
    <x v="0"/>
    <m/>
    <x v="16"/>
    <n v="118"/>
    <n v="12"/>
    <n v="24"/>
    <n v="83"/>
  </r>
  <r>
    <x v="5"/>
    <x v="0"/>
    <m/>
    <x v="17"/>
    <n v="51"/>
    <n v="5"/>
    <n v="6"/>
    <n v="40"/>
  </r>
  <r>
    <x v="5"/>
    <x v="0"/>
    <m/>
    <x v="18"/>
    <n v="65"/>
    <n v="7"/>
    <n v="7"/>
    <n v="51"/>
  </r>
  <r>
    <x v="5"/>
    <x v="0"/>
    <m/>
    <x v="19"/>
    <n v="66"/>
    <n v="8"/>
    <n v="14"/>
    <n v="45"/>
  </r>
  <r>
    <x v="5"/>
    <x v="0"/>
    <m/>
    <x v="20"/>
    <n v="7"/>
    <n v="1"/>
    <n v="2"/>
    <n v="3"/>
  </r>
  <r>
    <x v="5"/>
    <x v="0"/>
    <m/>
    <x v="21"/>
    <n v="255"/>
    <n v="22"/>
    <n v="62"/>
    <n v="170"/>
  </r>
  <r>
    <x v="5"/>
    <x v="0"/>
    <m/>
    <x v="22"/>
    <n v="164"/>
    <n v="13"/>
    <n v="23"/>
    <n v="128"/>
  </r>
  <r>
    <x v="5"/>
    <x v="0"/>
    <m/>
    <x v="23"/>
    <n v="6"/>
    <m/>
    <n v="1"/>
    <n v="4"/>
  </r>
  <r>
    <x v="5"/>
    <x v="0"/>
    <m/>
    <x v="24"/>
    <n v="12"/>
    <n v="1"/>
    <n v="2"/>
    <n v="10"/>
  </r>
  <r>
    <x v="5"/>
    <x v="0"/>
    <m/>
    <x v="25"/>
    <n v="18"/>
    <n v="2"/>
    <n v="2"/>
    <n v="14"/>
  </r>
  <r>
    <x v="5"/>
    <x v="0"/>
    <m/>
    <x v="26"/>
    <n v="45"/>
    <n v="4"/>
    <n v="9"/>
    <n v="33"/>
  </r>
  <r>
    <x v="5"/>
    <x v="0"/>
    <m/>
    <x v="27"/>
    <n v="84"/>
    <n v="6"/>
    <n v="12"/>
    <n v="66"/>
  </r>
  <r>
    <x v="5"/>
    <x v="0"/>
    <m/>
    <x v="28"/>
    <n v="10"/>
    <n v="1"/>
    <n v="2"/>
    <n v="8"/>
  </r>
  <r>
    <x v="5"/>
    <x v="0"/>
    <m/>
    <x v="29"/>
    <n v="26"/>
    <n v="2"/>
    <n v="5"/>
    <n v="18"/>
  </r>
  <r>
    <x v="5"/>
    <x v="0"/>
    <m/>
    <x v="32"/>
    <n v="101"/>
    <n v="9"/>
    <n v="18"/>
    <n v="75"/>
  </r>
  <r>
    <x v="6"/>
    <x v="0"/>
    <m/>
    <x v="0"/>
    <n v="2552"/>
    <n v="236"/>
    <n v="460"/>
    <n v="1855"/>
  </r>
  <r>
    <x v="6"/>
    <x v="0"/>
    <m/>
    <x v="22"/>
    <n v="160"/>
    <n v="12"/>
    <n v="22"/>
    <n v="126"/>
  </r>
  <r>
    <x v="6"/>
    <x v="0"/>
    <m/>
    <x v="2"/>
    <n v="163"/>
    <n v="14"/>
    <n v="30"/>
    <n v="119"/>
  </r>
  <r>
    <x v="6"/>
    <x v="0"/>
    <m/>
    <x v="3"/>
    <n v="64"/>
    <n v="6"/>
    <n v="7"/>
    <n v="51"/>
  </r>
  <r>
    <x v="6"/>
    <x v="0"/>
    <m/>
    <x v="9"/>
    <n v="34"/>
    <n v="3"/>
    <n v="5"/>
    <n v="27"/>
  </r>
  <r>
    <x v="6"/>
    <x v="0"/>
    <m/>
    <x v="12"/>
    <n v="88"/>
    <n v="10"/>
    <n v="10"/>
    <n v="68"/>
  </r>
  <r>
    <x v="6"/>
    <x v="0"/>
    <m/>
    <x v="29"/>
    <n v="27"/>
    <n v="2"/>
    <n v="4"/>
    <n v="21"/>
  </r>
  <r>
    <x v="6"/>
    <x v="0"/>
    <m/>
    <x v="24"/>
    <n v="11"/>
    <n v="1"/>
    <n v="2"/>
    <n v="9"/>
  </r>
  <r>
    <x v="6"/>
    <x v="0"/>
    <m/>
    <x v="17"/>
    <n v="46"/>
    <n v="4"/>
    <n v="6"/>
    <n v="36"/>
  </r>
  <r>
    <x v="6"/>
    <x v="0"/>
    <m/>
    <x v="18"/>
    <n v="70"/>
    <n v="6"/>
    <n v="7"/>
    <n v="56"/>
  </r>
  <r>
    <x v="6"/>
    <x v="0"/>
    <m/>
    <x v="25"/>
    <n v="16"/>
    <n v="2"/>
    <n v="2"/>
    <n v="13"/>
  </r>
  <r>
    <x v="6"/>
    <x v="0"/>
    <m/>
    <x v="23"/>
    <n v="5"/>
    <n v="1"/>
    <n v="1"/>
    <n v="3"/>
  </r>
  <r>
    <x v="6"/>
    <x v="0"/>
    <m/>
    <x v="1"/>
    <n v="19"/>
    <n v="2"/>
    <n v="4"/>
    <n v="13"/>
  </r>
  <r>
    <x v="6"/>
    <x v="0"/>
    <m/>
    <x v="4"/>
    <n v="52"/>
    <n v="4"/>
    <n v="10"/>
    <n v="38"/>
  </r>
  <r>
    <x v="6"/>
    <x v="0"/>
    <m/>
    <x v="7"/>
    <n v="42"/>
    <n v="3"/>
    <n v="8"/>
    <n v="32"/>
  </r>
  <r>
    <x v="6"/>
    <x v="0"/>
    <m/>
    <x v="32"/>
    <n v="97"/>
    <n v="9"/>
    <n v="17"/>
    <n v="71"/>
  </r>
  <r>
    <x v="6"/>
    <x v="0"/>
    <m/>
    <x v="10"/>
    <n v="10"/>
    <n v="1"/>
    <n v="2"/>
    <n v="8"/>
  </r>
  <r>
    <x v="6"/>
    <x v="0"/>
    <m/>
    <x v="15"/>
    <n v="121"/>
    <n v="11"/>
    <n v="25"/>
    <n v="85"/>
  </r>
  <r>
    <x v="6"/>
    <x v="0"/>
    <m/>
    <x v="19"/>
    <n v="65"/>
    <n v="8"/>
    <n v="13"/>
    <n v="44"/>
  </r>
  <r>
    <x v="6"/>
    <x v="0"/>
    <m/>
    <x v="26"/>
    <n v="50"/>
    <n v="5"/>
    <n v="8"/>
    <n v="37"/>
  </r>
  <r>
    <x v="6"/>
    <x v="0"/>
    <m/>
    <x v="20"/>
    <n v="6"/>
    <n v="1"/>
    <n v="2"/>
    <n v="3"/>
  </r>
  <r>
    <x v="6"/>
    <x v="0"/>
    <m/>
    <x v="21"/>
    <n v="252"/>
    <n v="22"/>
    <n v="58"/>
    <n v="172"/>
  </r>
  <r>
    <x v="6"/>
    <x v="0"/>
    <m/>
    <x v="27"/>
    <n v="86"/>
    <n v="6"/>
    <n v="14"/>
    <n v="67"/>
  </r>
  <r>
    <x v="6"/>
    <x v="0"/>
    <m/>
    <x v="28"/>
    <n v="10"/>
    <n v="1"/>
    <n v="2"/>
    <n v="8"/>
  </r>
  <r>
    <x v="6"/>
    <x v="0"/>
    <m/>
    <x v="8"/>
    <n v="477"/>
    <n v="50"/>
    <n v="87"/>
    <n v="340"/>
  </r>
  <r>
    <x v="6"/>
    <x v="0"/>
    <m/>
    <x v="11"/>
    <n v="109"/>
    <n v="10"/>
    <n v="24"/>
    <n v="76"/>
  </r>
  <r>
    <x v="6"/>
    <x v="0"/>
    <m/>
    <x v="6"/>
    <n v="128"/>
    <n v="14"/>
    <n v="29"/>
    <n v="86"/>
  </r>
  <r>
    <x v="6"/>
    <x v="0"/>
    <m/>
    <x v="13"/>
    <n v="106"/>
    <n v="9"/>
    <n v="22"/>
    <n v="76"/>
  </r>
  <r>
    <x v="6"/>
    <x v="0"/>
    <m/>
    <x v="14"/>
    <n v="112"/>
    <n v="9"/>
    <n v="20"/>
    <n v="83"/>
  </r>
  <r>
    <x v="6"/>
    <x v="0"/>
    <m/>
    <x v="16"/>
    <n v="121"/>
    <n v="11"/>
    <n v="23"/>
    <n v="88"/>
  </r>
</pivotCacheRecords>
</file>

<file path=xl/pivotCache/pivotCacheRecords23.xml><?xml version="1.0" encoding="utf-8"?>
<pivotCacheRecords xmlns="http://schemas.openxmlformats.org/spreadsheetml/2006/main" xmlns:r="http://schemas.openxmlformats.org/officeDocument/2006/relationships" count="389">
  <r>
    <x v="0"/>
    <x v="0"/>
    <m/>
    <x v="0"/>
    <n v="3391.76"/>
    <n v="0"/>
    <n v="0"/>
    <n v="608"/>
    <n v="2354.7600000000002"/>
    <n v="0"/>
    <n v="13"/>
    <n v="416"/>
  </r>
  <r>
    <x v="0"/>
    <x v="0"/>
    <m/>
    <x v="1"/>
    <n v="43"/>
    <n v="0"/>
    <n v="0"/>
    <n v="9"/>
    <n v="30"/>
    <n v="0"/>
    <n v="0"/>
    <n v="4"/>
  </r>
  <r>
    <x v="0"/>
    <x v="0"/>
    <m/>
    <x v="2"/>
    <n v="69"/>
    <n v="0"/>
    <n v="0"/>
    <n v="11"/>
    <n v="53"/>
    <n v="0"/>
    <n v="0"/>
    <n v="5"/>
  </r>
  <r>
    <x v="0"/>
    <x v="0"/>
    <m/>
    <x v="3"/>
    <n v="59"/>
    <n v="0"/>
    <n v="0"/>
    <n v="11"/>
    <n v="40"/>
    <n v="0"/>
    <n v="0"/>
    <n v="8"/>
  </r>
  <r>
    <x v="0"/>
    <x v="0"/>
    <m/>
    <x v="4"/>
    <n v="29"/>
    <n v="0"/>
    <n v="0"/>
    <n v="5"/>
    <n v="21"/>
    <n v="0"/>
    <n v="0"/>
    <n v="3"/>
  </r>
  <r>
    <x v="0"/>
    <x v="0"/>
    <m/>
    <x v="5"/>
    <n v="59"/>
    <n v="0"/>
    <n v="0"/>
    <n v="14"/>
    <n v="34"/>
    <n v="0"/>
    <n v="0"/>
    <n v="11"/>
  </r>
  <r>
    <x v="0"/>
    <x v="0"/>
    <m/>
    <x v="6"/>
    <n v="0"/>
    <n v="0"/>
    <n v="0"/>
    <n v="0"/>
    <n v="0"/>
    <n v="0"/>
    <n v="0"/>
    <n v="0"/>
  </r>
  <r>
    <x v="0"/>
    <x v="0"/>
    <m/>
    <x v="7"/>
    <n v="96"/>
    <n v="0"/>
    <n v="0"/>
    <n v="18"/>
    <n v="65"/>
    <n v="0"/>
    <n v="1"/>
    <n v="12"/>
  </r>
  <r>
    <x v="0"/>
    <x v="0"/>
    <m/>
    <x v="8"/>
    <n v="81"/>
    <n v="0"/>
    <n v="0"/>
    <n v="9"/>
    <n v="60"/>
    <n v="0"/>
    <n v="2"/>
    <n v="10"/>
  </r>
  <r>
    <x v="0"/>
    <x v="0"/>
    <m/>
    <x v="9"/>
    <n v="78"/>
    <n v="0"/>
    <n v="0"/>
    <n v="18"/>
    <n v="49"/>
    <n v="0"/>
    <n v="0"/>
    <n v="11"/>
  </r>
  <r>
    <x v="0"/>
    <x v="0"/>
    <m/>
    <x v="10"/>
    <n v="35"/>
    <n v="0"/>
    <n v="0"/>
    <n v="4"/>
    <n v="26"/>
    <n v="0"/>
    <n v="0"/>
    <n v="5"/>
  </r>
  <r>
    <x v="0"/>
    <x v="0"/>
    <m/>
    <x v="11"/>
    <n v="20"/>
    <n v="0"/>
    <n v="0"/>
    <n v="2"/>
    <n v="15"/>
    <n v="0"/>
    <n v="0"/>
    <n v="3"/>
  </r>
  <r>
    <x v="0"/>
    <x v="0"/>
    <m/>
    <x v="12"/>
    <n v="76"/>
    <n v="0"/>
    <n v="0"/>
    <n v="13"/>
    <n v="50"/>
    <n v="0"/>
    <n v="0"/>
    <n v="13"/>
  </r>
  <r>
    <x v="0"/>
    <x v="0"/>
    <m/>
    <x v="13"/>
    <n v="0"/>
    <n v="0"/>
    <n v="0"/>
    <n v="0"/>
    <n v="0"/>
    <n v="0"/>
    <n v="0"/>
    <n v="0"/>
  </r>
  <r>
    <x v="0"/>
    <x v="0"/>
    <m/>
    <x v="14"/>
    <n v="88"/>
    <n v="0"/>
    <n v="0"/>
    <n v="14"/>
    <n v="61"/>
    <n v="0"/>
    <n v="2"/>
    <n v="11"/>
  </r>
  <r>
    <x v="0"/>
    <x v="0"/>
    <m/>
    <x v="15"/>
    <n v="75"/>
    <n v="0"/>
    <n v="0"/>
    <n v="11"/>
    <n v="54"/>
    <n v="0"/>
    <n v="0"/>
    <n v="10"/>
  </r>
  <r>
    <x v="0"/>
    <x v="0"/>
    <m/>
    <x v="16"/>
    <n v="0"/>
    <n v="0"/>
    <n v="0"/>
    <n v="0"/>
    <n v="0"/>
    <n v="0"/>
    <n v="0"/>
    <n v="0"/>
  </r>
  <r>
    <x v="0"/>
    <x v="0"/>
    <m/>
    <x v="17"/>
    <n v="65"/>
    <n v="0"/>
    <n v="0"/>
    <n v="10"/>
    <n v="47"/>
    <n v="0"/>
    <n v="0"/>
    <n v="8"/>
  </r>
  <r>
    <x v="0"/>
    <x v="0"/>
    <m/>
    <x v="18"/>
    <n v="190"/>
    <n v="0"/>
    <n v="0"/>
    <n v="33"/>
    <n v="129"/>
    <n v="0"/>
    <n v="2"/>
    <n v="26"/>
  </r>
  <r>
    <x v="0"/>
    <x v="0"/>
    <m/>
    <x v="19"/>
    <n v="61.76"/>
    <n v="0"/>
    <n v="0"/>
    <n v="10"/>
    <n v="41.76"/>
    <n v="0"/>
    <n v="0"/>
    <n v="10"/>
  </r>
  <r>
    <x v="0"/>
    <x v="0"/>
    <m/>
    <x v="20"/>
    <n v="174"/>
    <n v="0"/>
    <n v="0"/>
    <n v="24"/>
    <n v="128"/>
    <n v="0"/>
    <n v="0"/>
    <n v="22"/>
  </r>
  <r>
    <x v="0"/>
    <x v="0"/>
    <m/>
    <x v="21"/>
    <n v="23"/>
    <n v="0"/>
    <n v="0"/>
    <n v="3"/>
    <n v="16"/>
    <n v="0"/>
    <n v="0"/>
    <n v="4"/>
  </r>
  <r>
    <x v="0"/>
    <x v="0"/>
    <m/>
    <x v="22"/>
    <n v="58"/>
    <n v="0"/>
    <n v="0"/>
    <n v="10"/>
    <n v="31"/>
    <n v="0"/>
    <n v="2"/>
    <n v="15"/>
  </r>
  <r>
    <x v="0"/>
    <x v="0"/>
    <m/>
    <x v="23"/>
    <n v="370"/>
    <n v="0"/>
    <n v="0"/>
    <n v="70"/>
    <n v="275"/>
    <n v="0"/>
    <n v="0"/>
    <n v="25"/>
  </r>
  <r>
    <x v="0"/>
    <x v="0"/>
    <m/>
    <x v="24"/>
    <n v="116"/>
    <n v="0"/>
    <n v="0"/>
    <n v="22"/>
    <n v="74"/>
    <n v="0"/>
    <n v="1"/>
    <n v="19"/>
  </r>
  <r>
    <x v="0"/>
    <x v="0"/>
    <m/>
    <x v="25"/>
    <n v="80"/>
    <n v="0"/>
    <n v="0"/>
    <n v="18"/>
    <n v="52"/>
    <n v="0"/>
    <n v="0"/>
    <n v="10"/>
  </r>
  <r>
    <x v="0"/>
    <x v="0"/>
    <m/>
    <x v="26"/>
    <n v="85"/>
    <n v="0"/>
    <n v="0"/>
    <n v="14"/>
    <n v="61"/>
    <n v="0"/>
    <n v="0"/>
    <n v="10"/>
  </r>
  <r>
    <x v="0"/>
    <x v="0"/>
    <m/>
    <x v="27"/>
    <n v="35"/>
    <n v="0"/>
    <n v="0"/>
    <n v="0"/>
    <n v="25"/>
    <n v="0"/>
    <n v="1"/>
    <n v="9"/>
  </r>
  <r>
    <x v="0"/>
    <x v="0"/>
    <m/>
    <x v="28"/>
    <n v="215"/>
    <n v="0"/>
    <n v="0"/>
    <n v="29"/>
    <n v="162"/>
    <n v="0"/>
    <n v="1"/>
    <n v="23"/>
  </r>
  <r>
    <x v="0"/>
    <x v="0"/>
    <m/>
    <x v="29"/>
    <n v="188"/>
    <n v="0"/>
    <n v="0"/>
    <n v="34"/>
    <n v="129"/>
    <n v="0"/>
    <n v="1"/>
    <n v="24"/>
  </r>
  <r>
    <x v="0"/>
    <x v="0"/>
    <m/>
    <x v="30"/>
    <n v="74"/>
    <n v="0"/>
    <n v="0"/>
    <n v="15"/>
    <n v="45"/>
    <n v="0"/>
    <n v="0"/>
    <n v="14"/>
  </r>
  <r>
    <x v="0"/>
    <x v="0"/>
    <m/>
    <x v="31"/>
    <n v="560"/>
    <n v="0"/>
    <n v="0"/>
    <n v="119"/>
    <n v="373"/>
    <n v="0"/>
    <n v="0"/>
    <n v="68"/>
  </r>
  <r>
    <x v="0"/>
    <x v="0"/>
    <m/>
    <x v="32"/>
    <n v="289"/>
    <n v="0"/>
    <n v="0"/>
    <n v="58"/>
    <n v="208"/>
    <n v="0"/>
    <n v="0"/>
    <n v="23"/>
  </r>
  <r>
    <x v="0"/>
    <x v="1"/>
    <m/>
    <x v="0"/>
    <n v="285"/>
    <n v="17"/>
    <n v="0"/>
    <n v="5"/>
    <n v="15"/>
    <n v="69"/>
    <n v="85"/>
    <n v="94"/>
  </r>
  <r>
    <x v="0"/>
    <x v="1"/>
    <m/>
    <x v="20"/>
    <n v="23"/>
    <n v="1"/>
    <n v="0"/>
    <n v="0"/>
    <n v="1"/>
    <n v="7"/>
    <n v="6"/>
    <n v="8"/>
  </r>
  <r>
    <x v="0"/>
    <x v="1"/>
    <m/>
    <x v="33"/>
    <n v="15"/>
    <n v="1"/>
    <n v="0"/>
    <n v="0"/>
    <n v="0"/>
    <n v="2"/>
    <n v="4"/>
    <n v="8"/>
  </r>
  <r>
    <x v="0"/>
    <x v="1"/>
    <m/>
    <x v="34"/>
    <n v="22"/>
    <n v="1"/>
    <n v="0"/>
    <n v="1"/>
    <n v="1"/>
    <n v="3"/>
    <n v="6"/>
    <n v="10"/>
  </r>
  <r>
    <x v="0"/>
    <x v="1"/>
    <m/>
    <x v="2"/>
    <n v="16"/>
    <n v="0"/>
    <n v="0"/>
    <n v="0"/>
    <n v="0"/>
    <n v="2"/>
    <n v="5"/>
    <n v="9"/>
  </r>
  <r>
    <x v="0"/>
    <x v="1"/>
    <m/>
    <x v="35"/>
    <n v="21"/>
    <n v="1"/>
    <n v="0"/>
    <n v="0"/>
    <n v="5"/>
    <n v="7"/>
    <n v="0"/>
    <n v="8"/>
  </r>
  <r>
    <x v="0"/>
    <x v="1"/>
    <m/>
    <x v="36"/>
    <n v="12"/>
    <n v="1"/>
    <n v="0"/>
    <n v="0"/>
    <n v="1"/>
    <n v="3"/>
    <n v="5"/>
    <n v="2"/>
  </r>
  <r>
    <x v="0"/>
    <x v="1"/>
    <m/>
    <x v="37"/>
    <n v="23"/>
    <n v="1"/>
    <n v="0"/>
    <n v="0"/>
    <n v="0"/>
    <n v="9"/>
    <n v="7"/>
    <n v="6"/>
  </r>
  <r>
    <x v="0"/>
    <x v="1"/>
    <m/>
    <x v="38"/>
    <n v="26"/>
    <n v="2"/>
    <n v="0"/>
    <n v="3"/>
    <n v="2"/>
    <n v="9"/>
    <n v="3"/>
    <n v="7"/>
  </r>
  <r>
    <x v="0"/>
    <x v="1"/>
    <m/>
    <x v="39"/>
    <n v="13"/>
    <n v="1"/>
    <n v="0"/>
    <n v="0"/>
    <n v="2"/>
    <n v="2"/>
    <n v="2"/>
    <n v="6"/>
  </r>
  <r>
    <x v="0"/>
    <x v="1"/>
    <m/>
    <x v="31"/>
    <n v="28"/>
    <n v="1"/>
    <n v="0"/>
    <n v="0"/>
    <n v="3"/>
    <n v="4"/>
    <n v="10"/>
    <n v="10"/>
  </r>
  <r>
    <x v="0"/>
    <x v="1"/>
    <m/>
    <x v="40"/>
    <n v="13"/>
    <n v="1"/>
    <n v="0"/>
    <n v="0"/>
    <n v="0"/>
    <n v="4"/>
    <n v="7"/>
    <n v="1"/>
  </r>
  <r>
    <x v="0"/>
    <x v="1"/>
    <m/>
    <x v="29"/>
    <n v="14"/>
    <n v="1"/>
    <n v="0"/>
    <n v="1"/>
    <n v="0"/>
    <n v="2"/>
    <n v="6"/>
    <n v="4"/>
  </r>
  <r>
    <x v="0"/>
    <x v="1"/>
    <m/>
    <x v="18"/>
    <n v="10"/>
    <n v="1"/>
    <n v="0"/>
    <n v="0"/>
    <n v="0"/>
    <n v="3"/>
    <n v="4"/>
    <n v="2"/>
  </r>
  <r>
    <x v="0"/>
    <x v="1"/>
    <m/>
    <x v="41"/>
    <n v="8"/>
    <n v="1"/>
    <n v="0"/>
    <n v="0"/>
    <n v="0"/>
    <n v="3"/>
    <n v="4"/>
    <n v="0"/>
  </r>
  <r>
    <x v="0"/>
    <x v="1"/>
    <m/>
    <x v="42"/>
    <n v="9"/>
    <n v="1"/>
    <n v="0"/>
    <n v="0"/>
    <n v="0"/>
    <n v="3"/>
    <n v="5"/>
    <n v="0"/>
  </r>
  <r>
    <x v="0"/>
    <x v="1"/>
    <m/>
    <x v="43"/>
    <n v="11"/>
    <n v="1"/>
    <n v="0"/>
    <n v="0"/>
    <n v="0"/>
    <n v="3"/>
    <n v="5"/>
    <n v="2"/>
  </r>
  <r>
    <x v="0"/>
    <x v="1"/>
    <m/>
    <x v="32"/>
    <n v="21"/>
    <n v="1"/>
    <n v="0"/>
    <n v="0"/>
    <n v="0"/>
    <n v="3"/>
    <n v="6"/>
    <n v="11"/>
  </r>
  <r>
    <x v="0"/>
    <x v="2"/>
    <m/>
    <x v="0"/>
    <n v="268"/>
    <n v="6"/>
    <n v="3"/>
    <n v="40"/>
    <n v="4"/>
    <n v="24"/>
    <n v="33"/>
    <n v="158"/>
  </r>
  <r>
    <x v="0"/>
    <x v="2"/>
    <m/>
    <x v="44"/>
    <n v="111"/>
    <n v="3"/>
    <n v="1"/>
    <n v="8"/>
    <n v="0"/>
    <n v="12"/>
    <n v="8"/>
    <n v="79"/>
  </r>
  <r>
    <x v="0"/>
    <x v="2"/>
    <m/>
    <x v="45"/>
    <n v="80"/>
    <n v="1"/>
    <n v="1"/>
    <n v="8"/>
    <n v="3"/>
    <n v="3"/>
    <n v="15"/>
    <n v="49"/>
  </r>
  <r>
    <x v="0"/>
    <x v="2"/>
    <m/>
    <x v="46"/>
    <n v="77"/>
    <n v="2"/>
    <n v="1"/>
    <n v="24"/>
    <n v="1"/>
    <n v="9"/>
    <n v="10"/>
    <n v="30"/>
  </r>
  <r>
    <x v="0"/>
    <x v="3"/>
    <m/>
    <x v="47"/>
    <n v="56"/>
    <n v="5"/>
    <n v="6"/>
    <n v="7"/>
    <n v="0"/>
    <n v="22"/>
    <n v="5"/>
    <n v="11"/>
  </r>
  <r>
    <x v="0"/>
    <x v="4"/>
    <m/>
    <x v="47"/>
    <n v="4000.76"/>
    <n v="28"/>
    <n v="9"/>
    <n v="660"/>
    <n v="2373.7600000000002"/>
    <n v="115"/>
    <n v="136"/>
    <n v="679"/>
  </r>
  <r>
    <x v="1"/>
    <x v="0"/>
    <m/>
    <x v="0"/>
    <n v="3285"/>
    <m/>
    <m/>
    <n v="592"/>
    <n v="2263"/>
    <m/>
    <n v="14"/>
    <n v="416"/>
  </r>
  <r>
    <x v="1"/>
    <x v="0"/>
    <m/>
    <x v="1"/>
    <n v="37"/>
    <m/>
    <m/>
    <n v="8"/>
    <n v="25"/>
    <m/>
    <n v="0"/>
    <n v="4"/>
  </r>
  <r>
    <x v="1"/>
    <x v="0"/>
    <m/>
    <x v="2"/>
    <n v="69"/>
    <m/>
    <m/>
    <n v="11"/>
    <n v="52"/>
    <m/>
    <n v="0"/>
    <n v="6"/>
  </r>
  <r>
    <x v="1"/>
    <x v="0"/>
    <m/>
    <x v="3"/>
    <n v="56"/>
    <m/>
    <m/>
    <n v="9"/>
    <n v="39"/>
    <m/>
    <n v="0"/>
    <n v="8"/>
  </r>
  <r>
    <x v="1"/>
    <x v="0"/>
    <m/>
    <x v="4"/>
    <n v="28"/>
    <m/>
    <m/>
    <n v="3"/>
    <n v="21"/>
    <m/>
    <n v="0"/>
    <n v="4"/>
  </r>
  <r>
    <x v="1"/>
    <x v="0"/>
    <m/>
    <x v="5"/>
    <n v="57"/>
    <m/>
    <m/>
    <n v="13"/>
    <n v="35"/>
    <m/>
    <n v="0"/>
    <n v="9"/>
  </r>
  <r>
    <x v="1"/>
    <x v="0"/>
    <m/>
    <x v="6"/>
    <n v="0"/>
    <m/>
    <m/>
    <n v="0"/>
    <n v="0"/>
    <m/>
    <n v="0"/>
    <n v="0"/>
  </r>
  <r>
    <x v="1"/>
    <x v="0"/>
    <m/>
    <x v="7"/>
    <n v="94"/>
    <m/>
    <m/>
    <n v="17"/>
    <n v="60"/>
    <m/>
    <n v="2"/>
    <n v="15"/>
  </r>
  <r>
    <x v="1"/>
    <x v="0"/>
    <m/>
    <x v="8"/>
    <n v="81"/>
    <m/>
    <m/>
    <n v="11"/>
    <n v="57"/>
    <m/>
    <n v="1"/>
    <n v="12"/>
  </r>
  <r>
    <x v="1"/>
    <x v="0"/>
    <m/>
    <x v="9"/>
    <n v="77"/>
    <m/>
    <m/>
    <n v="16"/>
    <n v="49"/>
    <m/>
    <n v="0"/>
    <n v="12"/>
  </r>
  <r>
    <x v="1"/>
    <x v="0"/>
    <m/>
    <x v="10"/>
    <n v="35"/>
    <m/>
    <m/>
    <n v="4"/>
    <n v="26"/>
    <m/>
    <n v="0"/>
    <n v="5"/>
  </r>
  <r>
    <x v="1"/>
    <x v="0"/>
    <m/>
    <x v="11"/>
    <n v="21"/>
    <m/>
    <m/>
    <n v="3"/>
    <n v="14"/>
    <m/>
    <n v="0"/>
    <n v="4"/>
  </r>
  <r>
    <x v="1"/>
    <x v="0"/>
    <m/>
    <x v="12"/>
    <n v="78"/>
    <m/>
    <m/>
    <n v="14"/>
    <n v="50"/>
    <m/>
    <n v="0"/>
    <n v="14"/>
  </r>
  <r>
    <x v="1"/>
    <x v="0"/>
    <m/>
    <x v="13"/>
    <n v="0"/>
    <m/>
    <m/>
    <n v="0"/>
    <n v="0"/>
    <m/>
    <n v="0"/>
    <n v="0"/>
  </r>
  <r>
    <x v="1"/>
    <x v="0"/>
    <m/>
    <x v="14"/>
    <n v="86"/>
    <m/>
    <m/>
    <n v="16"/>
    <n v="58"/>
    <m/>
    <n v="1"/>
    <n v="11"/>
  </r>
  <r>
    <x v="1"/>
    <x v="0"/>
    <m/>
    <x v="15"/>
    <n v="73"/>
    <m/>
    <m/>
    <n v="11"/>
    <n v="51"/>
    <m/>
    <n v="0"/>
    <n v="11"/>
  </r>
  <r>
    <x v="1"/>
    <x v="0"/>
    <m/>
    <x v="16"/>
    <n v="0"/>
    <m/>
    <m/>
    <n v="0"/>
    <n v="0"/>
    <m/>
    <n v="0"/>
    <n v="0"/>
  </r>
  <r>
    <x v="1"/>
    <x v="0"/>
    <m/>
    <x v="17"/>
    <n v="60"/>
    <m/>
    <m/>
    <n v="9"/>
    <n v="43"/>
    <m/>
    <n v="0"/>
    <n v="8"/>
  </r>
  <r>
    <x v="1"/>
    <x v="0"/>
    <m/>
    <x v="18"/>
    <n v="187"/>
    <m/>
    <m/>
    <n v="35"/>
    <n v="126"/>
    <m/>
    <n v="2"/>
    <n v="24"/>
  </r>
  <r>
    <x v="1"/>
    <x v="0"/>
    <m/>
    <x v="19"/>
    <n v="55"/>
    <m/>
    <m/>
    <n v="10"/>
    <n v="37"/>
    <m/>
    <n v="0"/>
    <n v="8"/>
  </r>
  <r>
    <x v="1"/>
    <x v="0"/>
    <m/>
    <x v="20"/>
    <n v="173"/>
    <m/>
    <m/>
    <n v="25"/>
    <n v="122"/>
    <m/>
    <n v="0"/>
    <n v="26"/>
  </r>
  <r>
    <x v="1"/>
    <x v="0"/>
    <m/>
    <x v="21"/>
    <n v="23"/>
    <m/>
    <m/>
    <n v="3"/>
    <n v="18"/>
    <m/>
    <n v="0"/>
    <n v="2"/>
  </r>
  <r>
    <x v="1"/>
    <x v="0"/>
    <m/>
    <x v="22"/>
    <n v="54"/>
    <m/>
    <m/>
    <n v="10"/>
    <n v="27"/>
    <m/>
    <n v="2"/>
    <n v="15"/>
  </r>
  <r>
    <x v="1"/>
    <x v="0"/>
    <m/>
    <x v="23"/>
    <n v="348"/>
    <m/>
    <m/>
    <n v="64"/>
    <n v="257"/>
    <m/>
    <n v="1"/>
    <n v="26"/>
  </r>
  <r>
    <x v="1"/>
    <x v="0"/>
    <m/>
    <x v="24"/>
    <n v="115"/>
    <m/>
    <m/>
    <n v="23"/>
    <n v="72"/>
    <m/>
    <n v="0"/>
    <n v="20"/>
  </r>
  <r>
    <x v="1"/>
    <x v="0"/>
    <m/>
    <x v="25"/>
    <n v="74"/>
    <m/>
    <m/>
    <n v="20"/>
    <n v="45"/>
    <m/>
    <n v="0"/>
    <n v="9"/>
  </r>
  <r>
    <x v="1"/>
    <x v="0"/>
    <m/>
    <x v="26"/>
    <n v="79"/>
    <m/>
    <m/>
    <n v="9"/>
    <n v="59"/>
    <m/>
    <n v="1"/>
    <n v="10"/>
  </r>
  <r>
    <x v="1"/>
    <x v="0"/>
    <m/>
    <x v="27"/>
    <n v="27"/>
    <m/>
    <m/>
    <n v="0"/>
    <n v="22"/>
    <m/>
    <n v="1"/>
    <n v="4"/>
  </r>
  <r>
    <x v="1"/>
    <x v="0"/>
    <m/>
    <x v="28"/>
    <n v="207"/>
    <m/>
    <m/>
    <n v="27"/>
    <n v="158"/>
    <m/>
    <n v="1"/>
    <n v="21"/>
  </r>
  <r>
    <x v="1"/>
    <x v="0"/>
    <m/>
    <x v="29"/>
    <n v="187"/>
    <m/>
    <m/>
    <n v="37"/>
    <n v="125"/>
    <m/>
    <n v="1"/>
    <n v="24"/>
  </r>
  <r>
    <x v="1"/>
    <x v="0"/>
    <m/>
    <x v="30"/>
    <n v="72"/>
    <m/>
    <m/>
    <n v="14"/>
    <n v="44"/>
    <m/>
    <n v="0"/>
    <n v="14"/>
  </r>
  <r>
    <x v="1"/>
    <x v="0"/>
    <m/>
    <x v="31"/>
    <n v="544"/>
    <m/>
    <m/>
    <n v="116"/>
    <n v="362"/>
    <m/>
    <n v="1"/>
    <n v="65"/>
  </r>
  <r>
    <x v="1"/>
    <x v="0"/>
    <m/>
    <x v="32"/>
    <n v="288"/>
    <m/>
    <m/>
    <n v="54"/>
    <n v="209"/>
    <m/>
    <n v="0"/>
    <n v="25"/>
  </r>
  <r>
    <x v="1"/>
    <x v="1"/>
    <m/>
    <x v="0"/>
    <n v="270"/>
    <n v="18"/>
    <m/>
    <n v="4"/>
    <n v="14"/>
    <n v="65"/>
    <n v="79"/>
    <n v="90"/>
  </r>
  <r>
    <x v="1"/>
    <x v="1"/>
    <m/>
    <x v="20"/>
    <n v="18"/>
    <n v="1"/>
    <m/>
    <n v="0"/>
    <n v="0"/>
    <n v="3"/>
    <n v="7"/>
    <n v="7"/>
  </r>
  <r>
    <x v="1"/>
    <x v="1"/>
    <m/>
    <x v="33"/>
    <n v="18"/>
    <n v="1"/>
    <m/>
    <n v="0"/>
    <n v="2"/>
    <n v="1"/>
    <n v="4"/>
    <n v="10"/>
  </r>
  <r>
    <x v="1"/>
    <x v="1"/>
    <m/>
    <x v="34"/>
    <n v="21"/>
    <n v="1"/>
    <m/>
    <n v="0"/>
    <n v="1"/>
    <n v="7"/>
    <n v="5"/>
    <n v="7"/>
  </r>
  <r>
    <x v="1"/>
    <x v="1"/>
    <m/>
    <x v="2"/>
    <n v="18"/>
    <n v="0"/>
    <m/>
    <n v="0"/>
    <n v="1"/>
    <n v="2"/>
    <n v="5"/>
    <n v="10"/>
  </r>
  <r>
    <x v="1"/>
    <x v="1"/>
    <m/>
    <x v="35"/>
    <n v="20"/>
    <n v="1"/>
    <m/>
    <n v="0"/>
    <n v="0"/>
    <n v="7"/>
    <n v="7"/>
    <n v="5"/>
  </r>
  <r>
    <x v="1"/>
    <x v="1"/>
    <m/>
    <x v="36"/>
    <n v="17"/>
    <n v="1"/>
    <m/>
    <n v="0"/>
    <n v="4"/>
    <n v="5"/>
    <n v="1"/>
    <n v="6"/>
  </r>
  <r>
    <x v="1"/>
    <x v="1"/>
    <m/>
    <x v="37"/>
    <n v="12"/>
    <n v="1"/>
    <m/>
    <n v="0"/>
    <n v="0"/>
    <n v="3"/>
    <n v="5"/>
    <n v="3"/>
  </r>
  <r>
    <x v="1"/>
    <x v="1"/>
    <m/>
    <x v="38"/>
    <n v="24"/>
    <n v="2"/>
    <m/>
    <n v="2"/>
    <n v="2"/>
    <n v="8"/>
    <n v="4"/>
    <n v="6"/>
  </r>
  <r>
    <x v="1"/>
    <x v="1"/>
    <m/>
    <x v="39"/>
    <n v="13"/>
    <n v="1"/>
    <m/>
    <n v="0"/>
    <n v="1"/>
    <n v="3"/>
    <n v="3"/>
    <n v="5"/>
  </r>
  <r>
    <x v="1"/>
    <x v="1"/>
    <m/>
    <x v="31"/>
    <n v="25"/>
    <n v="1"/>
    <m/>
    <n v="1"/>
    <n v="2"/>
    <n v="4"/>
    <n v="8"/>
    <n v="9"/>
  </r>
  <r>
    <x v="1"/>
    <x v="1"/>
    <m/>
    <x v="40"/>
    <n v="13"/>
    <n v="1"/>
    <m/>
    <n v="0"/>
    <n v="0"/>
    <n v="6"/>
    <n v="5"/>
    <n v="1"/>
  </r>
  <r>
    <x v="1"/>
    <x v="1"/>
    <m/>
    <x v="29"/>
    <n v="16"/>
    <n v="2"/>
    <m/>
    <n v="1"/>
    <n v="1"/>
    <n v="3"/>
    <n v="5"/>
    <n v="4"/>
  </r>
  <r>
    <x v="1"/>
    <x v="1"/>
    <m/>
    <x v="18"/>
    <n v="10"/>
    <n v="1"/>
    <m/>
    <n v="0"/>
    <n v="0"/>
    <n v="4"/>
    <n v="2"/>
    <n v="3"/>
  </r>
  <r>
    <x v="1"/>
    <x v="1"/>
    <m/>
    <x v="41"/>
    <n v="5"/>
    <n v="0"/>
    <m/>
    <n v="0"/>
    <n v="0"/>
    <n v="1"/>
    <n v="4"/>
    <n v="0"/>
  </r>
  <r>
    <x v="1"/>
    <x v="1"/>
    <m/>
    <x v="42"/>
    <n v="7"/>
    <n v="1"/>
    <m/>
    <n v="0"/>
    <n v="0"/>
    <n v="3"/>
    <n v="3"/>
    <n v="0"/>
  </r>
  <r>
    <x v="1"/>
    <x v="1"/>
    <m/>
    <x v="43"/>
    <n v="12"/>
    <n v="1"/>
    <m/>
    <n v="0"/>
    <n v="0"/>
    <n v="3"/>
    <n v="5"/>
    <n v="3"/>
  </r>
  <r>
    <x v="1"/>
    <x v="1"/>
    <m/>
    <x v="32"/>
    <n v="21"/>
    <n v="2"/>
    <m/>
    <n v="0"/>
    <n v="0"/>
    <n v="2"/>
    <n v="6"/>
    <n v="11"/>
  </r>
  <r>
    <x v="1"/>
    <x v="2"/>
    <m/>
    <x v="0"/>
    <n v="249"/>
    <n v="4"/>
    <m/>
    <n v="34"/>
    <n v="7"/>
    <n v="26"/>
    <n v="31"/>
    <n v="147"/>
  </r>
  <r>
    <x v="1"/>
    <x v="2"/>
    <m/>
    <x v="44"/>
    <n v="105"/>
    <n v="2"/>
    <m/>
    <n v="9"/>
    <n v="0"/>
    <n v="15"/>
    <n v="4"/>
    <n v="75"/>
  </r>
  <r>
    <x v="1"/>
    <x v="2"/>
    <m/>
    <x v="45"/>
    <n v="78"/>
    <n v="1"/>
    <m/>
    <n v="4"/>
    <n v="6"/>
    <n v="4"/>
    <n v="17"/>
    <n v="46"/>
  </r>
  <r>
    <x v="1"/>
    <x v="2"/>
    <m/>
    <x v="46"/>
    <n v="66"/>
    <n v="1"/>
    <m/>
    <n v="21"/>
    <n v="1"/>
    <n v="7"/>
    <n v="10"/>
    <n v="26"/>
  </r>
  <r>
    <x v="1"/>
    <x v="3"/>
    <m/>
    <x v="47"/>
    <n v="52"/>
    <n v="11"/>
    <n v="7"/>
    <n v="4"/>
    <n v="1"/>
    <n v="12"/>
    <n v="6"/>
    <n v="11"/>
  </r>
  <r>
    <x v="1"/>
    <x v="4"/>
    <m/>
    <x v="47"/>
    <n v="3856"/>
    <n v="33"/>
    <n v="7"/>
    <n v="634"/>
    <n v="2285"/>
    <n v="103"/>
    <n v="130"/>
    <n v="664"/>
  </r>
  <r>
    <x v="2"/>
    <x v="0"/>
    <m/>
    <x v="0"/>
    <n v="3015.9047619047619"/>
    <n v="0"/>
    <n v="0"/>
    <n v="509.34523809523807"/>
    <n v="2199.9"/>
    <n v="0"/>
    <n v="2"/>
    <n v="304.65952380952382"/>
  </r>
  <r>
    <x v="2"/>
    <x v="0"/>
    <m/>
    <x v="1"/>
    <n v="26"/>
    <m/>
    <m/>
    <n v="5"/>
    <n v="17"/>
    <m/>
    <n v="0"/>
    <n v="4"/>
  </r>
  <r>
    <x v="2"/>
    <x v="0"/>
    <m/>
    <x v="2"/>
    <n v="65"/>
    <m/>
    <m/>
    <n v="14"/>
    <n v="48"/>
    <m/>
    <n v="0"/>
    <n v="3"/>
  </r>
  <r>
    <x v="2"/>
    <x v="0"/>
    <m/>
    <x v="3"/>
    <n v="53"/>
    <m/>
    <m/>
    <n v="7"/>
    <n v="41"/>
    <m/>
    <n v="0"/>
    <n v="5"/>
  </r>
  <r>
    <x v="2"/>
    <x v="0"/>
    <m/>
    <x v="4"/>
    <n v="27"/>
    <m/>
    <m/>
    <n v="4"/>
    <n v="19"/>
    <m/>
    <n v="0"/>
    <n v="4"/>
  </r>
  <r>
    <x v="2"/>
    <x v="0"/>
    <m/>
    <x v="5"/>
    <n v="53"/>
    <m/>
    <m/>
    <n v="10"/>
    <n v="34"/>
    <m/>
    <n v="0"/>
    <n v="9"/>
  </r>
  <r>
    <x v="2"/>
    <x v="0"/>
    <m/>
    <x v="6"/>
    <n v="95"/>
    <m/>
    <m/>
    <n v="17"/>
    <n v="66"/>
    <m/>
    <n v="0"/>
    <n v="12"/>
  </r>
  <r>
    <x v="2"/>
    <x v="0"/>
    <m/>
    <x v="7"/>
    <n v="277.07499999999999"/>
    <m/>
    <m/>
    <n v="47"/>
    <n v="210.07499999999999"/>
    <m/>
    <n v="0"/>
    <n v="20"/>
  </r>
  <r>
    <x v="2"/>
    <x v="0"/>
    <m/>
    <x v="8"/>
    <n v="70"/>
    <m/>
    <m/>
    <n v="12"/>
    <n v="48"/>
    <m/>
    <n v="1"/>
    <n v="9"/>
  </r>
  <r>
    <x v="2"/>
    <x v="0"/>
    <m/>
    <x v="9"/>
    <n v="23"/>
    <m/>
    <m/>
    <n v="4"/>
    <n v="16"/>
    <m/>
    <n v="0"/>
    <n v="3"/>
  </r>
  <r>
    <x v="2"/>
    <x v="0"/>
    <m/>
    <x v="10"/>
    <n v="31"/>
    <m/>
    <m/>
    <n v="5"/>
    <n v="21"/>
    <m/>
    <n v="0"/>
    <n v="5"/>
  </r>
  <r>
    <x v="2"/>
    <x v="0"/>
    <m/>
    <x v="11"/>
    <n v="0"/>
    <m/>
    <m/>
    <n v="0"/>
    <n v="0"/>
    <m/>
    <n v="0"/>
    <n v="0"/>
  </r>
  <r>
    <x v="2"/>
    <x v="0"/>
    <m/>
    <x v="12"/>
    <n v="75.095238095238102"/>
    <m/>
    <m/>
    <n v="13.095238095238095"/>
    <n v="50"/>
    <m/>
    <n v="0"/>
    <n v="12"/>
  </r>
  <r>
    <x v="2"/>
    <x v="0"/>
    <m/>
    <x v="13"/>
    <n v="0"/>
    <m/>
    <m/>
    <n v="0"/>
    <n v="0"/>
    <m/>
    <n v="0"/>
    <n v="0"/>
  </r>
  <r>
    <x v="2"/>
    <x v="0"/>
    <m/>
    <x v="14"/>
    <n v="72.75"/>
    <m/>
    <m/>
    <n v="13"/>
    <n v="55.75"/>
    <m/>
    <n v="0"/>
    <n v="4"/>
  </r>
  <r>
    <x v="2"/>
    <x v="0"/>
    <m/>
    <x v="15"/>
    <n v="69.075000000000003"/>
    <m/>
    <m/>
    <n v="12"/>
    <n v="48.075000000000003"/>
    <m/>
    <n v="0"/>
    <n v="9"/>
  </r>
  <r>
    <x v="2"/>
    <x v="0"/>
    <m/>
    <x v="16"/>
    <n v="0"/>
    <m/>
    <m/>
    <n v="0"/>
    <n v="0"/>
    <m/>
    <n v="0"/>
    <n v="0"/>
  </r>
  <r>
    <x v="2"/>
    <x v="0"/>
    <m/>
    <x v="17"/>
    <n v="55"/>
    <m/>
    <m/>
    <n v="10"/>
    <n v="40"/>
    <m/>
    <n v="0"/>
    <n v="5"/>
  </r>
  <r>
    <x v="2"/>
    <x v="0"/>
    <m/>
    <x v="18"/>
    <n v="178"/>
    <m/>
    <m/>
    <n v="28"/>
    <n v="132"/>
    <m/>
    <n v="0"/>
    <n v="18"/>
  </r>
  <r>
    <x v="2"/>
    <x v="0"/>
    <m/>
    <x v="19"/>
    <n v="51"/>
    <m/>
    <m/>
    <n v="9"/>
    <n v="40"/>
    <m/>
    <n v="0"/>
    <n v="2"/>
  </r>
  <r>
    <x v="2"/>
    <x v="0"/>
    <m/>
    <x v="20"/>
    <n v="142"/>
    <m/>
    <m/>
    <n v="22"/>
    <n v="107"/>
    <m/>
    <n v="0"/>
    <n v="13"/>
  </r>
  <r>
    <x v="2"/>
    <x v="0"/>
    <m/>
    <x v="21"/>
    <n v="32"/>
    <m/>
    <m/>
    <n v="6"/>
    <n v="22"/>
    <m/>
    <n v="0"/>
    <n v="4"/>
  </r>
  <r>
    <x v="2"/>
    <x v="0"/>
    <m/>
    <x v="22"/>
    <n v="55"/>
    <m/>
    <m/>
    <n v="8"/>
    <n v="37"/>
    <m/>
    <n v="0"/>
    <n v="10"/>
  </r>
  <r>
    <x v="2"/>
    <x v="0"/>
    <m/>
    <x v="23"/>
    <n v="315"/>
    <m/>
    <m/>
    <n v="48"/>
    <n v="248"/>
    <m/>
    <n v="0"/>
    <n v="19"/>
  </r>
  <r>
    <x v="2"/>
    <x v="0"/>
    <m/>
    <x v="24"/>
    <n v="92"/>
    <m/>
    <m/>
    <n v="15"/>
    <n v="62"/>
    <m/>
    <n v="0"/>
    <n v="15"/>
  </r>
  <r>
    <x v="2"/>
    <x v="0"/>
    <m/>
    <x v="25"/>
    <n v="70"/>
    <m/>
    <m/>
    <n v="11"/>
    <n v="49"/>
    <m/>
    <n v="0"/>
    <n v="10"/>
  </r>
  <r>
    <x v="2"/>
    <x v="0"/>
    <m/>
    <x v="26"/>
    <n v="61"/>
    <m/>
    <m/>
    <n v="9"/>
    <n v="44"/>
    <m/>
    <n v="0"/>
    <n v="8"/>
  </r>
  <r>
    <x v="2"/>
    <x v="0"/>
    <m/>
    <x v="27"/>
    <n v="36"/>
    <m/>
    <m/>
    <n v="8"/>
    <n v="25"/>
    <m/>
    <n v="0"/>
    <n v="3"/>
  </r>
  <r>
    <x v="2"/>
    <x v="0"/>
    <m/>
    <x v="28"/>
    <n v="176"/>
    <m/>
    <m/>
    <n v="26"/>
    <n v="135"/>
    <m/>
    <n v="1"/>
    <n v="14"/>
  </r>
  <r>
    <x v="2"/>
    <x v="0"/>
    <m/>
    <x v="29"/>
    <n v="179.75"/>
    <m/>
    <m/>
    <n v="27.75"/>
    <n v="136"/>
    <m/>
    <n v="0"/>
    <n v="16"/>
  </r>
  <r>
    <x v="2"/>
    <x v="0"/>
    <m/>
    <x v="30"/>
    <n v="70"/>
    <m/>
    <m/>
    <n v="9"/>
    <n v="46"/>
    <m/>
    <n v="0"/>
    <n v="15"/>
  </r>
  <r>
    <x v="2"/>
    <x v="0"/>
    <m/>
    <x v="31"/>
    <n v="68"/>
    <m/>
    <m/>
    <n v="11"/>
    <n v="53"/>
    <m/>
    <n v="0"/>
    <n v="4"/>
  </r>
  <r>
    <x v="2"/>
    <x v="0"/>
    <m/>
    <x v="32"/>
    <n v="498.15952380952382"/>
    <m/>
    <m/>
    <n v="98.5"/>
    <n v="350"/>
    <m/>
    <n v="0"/>
    <n v="49.659523809523812"/>
  </r>
  <r>
    <x v="2"/>
    <x v="1"/>
    <m/>
    <x v="0"/>
    <n v="393.54523809523812"/>
    <n v="14"/>
    <n v="0"/>
    <n v="50"/>
    <n v="34.885714285714286"/>
    <n v="62"/>
    <n v="91"/>
    <n v="141.65952380952382"/>
  </r>
  <r>
    <x v="2"/>
    <x v="1"/>
    <m/>
    <x v="20"/>
    <n v="16"/>
    <n v="1"/>
    <m/>
    <n v="0"/>
    <n v="3"/>
    <n v="3"/>
    <n v="2"/>
    <n v="7"/>
  </r>
  <r>
    <x v="2"/>
    <x v="1"/>
    <m/>
    <x v="33"/>
    <n v="27"/>
    <n v="1"/>
    <m/>
    <n v="7"/>
    <n v="1"/>
    <n v="2"/>
    <n v="6"/>
    <n v="10"/>
  </r>
  <r>
    <x v="2"/>
    <x v="1"/>
    <m/>
    <x v="34"/>
    <n v="25"/>
    <n v="1"/>
    <m/>
    <n v="2"/>
    <n v="4"/>
    <n v="5"/>
    <n v="7"/>
    <n v="6"/>
  </r>
  <r>
    <x v="2"/>
    <x v="1"/>
    <m/>
    <x v="2"/>
    <n v="19"/>
    <n v="0"/>
    <m/>
    <n v="0"/>
    <n v="2"/>
    <n v="2"/>
    <n v="5"/>
    <n v="10"/>
  </r>
  <r>
    <x v="2"/>
    <x v="1"/>
    <m/>
    <x v="35"/>
    <n v="28.885714285714286"/>
    <n v="1"/>
    <m/>
    <n v="4"/>
    <n v="1.8857142857142857"/>
    <n v="6"/>
    <n v="7"/>
    <n v="9"/>
  </r>
  <r>
    <x v="2"/>
    <x v="1"/>
    <m/>
    <x v="36"/>
    <n v="38"/>
    <n v="1"/>
    <m/>
    <n v="10"/>
    <n v="5"/>
    <n v="5"/>
    <n v="6"/>
    <n v="11"/>
  </r>
  <r>
    <x v="2"/>
    <x v="1"/>
    <m/>
    <x v="37"/>
    <n v="17"/>
    <n v="1"/>
    <m/>
    <n v="1"/>
    <n v="3"/>
    <n v="2"/>
    <n v="3"/>
    <n v="7"/>
  </r>
  <r>
    <x v="2"/>
    <x v="1"/>
    <m/>
    <x v="38"/>
    <n v="27"/>
    <n v="0"/>
    <m/>
    <n v="5"/>
    <n v="4"/>
    <n v="7"/>
    <n v="2"/>
    <n v="9"/>
  </r>
  <r>
    <x v="2"/>
    <x v="1"/>
    <m/>
    <x v="39"/>
    <n v="25"/>
    <n v="1"/>
    <m/>
    <n v="1"/>
    <n v="2"/>
    <n v="2"/>
    <n v="3"/>
    <n v="16"/>
  </r>
  <r>
    <x v="2"/>
    <x v="1"/>
    <m/>
    <x v="31"/>
    <n v="31.659523809523812"/>
    <n v="1"/>
    <m/>
    <n v="1"/>
    <n v="2"/>
    <n v="5"/>
    <n v="8"/>
    <n v="14.65952380952381"/>
  </r>
  <r>
    <x v="2"/>
    <x v="1"/>
    <m/>
    <x v="40"/>
    <n v="29"/>
    <n v="1"/>
    <m/>
    <n v="7"/>
    <n v="0"/>
    <n v="6"/>
    <n v="8"/>
    <n v="7"/>
  </r>
  <r>
    <x v="2"/>
    <x v="1"/>
    <m/>
    <x v="29"/>
    <n v="20"/>
    <n v="1"/>
    <m/>
    <n v="3"/>
    <n v="0"/>
    <n v="3"/>
    <n v="4"/>
    <n v="9"/>
  </r>
  <r>
    <x v="2"/>
    <x v="1"/>
    <m/>
    <x v="18"/>
    <n v="16"/>
    <n v="1"/>
    <m/>
    <n v="3"/>
    <n v="1"/>
    <n v="3"/>
    <n v="5"/>
    <n v="3"/>
  </r>
  <r>
    <x v="2"/>
    <x v="1"/>
    <m/>
    <x v="41"/>
    <n v="13"/>
    <n v="0"/>
    <m/>
    <n v="2"/>
    <n v="1"/>
    <n v="2"/>
    <n v="5"/>
    <n v="3"/>
  </r>
  <r>
    <x v="2"/>
    <x v="1"/>
    <m/>
    <x v="42"/>
    <n v="11"/>
    <n v="1"/>
    <m/>
    <n v="1"/>
    <n v="0"/>
    <n v="3"/>
    <n v="5"/>
    <n v="1"/>
  </r>
  <r>
    <x v="2"/>
    <x v="1"/>
    <m/>
    <x v="43"/>
    <n v="24"/>
    <n v="1"/>
    <m/>
    <n v="0"/>
    <n v="1"/>
    <n v="4"/>
    <n v="10"/>
    <n v="8"/>
  </r>
  <r>
    <x v="2"/>
    <x v="1"/>
    <m/>
    <x v="32"/>
    <n v="26"/>
    <n v="1"/>
    <m/>
    <n v="3"/>
    <n v="4"/>
    <n v="2"/>
    <n v="5"/>
    <n v="11"/>
  </r>
  <r>
    <x v="2"/>
    <x v="2"/>
    <m/>
    <x v="44"/>
    <n v="16"/>
    <n v="1"/>
    <m/>
    <n v="3"/>
    <n v="0"/>
    <n v="5"/>
    <n v="3"/>
    <n v="4"/>
  </r>
  <r>
    <x v="2"/>
    <x v="2"/>
    <m/>
    <x v="45"/>
    <n v="25"/>
    <n v="1"/>
    <m/>
    <n v="2"/>
    <n v="0"/>
    <n v="2"/>
    <n v="3"/>
    <n v="17"/>
  </r>
  <r>
    <x v="2"/>
    <x v="2"/>
    <m/>
    <x v="46"/>
    <n v="44"/>
    <n v="1"/>
    <m/>
    <n v="8"/>
    <n v="0"/>
    <n v="2"/>
    <n v="8"/>
    <n v="25"/>
  </r>
  <r>
    <x v="2"/>
    <x v="3"/>
    <m/>
    <x v="47"/>
    <n v="195"/>
    <n v="18"/>
    <n v="10"/>
    <n v="26"/>
    <n v="16"/>
    <n v="19"/>
    <n v="19"/>
    <n v="93"/>
  </r>
  <r>
    <x v="2"/>
    <x v="5"/>
    <m/>
    <x v="0"/>
    <n v="85"/>
    <n v="3"/>
    <n v="0"/>
    <n v="13"/>
    <n v="0"/>
    <n v="9"/>
    <n v="14"/>
    <n v="46"/>
  </r>
  <r>
    <x v="2"/>
    <x v="4"/>
    <m/>
    <x v="47"/>
    <n v="3690"/>
    <n v="35"/>
    <n v="4"/>
    <n v="598.34523809523807"/>
    <n v="2250.7857142857142"/>
    <n v="90"/>
    <n v="126"/>
    <n v="585.31904761904764"/>
  </r>
  <r>
    <x v="3"/>
    <x v="0"/>
    <m/>
    <x v="0"/>
    <n v="2923"/>
    <n v="0"/>
    <n v="0"/>
    <n v="552"/>
    <n v="2027"/>
    <n v="0"/>
    <n v="1"/>
    <n v="343"/>
  </r>
  <r>
    <x v="3"/>
    <x v="0"/>
    <m/>
    <x v="1"/>
    <n v="22"/>
    <n v="0"/>
    <n v="0"/>
    <n v="4"/>
    <n v="14"/>
    <n v="0"/>
    <n v="0"/>
    <n v="4"/>
  </r>
  <r>
    <x v="3"/>
    <x v="0"/>
    <m/>
    <x v="2"/>
    <n v="63"/>
    <n v="0"/>
    <n v="0"/>
    <n v="11"/>
    <n v="48"/>
    <n v="0"/>
    <n v="0"/>
    <n v="4"/>
  </r>
  <r>
    <x v="3"/>
    <x v="0"/>
    <m/>
    <x v="3"/>
    <n v="46"/>
    <n v="0"/>
    <n v="0"/>
    <n v="9"/>
    <n v="32"/>
    <n v="0"/>
    <n v="0"/>
    <n v="5"/>
  </r>
  <r>
    <x v="3"/>
    <x v="0"/>
    <m/>
    <x v="4"/>
    <n v="27"/>
    <n v="0"/>
    <n v="0"/>
    <n v="4"/>
    <n v="19"/>
    <n v="0"/>
    <n v="0"/>
    <n v="4"/>
  </r>
  <r>
    <x v="3"/>
    <x v="0"/>
    <m/>
    <x v="5"/>
    <n v="50"/>
    <n v="0"/>
    <n v="0"/>
    <n v="10"/>
    <n v="30"/>
    <n v="0"/>
    <n v="0"/>
    <n v="10"/>
  </r>
  <r>
    <x v="3"/>
    <x v="0"/>
    <m/>
    <x v="6"/>
    <n v="0"/>
    <n v="0"/>
    <n v="0"/>
    <n v="0"/>
    <n v="0"/>
    <n v="0"/>
    <n v="0"/>
    <n v="0"/>
  </r>
  <r>
    <x v="3"/>
    <x v="0"/>
    <m/>
    <x v="7"/>
    <n v="86"/>
    <n v="0"/>
    <n v="0"/>
    <n v="16"/>
    <n v="57"/>
    <n v="0"/>
    <n v="0"/>
    <n v="13"/>
  </r>
  <r>
    <x v="3"/>
    <x v="0"/>
    <m/>
    <x v="8"/>
    <n v="67"/>
    <n v="0"/>
    <n v="0"/>
    <n v="11"/>
    <n v="52"/>
    <n v="0"/>
    <n v="0"/>
    <n v="4"/>
  </r>
  <r>
    <x v="3"/>
    <x v="0"/>
    <m/>
    <x v="9"/>
    <n v="68"/>
    <n v="0"/>
    <n v="0"/>
    <n v="13"/>
    <n v="43"/>
    <n v="0"/>
    <n v="1"/>
    <n v="11"/>
  </r>
  <r>
    <x v="3"/>
    <x v="0"/>
    <m/>
    <x v="10"/>
    <n v="22"/>
    <n v="0"/>
    <n v="0"/>
    <n v="4"/>
    <n v="14"/>
    <n v="0"/>
    <n v="0"/>
    <n v="4"/>
  </r>
  <r>
    <x v="3"/>
    <x v="0"/>
    <m/>
    <x v="11"/>
    <n v="27"/>
    <n v="0"/>
    <n v="0"/>
    <n v="4"/>
    <n v="19"/>
    <n v="0"/>
    <n v="0"/>
    <n v="4"/>
  </r>
  <r>
    <x v="3"/>
    <x v="0"/>
    <m/>
    <x v="12"/>
    <n v="78"/>
    <n v="0"/>
    <n v="0"/>
    <n v="17"/>
    <n v="46"/>
    <n v="0"/>
    <n v="0"/>
    <n v="15"/>
  </r>
  <r>
    <x v="3"/>
    <x v="0"/>
    <m/>
    <x v="13"/>
    <n v="0"/>
    <n v="0"/>
    <n v="0"/>
    <n v="0"/>
    <n v="0"/>
    <n v="0"/>
    <n v="0"/>
    <n v="0"/>
  </r>
  <r>
    <x v="3"/>
    <x v="0"/>
    <m/>
    <x v="14"/>
    <n v="68"/>
    <n v="0"/>
    <n v="0"/>
    <n v="12"/>
    <n v="52"/>
    <n v="0"/>
    <n v="0"/>
    <n v="4"/>
  </r>
  <r>
    <x v="3"/>
    <x v="0"/>
    <m/>
    <x v="15"/>
    <n v="56"/>
    <n v="0"/>
    <n v="0"/>
    <n v="8"/>
    <n v="40"/>
    <n v="0"/>
    <n v="0"/>
    <n v="8"/>
  </r>
  <r>
    <x v="3"/>
    <x v="0"/>
    <m/>
    <x v="16"/>
    <n v="0"/>
    <n v="0"/>
    <n v="0"/>
    <n v="0"/>
    <n v="0"/>
    <n v="0"/>
    <n v="0"/>
    <n v="0"/>
  </r>
  <r>
    <x v="3"/>
    <x v="0"/>
    <m/>
    <x v="17"/>
    <n v="54"/>
    <n v="0"/>
    <n v="0"/>
    <n v="10"/>
    <n v="39"/>
    <n v="0"/>
    <n v="0"/>
    <n v="5"/>
  </r>
  <r>
    <x v="3"/>
    <x v="0"/>
    <m/>
    <x v="18"/>
    <n v="171"/>
    <n v="0"/>
    <n v="0"/>
    <n v="34"/>
    <n v="117"/>
    <n v="0"/>
    <n v="0"/>
    <n v="20"/>
  </r>
  <r>
    <x v="3"/>
    <x v="0"/>
    <m/>
    <x v="19"/>
    <n v="53"/>
    <n v="0"/>
    <n v="0"/>
    <n v="9"/>
    <n v="40"/>
    <n v="0"/>
    <n v="0"/>
    <n v="4"/>
  </r>
  <r>
    <x v="3"/>
    <x v="0"/>
    <m/>
    <x v="20"/>
    <n v="155"/>
    <n v="0"/>
    <n v="0"/>
    <n v="26"/>
    <n v="113"/>
    <n v="0"/>
    <n v="0"/>
    <n v="16"/>
  </r>
  <r>
    <x v="3"/>
    <x v="0"/>
    <m/>
    <x v="21"/>
    <n v="25"/>
    <n v="0"/>
    <n v="0"/>
    <n v="4"/>
    <n v="17"/>
    <n v="0"/>
    <n v="0"/>
    <n v="4"/>
  </r>
  <r>
    <x v="3"/>
    <x v="0"/>
    <m/>
    <x v="22"/>
    <n v="43"/>
    <n v="0"/>
    <n v="0"/>
    <n v="9"/>
    <n v="24"/>
    <n v="0"/>
    <n v="0"/>
    <n v="10"/>
  </r>
  <r>
    <x v="3"/>
    <x v="0"/>
    <m/>
    <x v="23"/>
    <n v="313"/>
    <n v="0"/>
    <n v="0"/>
    <n v="60"/>
    <n v="227"/>
    <n v="0"/>
    <n v="0"/>
    <n v="26"/>
  </r>
  <r>
    <x v="3"/>
    <x v="0"/>
    <m/>
    <x v="24"/>
    <n v="97"/>
    <n v="0"/>
    <n v="0"/>
    <n v="21"/>
    <n v="60"/>
    <n v="0"/>
    <n v="0"/>
    <n v="16"/>
  </r>
  <r>
    <x v="3"/>
    <x v="0"/>
    <m/>
    <x v="25"/>
    <n v="69"/>
    <n v="0"/>
    <n v="0"/>
    <n v="15"/>
    <n v="44"/>
    <n v="0"/>
    <n v="0"/>
    <n v="10"/>
  </r>
  <r>
    <x v="3"/>
    <x v="0"/>
    <m/>
    <x v="26"/>
    <n v="60"/>
    <n v="0"/>
    <n v="0"/>
    <n v="10"/>
    <n v="42"/>
    <n v="0"/>
    <n v="0"/>
    <n v="8"/>
  </r>
  <r>
    <x v="3"/>
    <x v="0"/>
    <m/>
    <x v="27"/>
    <n v="25"/>
    <n v="0"/>
    <n v="0"/>
    <n v="4"/>
    <n v="18"/>
    <n v="0"/>
    <n v="0"/>
    <n v="3"/>
  </r>
  <r>
    <x v="3"/>
    <x v="0"/>
    <m/>
    <x v="28"/>
    <n v="192"/>
    <n v="0"/>
    <n v="0"/>
    <n v="30"/>
    <n v="144"/>
    <n v="0"/>
    <n v="0"/>
    <n v="18"/>
  </r>
  <r>
    <x v="3"/>
    <x v="0"/>
    <m/>
    <x v="29"/>
    <n v="173"/>
    <n v="0"/>
    <n v="0"/>
    <n v="30"/>
    <n v="123"/>
    <n v="0"/>
    <n v="0"/>
    <n v="20"/>
  </r>
  <r>
    <x v="3"/>
    <x v="0"/>
    <m/>
    <x v="30"/>
    <n v="68"/>
    <n v="0"/>
    <n v="0"/>
    <n v="14"/>
    <n v="39"/>
    <n v="0"/>
    <n v="0"/>
    <n v="15"/>
  </r>
  <r>
    <x v="3"/>
    <x v="0"/>
    <m/>
    <x v="31"/>
    <n v="475"/>
    <n v="0"/>
    <n v="0"/>
    <n v="105"/>
    <n v="313"/>
    <n v="0"/>
    <n v="0"/>
    <n v="57"/>
  </r>
  <r>
    <x v="3"/>
    <x v="0"/>
    <m/>
    <x v="32"/>
    <n v="270"/>
    <n v="0"/>
    <n v="0"/>
    <n v="48"/>
    <n v="201"/>
    <n v="0"/>
    <n v="0"/>
    <n v="21"/>
  </r>
  <r>
    <x v="3"/>
    <x v="1"/>
    <m/>
    <x v="0"/>
    <n v="386"/>
    <n v="16"/>
    <n v="0"/>
    <n v="61"/>
    <n v="27"/>
    <n v="47"/>
    <n v="116"/>
    <n v="119"/>
  </r>
  <r>
    <x v="3"/>
    <x v="1"/>
    <m/>
    <x v="20"/>
    <n v="14"/>
    <n v="1"/>
    <n v="0"/>
    <n v="2"/>
    <n v="2"/>
    <n v="1"/>
    <n v="3"/>
    <n v="5"/>
  </r>
  <r>
    <x v="3"/>
    <x v="1"/>
    <m/>
    <x v="33"/>
    <n v="25"/>
    <n v="1"/>
    <n v="0"/>
    <n v="5"/>
    <n v="0"/>
    <n v="2"/>
    <n v="8"/>
    <n v="9"/>
  </r>
  <r>
    <x v="3"/>
    <x v="1"/>
    <m/>
    <x v="34"/>
    <n v="26"/>
    <n v="1"/>
    <n v="0"/>
    <n v="4"/>
    <n v="2"/>
    <n v="3"/>
    <n v="9"/>
    <n v="7"/>
  </r>
  <r>
    <x v="3"/>
    <x v="1"/>
    <m/>
    <x v="2"/>
    <n v="21"/>
    <n v="1"/>
    <n v="0"/>
    <n v="3"/>
    <n v="0"/>
    <n v="2"/>
    <n v="6"/>
    <n v="9"/>
  </r>
  <r>
    <x v="3"/>
    <x v="1"/>
    <m/>
    <x v="35"/>
    <n v="29"/>
    <n v="1"/>
    <n v="0"/>
    <n v="5"/>
    <n v="1"/>
    <n v="4"/>
    <n v="9"/>
    <n v="9"/>
  </r>
  <r>
    <x v="3"/>
    <x v="1"/>
    <m/>
    <x v="36"/>
    <n v="31"/>
    <n v="1"/>
    <n v="0"/>
    <n v="5"/>
    <n v="5"/>
    <n v="4"/>
    <n v="8"/>
    <n v="8"/>
  </r>
  <r>
    <x v="3"/>
    <x v="1"/>
    <m/>
    <x v="37"/>
    <n v="18"/>
    <n v="1"/>
    <n v="0"/>
    <n v="2"/>
    <n v="1"/>
    <n v="3"/>
    <n v="4"/>
    <n v="7"/>
  </r>
  <r>
    <x v="3"/>
    <x v="1"/>
    <m/>
    <x v="38"/>
    <n v="27"/>
    <n v="1"/>
    <n v="0"/>
    <n v="2"/>
    <n v="4"/>
    <n v="3"/>
    <n v="6"/>
    <n v="11"/>
  </r>
  <r>
    <x v="3"/>
    <x v="1"/>
    <m/>
    <x v="39"/>
    <n v="21"/>
    <n v="1"/>
    <n v="0"/>
    <n v="3"/>
    <n v="2"/>
    <n v="2"/>
    <n v="6"/>
    <n v="7"/>
  </r>
  <r>
    <x v="3"/>
    <x v="1"/>
    <m/>
    <x v="31"/>
    <n v="25"/>
    <n v="1"/>
    <n v="0"/>
    <n v="3"/>
    <n v="2"/>
    <n v="4"/>
    <n v="9"/>
    <n v="6"/>
  </r>
  <r>
    <x v="3"/>
    <x v="1"/>
    <m/>
    <x v="40"/>
    <n v="36"/>
    <n v="1"/>
    <n v="0"/>
    <n v="10"/>
    <n v="0"/>
    <n v="4"/>
    <n v="13"/>
    <n v="8"/>
  </r>
  <r>
    <x v="3"/>
    <x v="1"/>
    <m/>
    <x v="29"/>
    <n v="15"/>
    <n v="1"/>
    <n v="0"/>
    <n v="1"/>
    <n v="1"/>
    <n v="2"/>
    <n v="5"/>
    <n v="5"/>
  </r>
  <r>
    <x v="3"/>
    <x v="1"/>
    <m/>
    <x v="18"/>
    <n v="15"/>
    <n v="1"/>
    <n v="0"/>
    <n v="2"/>
    <n v="1"/>
    <n v="2"/>
    <n v="5"/>
    <n v="4"/>
  </r>
  <r>
    <x v="3"/>
    <x v="1"/>
    <m/>
    <x v="41"/>
    <n v="15"/>
    <n v="0"/>
    <n v="0"/>
    <n v="3"/>
    <n v="1"/>
    <n v="2"/>
    <n v="4"/>
    <n v="5"/>
  </r>
  <r>
    <x v="3"/>
    <x v="1"/>
    <m/>
    <x v="42"/>
    <n v="16"/>
    <n v="1"/>
    <n v="0"/>
    <n v="6"/>
    <n v="0"/>
    <n v="3"/>
    <n v="5"/>
    <n v="1"/>
  </r>
  <r>
    <x v="3"/>
    <x v="1"/>
    <m/>
    <x v="43"/>
    <n v="28"/>
    <n v="1"/>
    <n v="0"/>
    <n v="2"/>
    <n v="2"/>
    <n v="4"/>
    <n v="9"/>
    <n v="10"/>
  </r>
  <r>
    <x v="3"/>
    <x v="1"/>
    <m/>
    <x v="32"/>
    <n v="24"/>
    <n v="1"/>
    <n v="0"/>
    <n v="3"/>
    <n v="3"/>
    <n v="2"/>
    <n v="7"/>
    <n v="8"/>
  </r>
  <r>
    <x v="3"/>
    <x v="2"/>
    <m/>
    <x v="0"/>
    <m/>
    <m/>
    <m/>
    <m/>
    <m/>
    <m/>
    <m/>
    <m/>
  </r>
  <r>
    <x v="3"/>
    <x v="2"/>
    <m/>
    <x v="44"/>
    <n v="68"/>
    <n v="1"/>
    <n v="0"/>
    <n v="10"/>
    <n v="1"/>
    <n v="3"/>
    <n v="11"/>
    <n v="42"/>
  </r>
  <r>
    <x v="3"/>
    <x v="2"/>
    <m/>
    <x v="45"/>
    <n v="38"/>
    <n v="1"/>
    <n v="0"/>
    <n v="6"/>
    <n v="1"/>
    <n v="5"/>
    <n v="5"/>
    <n v="20"/>
  </r>
  <r>
    <x v="3"/>
    <x v="2"/>
    <m/>
    <x v="46"/>
    <n v="45"/>
    <n v="1"/>
    <n v="0"/>
    <n v="6"/>
    <n v="1"/>
    <n v="4"/>
    <n v="9"/>
    <n v="24"/>
  </r>
  <r>
    <x v="3"/>
    <x v="3"/>
    <m/>
    <x v="47"/>
    <n v="182"/>
    <n v="15"/>
    <n v="4"/>
    <n v="0"/>
    <n v="101"/>
    <n v="11"/>
    <n v="9"/>
    <n v="42"/>
  </r>
  <r>
    <x v="3"/>
    <x v="4"/>
    <m/>
    <x v="47"/>
    <n v="3644"/>
    <n v="34"/>
    <n v="4"/>
    <n v="635"/>
    <n v="2158"/>
    <n v="70"/>
    <n v="151"/>
    <n v="590"/>
  </r>
  <r>
    <x v="4"/>
    <x v="0"/>
    <m/>
    <x v="0"/>
    <n v="2868"/>
    <m/>
    <m/>
    <n v="588"/>
    <n v="1905"/>
    <m/>
    <m/>
    <n v="375"/>
  </r>
  <r>
    <x v="4"/>
    <x v="0"/>
    <m/>
    <x v="1"/>
    <n v="25"/>
    <m/>
    <m/>
    <n v="5"/>
    <n v="15"/>
    <m/>
    <m/>
    <n v="5"/>
  </r>
  <r>
    <x v="4"/>
    <x v="0"/>
    <m/>
    <x v="2"/>
    <n v="54"/>
    <m/>
    <m/>
    <n v="11"/>
    <n v="38"/>
    <m/>
    <m/>
    <n v="5"/>
  </r>
  <r>
    <x v="4"/>
    <x v="0"/>
    <m/>
    <x v="3"/>
    <n v="49"/>
    <m/>
    <m/>
    <n v="10"/>
    <n v="34"/>
    <m/>
    <m/>
    <n v="5"/>
  </r>
  <r>
    <x v="4"/>
    <x v="0"/>
    <m/>
    <x v="4"/>
    <n v="23"/>
    <m/>
    <m/>
    <n v="5"/>
    <n v="13"/>
    <m/>
    <m/>
    <n v="5"/>
  </r>
  <r>
    <x v="4"/>
    <x v="0"/>
    <m/>
    <x v="5"/>
    <n v="51"/>
    <m/>
    <m/>
    <n v="10"/>
    <n v="30"/>
    <m/>
    <m/>
    <n v="11"/>
  </r>
  <r>
    <x v="4"/>
    <x v="0"/>
    <m/>
    <x v="7"/>
    <n v="87"/>
    <m/>
    <m/>
    <n v="22"/>
    <n v="49"/>
    <m/>
    <m/>
    <n v="16"/>
  </r>
  <r>
    <x v="4"/>
    <x v="0"/>
    <m/>
    <x v="8"/>
    <n v="68"/>
    <m/>
    <m/>
    <n v="15"/>
    <n v="49"/>
    <m/>
    <m/>
    <n v="4"/>
  </r>
  <r>
    <x v="4"/>
    <x v="0"/>
    <m/>
    <x v="9"/>
    <n v="72"/>
    <m/>
    <m/>
    <n v="15"/>
    <n v="44"/>
    <m/>
    <m/>
    <n v="13"/>
  </r>
  <r>
    <x v="4"/>
    <x v="0"/>
    <m/>
    <x v="10"/>
    <n v="28"/>
    <m/>
    <m/>
    <n v="5"/>
    <n v="18"/>
    <m/>
    <m/>
    <n v="5"/>
  </r>
  <r>
    <x v="4"/>
    <x v="0"/>
    <m/>
    <x v="11"/>
    <n v="29"/>
    <m/>
    <m/>
    <n v="5"/>
    <n v="19"/>
    <m/>
    <m/>
    <n v="5"/>
  </r>
  <r>
    <x v="4"/>
    <x v="0"/>
    <m/>
    <x v="12"/>
    <n v="76"/>
    <m/>
    <m/>
    <n v="16"/>
    <n v="45"/>
    <m/>
    <m/>
    <n v="15"/>
  </r>
  <r>
    <x v="4"/>
    <x v="0"/>
    <m/>
    <x v="14"/>
    <n v="69"/>
    <m/>
    <m/>
    <n v="10"/>
    <n v="54"/>
    <m/>
    <m/>
    <n v="5"/>
  </r>
  <r>
    <x v="4"/>
    <x v="0"/>
    <m/>
    <x v="15"/>
    <n v="51"/>
    <m/>
    <m/>
    <n v="9"/>
    <n v="32"/>
    <m/>
    <m/>
    <n v="10"/>
  </r>
  <r>
    <x v="4"/>
    <x v="0"/>
    <m/>
    <x v="17"/>
    <n v="50"/>
    <m/>
    <m/>
    <n v="10"/>
    <n v="35"/>
    <m/>
    <m/>
    <n v="5"/>
  </r>
  <r>
    <x v="4"/>
    <x v="0"/>
    <m/>
    <x v="18"/>
    <n v="166"/>
    <m/>
    <m/>
    <n v="35"/>
    <n v="111"/>
    <m/>
    <m/>
    <n v="20"/>
  </r>
  <r>
    <x v="4"/>
    <x v="0"/>
    <m/>
    <x v="19"/>
    <n v="48"/>
    <m/>
    <m/>
    <n v="9"/>
    <n v="34"/>
    <m/>
    <m/>
    <n v="5"/>
  </r>
  <r>
    <x v="4"/>
    <x v="0"/>
    <m/>
    <x v="20"/>
    <n v="145"/>
    <m/>
    <m/>
    <n v="33"/>
    <n v="97"/>
    <m/>
    <m/>
    <n v="15"/>
  </r>
  <r>
    <x v="4"/>
    <x v="0"/>
    <m/>
    <x v="21"/>
    <n v="24"/>
    <m/>
    <m/>
    <n v="5"/>
    <n v="14"/>
    <m/>
    <m/>
    <n v="5"/>
  </r>
  <r>
    <x v="4"/>
    <x v="0"/>
    <m/>
    <x v="22"/>
    <n v="50"/>
    <m/>
    <m/>
    <n v="10"/>
    <n v="30"/>
    <m/>
    <m/>
    <n v="10"/>
  </r>
  <r>
    <x v="4"/>
    <x v="0"/>
    <m/>
    <x v="23"/>
    <n v="293"/>
    <m/>
    <m/>
    <n v="54"/>
    <n v="204"/>
    <m/>
    <m/>
    <n v="35"/>
  </r>
  <r>
    <x v="4"/>
    <x v="0"/>
    <m/>
    <x v="24"/>
    <n v="94"/>
    <m/>
    <m/>
    <n v="20"/>
    <n v="59"/>
    <m/>
    <m/>
    <n v="15"/>
  </r>
  <r>
    <x v="4"/>
    <x v="0"/>
    <m/>
    <x v="25"/>
    <n v="68"/>
    <m/>
    <m/>
    <n v="15"/>
    <n v="43"/>
    <m/>
    <m/>
    <n v="10"/>
  </r>
  <r>
    <x v="4"/>
    <x v="0"/>
    <m/>
    <x v="26"/>
    <n v="58"/>
    <m/>
    <m/>
    <n v="11"/>
    <n v="37"/>
    <m/>
    <m/>
    <n v="10"/>
  </r>
  <r>
    <x v="4"/>
    <x v="0"/>
    <m/>
    <x v="27"/>
    <n v="28"/>
    <m/>
    <m/>
    <n v="5"/>
    <n v="18"/>
    <m/>
    <m/>
    <n v="5"/>
  </r>
  <r>
    <x v="4"/>
    <x v="0"/>
    <m/>
    <x v="28"/>
    <n v="178"/>
    <m/>
    <m/>
    <n v="35"/>
    <n v="122"/>
    <m/>
    <m/>
    <n v="21"/>
  </r>
  <r>
    <x v="4"/>
    <x v="0"/>
    <m/>
    <x v="29"/>
    <n v="163"/>
    <m/>
    <m/>
    <n v="31"/>
    <n v="113"/>
    <m/>
    <m/>
    <n v="19"/>
  </r>
  <r>
    <x v="4"/>
    <x v="0"/>
    <m/>
    <x v="30"/>
    <n v="78"/>
    <m/>
    <m/>
    <n v="15"/>
    <n v="48"/>
    <m/>
    <m/>
    <n v="15"/>
  </r>
  <r>
    <x v="4"/>
    <x v="0"/>
    <m/>
    <x v="31"/>
    <n v="489"/>
    <m/>
    <m/>
    <n v="113"/>
    <n v="319"/>
    <m/>
    <m/>
    <n v="57"/>
  </r>
  <r>
    <x v="4"/>
    <x v="0"/>
    <m/>
    <x v="32"/>
    <n v="254"/>
    <m/>
    <m/>
    <n v="49"/>
    <n v="181"/>
    <m/>
    <m/>
    <n v="24"/>
  </r>
  <r>
    <x v="4"/>
    <x v="1"/>
    <m/>
    <x v="0"/>
    <n v="377"/>
    <n v="16"/>
    <m/>
    <n v="63"/>
    <n v="28"/>
    <n v="46"/>
    <n v="115"/>
    <n v="109"/>
  </r>
  <r>
    <x v="4"/>
    <x v="1"/>
    <m/>
    <x v="20"/>
    <n v="15"/>
    <n v="1"/>
    <m/>
    <n v="2"/>
    <n v="2"/>
    <n v="2"/>
    <n v="3"/>
    <n v="5"/>
  </r>
  <r>
    <x v="4"/>
    <x v="1"/>
    <m/>
    <x v="33"/>
    <n v="25"/>
    <n v="1"/>
    <m/>
    <n v="7"/>
    <m/>
    <n v="2"/>
    <n v="7"/>
    <n v="8"/>
  </r>
  <r>
    <x v="4"/>
    <x v="1"/>
    <m/>
    <x v="34"/>
    <n v="26"/>
    <n v="1"/>
    <m/>
    <n v="6"/>
    <n v="1"/>
    <n v="3"/>
    <n v="9"/>
    <n v="6"/>
  </r>
  <r>
    <x v="4"/>
    <x v="1"/>
    <m/>
    <x v="2"/>
    <n v="22"/>
    <n v="1"/>
    <m/>
    <n v="4"/>
    <n v="2"/>
    <n v="2"/>
    <n v="6"/>
    <n v="7"/>
  </r>
  <r>
    <x v="4"/>
    <x v="1"/>
    <m/>
    <x v="35"/>
    <n v="27"/>
    <n v="1"/>
    <m/>
    <n v="5"/>
    <n v="1"/>
    <n v="3"/>
    <n v="9"/>
    <n v="8"/>
  </r>
  <r>
    <x v="4"/>
    <x v="1"/>
    <m/>
    <x v="36"/>
    <n v="27"/>
    <n v="1"/>
    <m/>
    <n v="3"/>
    <n v="5"/>
    <n v="3"/>
    <n v="7"/>
    <n v="8"/>
  </r>
  <r>
    <x v="4"/>
    <x v="1"/>
    <m/>
    <x v="37"/>
    <n v="16"/>
    <n v="1"/>
    <m/>
    <n v="2"/>
    <n v="2"/>
    <n v="3"/>
    <n v="4"/>
    <n v="4"/>
  </r>
  <r>
    <x v="4"/>
    <x v="1"/>
    <m/>
    <x v="38"/>
    <n v="31"/>
    <n v="1"/>
    <m/>
    <n v="6"/>
    <n v="3"/>
    <n v="3"/>
    <n v="7"/>
    <n v="11"/>
  </r>
  <r>
    <x v="4"/>
    <x v="1"/>
    <m/>
    <x v="39"/>
    <n v="19"/>
    <n v="1"/>
    <m/>
    <n v="3"/>
    <n v="2"/>
    <n v="2"/>
    <n v="5"/>
    <n v="6"/>
  </r>
  <r>
    <x v="4"/>
    <x v="1"/>
    <m/>
    <x v="31"/>
    <n v="22"/>
    <n v="1"/>
    <m/>
    <n v="2"/>
    <n v="1"/>
    <n v="4"/>
    <n v="8"/>
    <n v="6"/>
  </r>
  <r>
    <x v="4"/>
    <x v="1"/>
    <m/>
    <x v="40"/>
    <n v="32"/>
    <n v="1"/>
    <m/>
    <n v="7"/>
    <n v="1"/>
    <n v="4"/>
    <n v="12"/>
    <n v="7"/>
  </r>
  <r>
    <x v="4"/>
    <x v="1"/>
    <m/>
    <x v="29"/>
    <n v="17"/>
    <n v="1"/>
    <m/>
    <n v="2"/>
    <n v="1"/>
    <n v="2"/>
    <n v="6"/>
    <n v="5"/>
  </r>
  <r>
    <x v="4"/>
    <x v="1"/>
    <m/>
    <x v="18"/>
    <n v="16"/>
    <n v="1"/>
    <m/>
    <n v="2"/>
    <n v="1"/>
    <n v="2"/>
    <n v="6"/>
    <n v="4"/>
  </r>
  <r>
    <x v="4"/>
    <x v="1"/>
    <m/>
    <x v="41"/>
    <n v="18"/>
    <n v="1"/>
    <m/>
    <n v="3"/>
    <n v="1"/>
    <n v="3"/>
    <n v="5"/>
    <n v="5"/>
  </r>
  <r>
    <x v="4"/>
    <x v="1"/>
    <m/>
    <x v="42"/>
    <n v="18"/>
    <n v="1"/>
    <m/>
    <n v="5"/>
    <m/>
    <n v="2"/>
    <n v="6"/>
    <n v="4"/>
  </r>
  <r>
    <x v="4"/>
    <x v="1"/>
    <m/>
    <x v="43"/>
    <n v="28"/>
    <n v="1"/>
    <m/>
    <n v="3"/>
    <n v="2"/>
    <n v="4"/>
    <n v="9"/>
    <n v="9"/>
  </r>
  <r>
    <x v="4"/>
    <x v="1"/>
    <m/>
    <x v="32"/>
    <n v="19"/>
    <m/>
    <m/>
    <n v="1"/>
    <n v="4"/>
    <n v="2"/>
    <n v="6"/>
    <n v="6"/>
  </r>
  <r>
    <x v="4"/>
    <x v="2"/>
    <m/>
    <x v="0"/>
    <n v="156"/>
    <n v="3"/>
    <m/>
    <n v="38"/>
    <m/>
    <n v="15"/>
    <n v="29"/>
    <n v="71"/>
  </r>
  <r>
    <x v="4"/>
    <x v="2"/>
    <m/>
    <x v="44"/>
    <n v="73"/>
    <n v="1"/>
    <m/>
    <n v="18"/>
    <m/>
    <n v="4"/>
    <n v="13"/>
    <n v="37"/>
  </r>
  <r>
    <x v="4"/>
    <x v="2"/>
    <m/>
    <x v="45"/>
    <n v="37"/>
    <n v="1"/>
    <m/>
    <n v="9"/>
    <m/>
    <n v="5"/>
    <n v="6"/>
    <n v="16"/>
  </r>
  <r>
    <x v="4"/>
    <x v="2"/>
    <m/>
    <x v="46"/>
    <n v="46"/>
    <n v="1"/>
    <m/>
    <n v="11"/>
    <m/>
    <n v="6"/>
    <n v="10"/>
    <n v="18"/>
  </r>
  <r>
    <x v="4"/>
    <x v="3"/>
    <m/>
    <x v="47"/>
    <n v="143"/>
    <n v="15"/>
    <n v="4"/>
    <m/>
    <n v="55"/>
    <n v="13"/>
    <n v="9"/>
    <n v="47"/>
  </r>
  <r>
    <x v="4"/>
    <x v="4"/>
    <m/>
    <x v="47"/>
    <n v="3544"/>
    <n v="34"/>
    <n v="4"/>
    <n v="689"/>
    <n v="1988"/>
    <n v="74"/>
    <n v="153"/>
    <n v="602"/>
  </r>
  <r>
    <x v="5"/>
    <x v="0"/>
    <m/>
    <x v="0"/>
    <n v="2955"/>
    <m/>
    <m/>
    <n v="592"/>
    <n v="1986"/>
    <m/>
    <m/>
    <n v="377"/>
  </r>
  <r>
    <x v="5"/>
    <x v="0"/>
    <m/>
    <x v="1"/>
    <n v="25"/>
    <m/>
    <m/>
    <n v="5"/>
    <n v="15"/>
    <m/>
    <m/>
    <n v="5"/>
  </r>
  <r>
    <x v="5"/>
    <x v="0"/>
    <m/>
    <x v="2"/>
    <n v="53"/>
    <m/>
    <m/>
    <n v="10"/>
    <n v="38"/>
    <m/>
    <m/>
    <n v="5"/>
  </r>
  <r>
    <x v="5"/>
    <x v="0"/>
    <m/>
    <x v="3"/>
    <n v="47"/>
    <m/>
    <m/>
    <n v="10"/>
    <n v="32"/>
    <m/>
    <m/>
    <n v="5"/>
  </r>
  <r>
    <x v="5"/>
    <x v="0"/>
    <m/>
    <x v="4"/>
    <n v="24"/>
    <m/>
    <m/>
    <n v="5"/>
    <n v="14"/>
    <m/>
    <m/>
    <n v="5"/>
  </r>
  <r>
    <x v="5"/>
    <x v="0"/>
    <m/>
    <x v="5"/>
    <n v="52"/>
    <m/>
    <m/>
    <n v="10"/>
    <n v="31"/>
    <m/>
    <m/>
    <n v="11"/>
  </r>
  <r>
    <x v="5"/>
    <x v="0"/>
    <m/>
    <x v="7"/>
    <n v="88"/>
    <m/>
    <m/>
    <n v="20"/>
    <n v="53"/>
    <m/>
    <m/>
    <n v="15"/>
  </r>
  <r>
    <x v="5"/>
    <x v="0"/>
    <m/>
    <x v="8"/>
    <n v="70"/>
    <m/>
    <m/>
    <n v="15"/>
    <n v="50"/>
    <m/>
    <m/>
    <n v="5"/>
  </r>
  <r>
    <x v="5"/>
    <x v="0"/>
    <m/>
    <x v="9"/>
    <n v="72"/>
    <m/>
    <m/>
    <n v="15"/>
    <n v="47"/>
    <m/>
    <m/>
    <n v="10"/>
  </r>
  <r>
    <x v="5"/>
    <x v="0"/>
    <m/>
    <x v="10"/>
    <n v="26"/>
    <m/>
    <m/>
    <n v="4"/>
    <n v="17"/>
    <m/>
    <m/>
    <n v="5"/>
  </r>
  <r>
    <x v="5"/>
    <x v="0"/>
    <m/>
    <x v="11"/>
    <n v="30"/>
    <m/>
    <m/>
    <n v="5"/>
    <n v="20"/>
    <m/>
    <m/>
    <n v="5"/>
  </r>
  <r>
    <x v="5"/>
    <x v="0"/>
    <m/>
    <x v="12"/>
    <n v="76"/>
    <m/>
    <m/>
    <n v="15"/>
    <n v="45"/>
    <m/>
    <m/>
    <n v="16"/>
  </r>
  <r>
    <x v="5"/>
    <x v="0"/>
    <m/>
    <x v="14"/>
    <n v="69"/>
    <m/>
    <m/>
    <n v="10"/>
    <n v="54"/>
    <m/>
    <m/>
    <n v="5"/>
  </r>
  <r>
    <x v="5"/>
    <x v="0"/>
    <m/>
    <x v="15"/>
    <n v="56"/>
    <m/>
    <m/>
    <n v="10"/>
    <n v="36"/>
    <m/>
    <m/>
    <n v="10"/>
  </r>
  <r>
    <x v="5"/>
    <x v="0"/>
    <m/>
    <x v="17"/>
    <n v="50"/>
    <m/>
    <m/>
    <n v="11"/>
    <n v="34"/>
    <m/>
    <m/>
    <n v="5"/>
  </r>
  <r>
    <x v="5"/>
    <x v="0"/>
    <m/>
    <x v="18"/>
    <n v="167"/>
    <m/>
    <m/>
    <n v="36"/>
    <n v="111"/>
    <m/>
    <m/>
    <n v="20"/>
  </r>
  <r>
    <x v="5"/>
    <x v="0"/>
    <m/>
    <x v="19"/>
    <n v="49"/>
    <m/>
    <m/>
    <n v="10"/>
    <n v="34"/>
    <m/>
    <m/>
    <n v="5"/>
  </r>
  <r>
    <x v="5"/>
    <x v="0"/>
    <m/>
    <x v="20"/>
    <n v="154"/>
    <m/>
    <m/>
    <n v="35"/>
    <n v="104"/>
    <m/>
    <m/>
    <n v="15"/>
  </r>
  <r>
    <x v="5"/>
    <x v="0"/>
    <m/>
    <x v="21"/>
    <n v="30"/>
    <m/>
    <m/>
    <n v="5"/>
    <n v="20"/>
    <m/>
    <m/>
    <n v="5"/>
  </r>
  <r>
    <x v="5"/>
    <x v="0"/>
    <m/>
    <x v="22"/>
    <n v="54"/>
    <m/>
    <m/>
    <n v="11"/>
    <n v="33"/>
    <m/>
    <m/>
    <n v="10"/>
  </r>
  <r>
    <x v="5"/>
    <x v="0"/>
    <m/>
    <x v="23"/>
    <n v="297"/>
    <m/>
    <m/>
    <n v="59"/>
    <n v="203"/>
    <m/>
    <m/>
    <n v="35"/>
  </r>
  <r>
    <x v="5"/>
    <x v="0"/>
    <m/>
    <x v="24"/>
    <n v="99"/>
    <m/>
    <m/>
    <n v="18"/>
    <n v="65"/>
    <m/>
    <m/>
    <n v="16"/>
  </r>
  <r>
    <x v="5"/>
    <x v="0"/>
    <m/>
    <x v="25"/>
    <n v="73"/>
    <m/>
    <m/>
    <n v="15"/>
    <n v="48"/>
    <m/>
    <m/>
    <n v="10"/>
  </r>
  <r>
    <x v="5"/>
    <x v="0"/>
    <m/>
    <x v="26"/>
    <n v="56"/>
    <m/>
    <m/>
    <n v="10"/>
    <n v="36"/>
    <m/>
    <m/>
    <n v="10"/>
  </r>
  <r>
    <x v="5"/>
    <x v="0"/>
    <m/>
    <x v="27"/>
    <n v="28"/>
    <m/>
    <m/>
    <n v="5"/>
    <n v="18"/>
    <m/>
    <m/>
    <n v="5"/>
  </r>
  <r>
    <x v="5"/>
    <x v="0"/>
    <m/>
    <x v="28"/>
    <n v="177"/>
    <m/>
    <m/>
    <n v="35"/>
    <n v="122"/>
    <m/>
    <m/>
    <n v="20"/>
  </r>
  <r>
    <x v="5"/>
    <x v="0"/>
    <m/>
    <x v="29"/>
    <n v="166"/>
    <m/>
    <m/>
    <n v="35"/>
    <n v="111"/>
    <m/>
    <m/>
    <n v="20"/>
  </r>
  <r>
    <x v="5"/>
    <x v="0"/>
    <m/>
    <x v="30"/>
    <n v="78"/>
    <m/>
    <m/>
    <n v="15"/>
    <n v="47"/>
    <m/>
    <m/>
    <n v="16"/>
  </r>
  <r>
    <x v="5"/>
    <x v="0"/>
    <m/>
    <x v="31"/>
    <n v="515"/>
    <m/>
    <m/>
    <n v="110"/>
    <n v="349"/>
    <m/>
    <m/>
    <n v="56"/>
  </r>
  <r>
    <x v="5"/>
    <x v="0"/>
    <m/>
    <x v="32"/>
    <n v="274"/>
    <m/>
    <m/>
    <n v="48"/>
    <n v="199"/>
    <m/>
    <m/>
    <n v="27"/>
  </r>
  <r>
    <x v="5"/>
    <x v="1"/>
    <m/>
    <x v="0"/>
    <n v="386"/>
    <n v="16"/>
    <m/>
    <n v="54"/>
    <n v="28"/>
    <n v="49"/>
    <n v="115"/>
    <n v="124"/>
  </r>
  <r>
    <x v="5"/>
    <x v="1"/>
    <m/>
    <x v="20"/>
    <n v="16"/>
    <n v="1"/>
    <m/>
    <n v="2"/>
    <n v="1"/>
    <n v="2"/>
    <n v="4"/>
    <n v="6"/>
  </r>
  <r>
    <x v="5"/>
    <x v="1"/>
    <m/>
    <x v="33"/>
    <n v="25"/>
    <n v="1"/>
    <m/>
    <n v="6"/>
    <m/>
    <n v="2"/>
    <n v="8"/>
    <n v="8"/>
  </r>
  <r>
    <x v="5"/>
    <x v="1"/>
    <m/>
    <x v="34"/>
    <n v="26"/>
    <n v="1"/>
    <m/>
    <n v="6"/>
    <n v="2"/>
    <n v="3"/>
    <n v="8"/>
    <n v="6"/>
  </r>
  <r>
    <x v="5"/>
    <x v="1"/>
    <m/>
    <x v="2"/>
    <n v="22"/>
    <n v="1"/>
    <m/>
    <n v="4"/>
    <n v="2"/>
    <n v="2"/>
    <n v="6"/>
    <n v="7"/>
  </r>
  <r>
    <x v="5"/>
    <x v="1"/>
    <m/>
    <x v="35"/>
    <n v="25"/>
    <n v="1"/>
    <m/>
    <n v="2"/>
    <n v="2"/>
    <n v="3"/>
    <n v="9"/>
    <n v="8"/>
  </r>
  <r>
    <x v="5"/>
    <x v="1"/>
    <m/>
    <x v="36"/>
    <n v="25"/>
    <n v="1"/>
    <m/>
    <n v="2"/>
    <n v="3"/>
    <n v="3"/>
    <n v="7"/>
    <n v="9"/>
  </r>
  <r>
    <x v="5"/>
    <x v="1"/>
    <m/>
    <x v="37"/>
    <n v="14"/>
    <n v="1"/>
    <m/>
    <m/>
    <n v="2"/>
    <n v="4"/>
    <n v="4"/>
    <n v="3"/>
  </r>
  <r>
    <x v="5"/>
    <x v="1"/>
    <m/>
    <x v="38"/>
    <n v="30"/>
    <n v="1"/>
    <m/>
    <n v="5"/>
    <n v="2"/>
    <n v="5"/>
    <n v="4"/>
    <n v="12"/>
  </r>
  <r>
    <x v="5"/>
    <x v="1"/>
    <m/>
    <x v="39"/>
    <n v="20"/>
    <n v="1"/>
    <m/>
    <n v="3"/>
    <n v="2"/>
    <n v="2"/>
    <n v="6"/>
    <n v="6"/>
  </r>
  <r>
    <x v="5"/>
    <x v="1"/>
    <m/>
    <x v="31"/>
    <n v="25"/>
    <n v="1"/>
    <m/>
    <n v="2"/>
    <n v="2"/>
    <n v="4"/>
    <n v="9"/>
    <n v="7"/>
  </r>
  <r>
    <x v="5"/>
    <x v="1"/>
    <m/>
    <x v="40"/>
    <n v="45"/>
    <n v="1"/>
    <m/>
    <n v="9"/>
    <n v="1"/>
    <n v="4"/>
    <n v="14"/>
    <n v="16"/>
  </r>
  <r>
    <x v="5"/>
    <x v="1"/>
    <m/>
    <x v="29"/>
    <n v="17"/>
    <n v="1"/>
    <m/>
    <n v="2"/>
    <n v="1"/>
    <n v="2"/>
    <n v="5"/>
    <n v="6"/>
  </r>
  <r>
    <x v="5"/>
    <x v="1"/>
    <m/>
    <x v="18"/>
    <n v="16"/>
    <n v="1"/>
    <m/>
    <n v="2"/>
    <n v="1"/>
    <n v="2"/>
    <n v="6"/>
    <n v="4"/>
  </r>
  <r>
    <x v="5"/>
    <x v="1"/>
    <m/>
    <x v="41"/>
    <n v="18"/>
    <n v="1"/>
    <m/>
    <n v="3"/>
    <n v="1"/>
    <n v="2"/>
    <n v="6"/>
    <n v="5"/>
  </r>
  <r>
    <x v="5"/>
    <x v="1"/>
    <m/>
    <x v="42"/>
    <n v="16"/>
    <n v="1"/>
    <m/>
    <n v="3"/>
    <m/>
    <n v="3"/>
    <n v="5"/>
    <n v="4"/>
  </r>
  <r>
    <x v="5"/>
    <x v="1"/>
    <m/>
    <x v="43"/>
    <n v="29"/>
    <n v="1"/>
    <m/>
    <n v="3"/>
    <n v="2"/>
    <n v="4"/>
    <n v="8"/>
    <n v="11"/>
  </r>
  <r>
    <x v="5"/>
    <x v="1"/>
    <m/>
    <x v="32"/>
    <n v="18"/>
    <m/>
    <m/>
    <m/>
    <n v="4"/>
    <n v="2"/>
    <n v="6"/>
    <n v="6"/>
  </r>
  <r>
    <x v="5"/>
    <x v="2"/>
    <m/>
    <x v="0"/>
    <n v="146"/>
    <n v="3"/>
    <m/>
    <n v="41"/>
    <m/>
    <n v="14"/>
    <n v="24"/>
    <n v="64"/>
  </r>
  <r>
    <x v="5"/>
    <x v="2"/>
    <m/>
    <x v="44"/>
    <n v="79"/>
    <n v="1"/>
    <m/>
    <n v="26"/>
    <m/>
    <n v="5"/>
    <n v="12"/>
    <n v="35"/>
  </r>
  <r>
    <x v="5"/>
    <x v="2"/>
    <m/>
    <x v="45"/>
    <n v="37"/>
    <n v="1"/>
    <m/>
    <n v="8"/>
    <m/>
    <n v="5"/>
    <n v="5"/>
    <n v="18"/>
  </r>
  <r>
    <x v="5"/>
    <x v="2"/>
    <m/>
    <x v="46"/>
    <n v="30"/>
    <n v="1"/>
    <m/>
    <n v="7"/>
    <m/>
    <n v="4"/>
    <n v="7"/>
    <n v="11"/>
  </r>
  <r>
    <x v="5"/>
    <x v="3"/>
    <m/>
    <x v="47"/>
    <n v="149"/>
    <n v="14"/>
    <n v="4"/>
    <m/>
    <n v="60"/>
    <n v="17"/>
    <n v="8"/>
    <n v="46"/>
  </r>
  <r>
    <x v="5"/>
    <x v="4"/>
    <m/>
    <x v="47"/>
    <n v="3636"/>
    <n v="33"/>
    <n v="4"/>
    <n v="687"/>
    <n v="2074"/>
    <n v="80"/>
    <n v="147"/>
    <n v="611"/>
  </r>
  <r>
    <x v="6"/>
    <x v="0"/>
    <m/>
    <x v="0"/>
    <n v="2965"/>
    <m/>
    <m/>
    <n v="597"/>
    <n v="1992"/>
    <m/>
    <m/>
    <n v="376"/>
  </r>
  <r>
    <x v="6"/>
    <x v="0"/>
    <m/>
    <x v="22"/>
    <n v="53"/>
    <m/>
    <m/>
    <n v="10"/>
    <n v="33"/>
    <m/>
    <m/>
    <n v="10"/>
  </r>
  <r>
    <x v="6"/>
    <x v="0"/>
    <m/>
    <x v="2"/>
    <n v="52"/>
    <m/>
    <m/>
    <n v="10"/>
    <n v="37"/>
    <m/>
    <m/>
    <n v="5"/>
  </r>
  <r>
    <x v="6"/>
    <x v="0"/>
    <m/>
    <x v="3"/>
    <n v="49"/>
    <m/>
    <m/>
    <n v="10"/>
    <n v="34"/>
    <m/>
    <m/>
    <n v="5"/>
  </r>
  <r>
    <x v="6"/>
    <x v="0"/>
    <m/>
    <x v="30"/>
    <n v="79"/>
    <m/>
    <m/>
    <n v="15"/>
    <n v="49"/>
    <m/>
    <m/>
    <n v="15"/>
  </r>
  <r>
    <x v="6"/>
    <x v="0"/>
    <m/>
    <x v="5"/>
    <n v="50"/>
    <m/>
    <m/>
    <n v="10"/>
    <n v="30"/>
    <m/>
    <m/>
    <n v="10"/>
  </r>
  <r>
    <x v="6"/>
    <x v="0"/>
    <m/>
    <x v="31"/>
    <n v="517"/>
    <m/>
    <m/>
    <n v="114"/>
    <n v="346"/>
    <m/>
    <m/>
    <n v="57"/>
  </r>
  <r>
    <x v="6"/>
    <x v="0"/>
    <m/>
    <x v="9"/>
    <n v="70"/>
    <m/>
    <m/>
    <n v="15"/>
    <n v="45"/>
    <m/>
    <m/>
    <n v="10"/>
  </r>
  <r>
    <x v="6"/>
    <x v="0"/>
    <m/>
    <x v="12"/>
    <n v="75"/>
    <m/>
    <m/>
    <n v="15"/>
    <n v="45"/>
    <m/>
    <m/>
    <n v="15"/>
  </r>
  <r>
    <x v="6"/>
    <x v="0"/>
    <m/>
    <x v="29"/>
    <n v="163"/>
    <m/>
    <m/>
    <n v="37"/>
    <n v="105"/>
    <m/>
    <m/>
    <n v="21"/>
  </r>
  <r>
    <x v="6"/>
    <x v="0"/>
    <m/>
    <x v="24"/>
    <n v="102"/>
    <m/>
    <m/>
    <n v="21"/>
    <n v="66"/>
    <m/>
    <m/>
    <n v="15"/>
  </r>
  <r>
    <x v="6"/>
    <x v="0"/>
    <m/>
    <x v="17"/>
    <n v="50"/>
    <m/>
    <m/>
    <n v="9"/>
    <n v="36"/>
    <m/>
    <m/>
    <n v="5"/>
  </r>
  <r>
    <x v="6"/>
    <x v="0"/>
    <m/>
    <x v="18"/>
    <n v="168"/>
    <m/>
    <m/>
    <n v="37"/>
    <n v="111"/>
    <m/>
    <m/>
    <n v="20"/>
  </r>
  <r>
    <x v="6"/>
    <x v="0"/>
    <m/>
    <x v="25"/>
    <n v="73"/>
    <m/>
    <m/>
    <n v="15"/>
    <n v="48"/>
    <m/>
    <m/>
    <n v="10"/>
  </r>
  <r>
    <x v="6"/>
    <x v="0"/>
    <m/>
    <x v="23"/>
    <n v="306"/>
    <m/>
    <m/>
    <n v="56"/>
    <n v="214"/>
    <m/>
    <m/>
    <n v="36"/>
  </r>
  <r>
    <x v="6"/>
    <x v="0"/>
    <m/>
    <x v="1"/>
    <n v="25"/>
    <m/>
    <m/>
    <n v="5"/>
    <n v="15"/>
    <m/>
    <m/>
    <n v="5"/>
  </r>
  <r>
    <x v="6"/>
    <x v="0"/>
    <m/>
    <x v="4"/>
    <n v="25"/>
    <m/>
    <m/>
    <n v="5"/>
    <n v="15"/>
    <m/>
    <m/>
    <n v="5"/>
  </r>
  <r>
    <x v="6"/>
    <x v="0"/>
    <m/>
    <x v="7"/>
    <n v="88"/>
    <m/>
    <m/>
    <n v="19"/>
    <n v="54"/>
    <m/>
    <m/>
    <n v="15"/>
  </r>
  <r>
    <x v="6"/>
    <x v="0"/>
    <m/>
    <x v="32"/>
    <n v="269"/>
    <m/>
    <m/>
    <n v="51"/>
    <n v="192"/>
    <m/>
    <m/>
    <n v="26"/>
  </r>
  <r>
    <x v="6"/>
    <x v="0"/>
    <m/>
    <x v="10"/>
    <n v="26"/>
    <m/>
    <m/>
    <n v="4"/>
    <n v="17"/>
    <m/>
    <m/>
    <n v="5"/>
  </r>
  <r>
    <x v="6"/>
    <x v="0"/>
    <m/>
    <x v="15"/>
    <n v="53"/>
    <m/>
    <m/>
    <n v="10"/>
    <n v="33"/>
    <m/>
    <m/>
    <n v="10"/>
  </r>
  <r>
    <x v="6"/>
    <x v="0"/>
    <m/>
    <x v="19"/>
    <n v="51"/>
    <m/>
    <m/>
    <n v="10"/>
    <n v="36"/>
    <m/>
    <m/>
    <n v="5"/>
  </r>
  <r>
    <x v="6"/>
    <x v="0"/>
    <m/>
    <x v="26"/>
    <n v="57"/>
    <m/>
    <m/>
    <n v="10"/>
    <n v="37"/>
    <m/>
    <m/>
    <n v="10"/>
  </r>
  <r>
    <x v="6"/>
    <x v="0"/>
    <m/>
    <x v="20"/>
    <n v="155"/>
    <m/>
    <m/>
    <n v="35"/>
    <n v="105"/>
    <m/>
    <m/>
    <n v="15"/>
  </r>
  <r>
    <x v="6"/>
    <x v="0"/>
    <m/>
    <x v="21"/>
    <n v="32"/>
    <m/>
    <m/>
    <n v="4"/>
    <n v="22"/>
    <m/>
    <m/>
    <n v="6"/>
  </r>
  <r>
    <x v="6"/>
    <x v="0"/>
    <m/>
    <x v="27"/>
    <n v="27"/>
    <m/>
    <m/>
    <n v="5"/>
    <n v="17"/>
    <m/>
    <m/>
    <n v="5"/>
  </r>
  <r>
    <x v="6"/>
    <x v="0"/>
    <m/>
    <x v="28"/>
    <n v="182"/>
    <m/>
    <m/>
    <n v="36"/>
    <n v="126"/>
    <m/>
    <m/>
    <n v="20"/>
  </r>
  <r>
    <x v="6"/>
    <x v="0"/>
    <m/>
    <x v="8"/>
    <n v="71"/>
    <m/>
    <m/>
    <n v="14"/>
    <n v="52"/>
    <m/>
    <m/>
    <n v="5"/>
  </r>
  <r>
    <x v="6"/>
    <x v="0"/>
    <m/>
    <x v="11"/>
    <n v="30"/>
    <m/>
    <m/>
    <n v="5"/>
    <n v="20"/>
    <m/>
    <m/>
    <n v="5"/>
  </r>
  <r>
    <x v="6"/>
    <x v="0"/>
    <m/>
    <x v="14"/>
    <n v="67"/>
    <m/>
    <m/>
    <n v="10"/>
    <n v="52"/>
    <m/>
    <m/>
    <n v="5"/>
  </r>
  <r>
    <x v="6"/>
    <x v="1"/>
    <m/>
    <x v="0"/>
    <n v="382"/>
    <n v="16"/>
    <m/>
    <n v="58"/>
    <n v="27"/>
    <n v="50"/>
    <n v="118"/>
    <n v="113"/>
  </r>
  <r>
    <x v="6"/>
    <x v="1"/>
    <m/>
    <x v="48"/>
    <n v="38"/>
    <n v="1"/>
    <m/>
    <n v="6"/>
    <n v="4"/>
    <n v="4"/>
    <n v="12"/>
    <n v="11"/>
  </r>
  <r>
    <x v="6"/>
    <x v="1"/>
    <m/>
    <x v="34"/>
    <n v="28"/>
    <n v="1"/>
    <m/>
    <n v="7"/>
    <n v="2"/>
    <n v="3"/>
    <n v="8"/>
    <n v="7"/>
  </r>
  <r>
    <x v="6"/>
    <x v="1"/>
    <m/>
    <x v="2"/>
    <n v="22"/>
    <n v="1"/>
    <m/>
    <n v="3"/>
    <n v="2"/>
    <n v="2"/>
    <n v="6"/>
    <n v="8"/>
  </r>
  <r>
    <x v="6"/>
    <x v="1"/>
    <m/>
    <x v="35"/>
    <n v="28"/>
    <n v="1"/>
    <m/>
    <n v="5"/>
    <n v="1"/>
    <n v="3"/>
    <n v="10"/>
    <n v="8"/>
  </r>
  <r>
    <x v="6"/>
    <x v="1"/>
    <m/>
    <x v="37"/>
    <n v="13"/>
    <n v="1"/>
    <m/>
    <m/>
    <n v="1"/>
    <n v="4"/>
    <n v="4"/>
    <n v="3"/>
  </r>
  <r>
    <x v="6"/>
    <x v="1"/>
    <m/>
    <x v="31"/>
    <n v="25"/>
    <n v="1"/>
    <m/>
    <n v="2"/>
    <n v="2"/>
    <n v="5"/>
    <n v="10"/>
    <n v="5"/>
  </r>
  <r>
    <x v="6"/>
    <x v="1"/>
    <m/>
    <x v="29"/>
    <n v="16"/>
    <n v="1"/>
    <m/>
    <n v="2"/>
    <n v="1"/>
    <n v="2"/>
    <n v="5"/>
    <n v="5"/>
  </r>
  <r>
    <x v="6"/>
    <x v="1"/>
    <m/>
    <x v="18"/>
    <n v="16"/>
    <n v="1"/>
    <m/>
    <n v="3"/>
    <m/>
    <n v="2"/>
    <n v="6"/>
    <n v="4"/>
  </r>
  <r>
    <x v="6"/>
    <x v="1"/>
    <m/>
    <x v="36"/>
    <n v="29"/>
    <n v="1"/>
    <m/>
    <n v="5"/>
    <n v="4"/>
    <n v="3"/>
    <n v="7"/>
    <n v="9"/>
  </r>
  <r>
    <x v="6"/>
    <x v="1"/>
    <m/>
    <x v="38"/>
    <n v="28"/>
    <n v="1"/>
    <m/>
    <n v="4"/>
    <n v="4"/>
    <n v="4"/>
    <n v="5"/>
    <n v="10"/>
  </r>
  <r>
    <x v="6"/>
    <x v="1"/>
    <m/>
    <x v="39"/>
    <n v="19"/>
    <n v="1"/>
    <m/>
    <n v="2"/>
    <n v="2"/>
    <n v="2"/>
    <n v="6"/>
    <n v="6"/>
  </r>
  <r>
    <x v="6"/>
    <x v="1"/>
    <m/>
    <x v="20"/>
    <n v="13"/>
    <n v="1"/>
    <m/>
    <n v="2"/>
    <n v="1"/>
    <n v="2"/>
    <n v="3"/>
    <n v="4"/>
  </r>
  <r>
    <x v="6"/>
    <x v="1"/>
    <m/>
    <x v="33"/>
    <n v="25"/>
    <n v="1"/>
    <m/>
    <n v="4"/>
    <n v="1"/>
    <n v="3"/>
    <n v="9"/>
    <n v="7"/>
  </r>
  <r>
    <x v="6"/>
    <x v="1"/>
    <m/>
    <x v="43"/>
    <n v="31"/>
    <n v="1"/>
    <m/>
    <n v="4"/>
    <n v="2"/>
    <n v="4"/>
    <n v="9"/>
    <n v="11"/>
  </r>
  <r>
    <x v="6"/>
    <x v="1"/>
    <m/>
    <x v="40"/>
    <n v="38"/>
    <n v="1"/>
    <m/>
    <n v="8"/>
    <n v="1"/>
    <n v="4"/>
    <n v="13"/>
    <n v="11"/>
  </r>
  <r>
    <x v="6"/>
    <x v="1"/>
    <m/>
    <x v="42"/>
    <n v="14"/>
    <n v="1"/>
    <m/>
    <n v="1"/>
    <m/>
    <n v="3"/>
    <n v="5"/>
    <n v="4"/>
  </r>
  <r>
    <x v="6"/>
    <x v="2"/>
    <m/>
    <x v="0"/>
    <n v="197"/>
    <n v="6"/>
    <m/>
    <n v="33"/>
    <m/>
    <n v="17"/>
    <n v="29"/>
    <n v="112"/>
  </r>
  <r>
    <x v="6"/>
    <x v="2"/>
    <m/>
    <x v="44"/>
    <n v="103"/>
    <n v="3"/>
    <m/>
    <n v="21"/>
    <m/>
    <n v="10"/>
    <n v="14"/>
    <n v="55"/>
  </r>
  <r>
    <x v="6"/>
    <x v="2"/>
    <m/>
    <x v="45"/>
    <n v="52"/>
    <n v="1"/>
    <m/>
    <n v="6"/>
    <m/>
    <n v="4"/>
    <n v="8"/>
    <n v="33"/>
  </r>
  <r>
    <x v="6"/>
    <x v="2"/>
    <m/>
    <x v="46"/>
    <n v="42"/>
    <n v="2"/>
    <m/>
    <n v="6"/>
    <m/>
    <n v="3"/>
    <n v="7"/>
    <n v="24"/>
  </r>
  <r>
    <x v="6"/>
    <x v="3"/>
    <m/>
    <x v="47"/>
    <n v="90"/>
    <n v="9"/>
    <n v="6"/>
    <m/>
    <n v="49"/>
    <n v="13"/>
    <n v="6"/>
    <n v="7"/>
  </r>
  <r>
    <x v="6"/>
    <x v="4"/>
    <m/>
    <x v="47"/>
    <n v="3634"/>
    <n v="31"/>
    <n v="6"/>
    <n v="688"/>
    <n v="2068"/>
    <n v="80"/>
    <n v="153"/>
    <n v="608"/>
  </r>
</pivotCacheRecords>
</file>

<file path=xl/pivotCache/pivotCacheRecords24.xml><?xml version="1.0" encoding="utf-8"?>
<pivotCacheRecords xmlns="http://schemas.openxmlformats.org/spreadsheetml/2006/main" xmlns:r="http://schemas.openxmlformats.org/officeDocument/2006/relationships" count="28">
  <r>
    <x v="0"/>
    <x v="0"/>
    <s v="S40000003"/>
    <x v="0"/>
    <n v="416"/>
    <m/>
    <n v="4"/>
    <n v="4"/>
    <n v="8"/>
    <n v="107"/>
    <n v="149"/>
    <n v="144"/>
  </r>
  <r>
    <x v="0"/>
    <x v="0"/>
    <s v="S40000004"/>
    <x v="1"/>
    <n v="175"/>
    <m/>
    <n v="6"/>
    <n v="2"/>
    <n v="7"/>
    <n v="46"/>
    <n v="66"/>
    <n v="48"/>
  </r>
  <r>
    <x v="0"/>
    <x v="0"/>
    <s v="S40000005"/>
    <x v="2"/>
    <n v="133"/>
    <m/>
    <n v="4"/>
    <n v="5"/>
    <n v="6"/>
    <n v="59"/>
    <n v="19"/>
    <n v="40"/>
  </r>
  <r>
    <x v="0"/>
    <x v="1"/>
    <s v="S92000003"/>
    <x v="3"/>
    <n v="237"/>
    <m/>
    <n v="56"/>
    <n v="9"/>
    <n v="24"/>
    <n v="102"/>
    <n v="0"/>
    <n v="46"/>
  </r>
  <r>
    <x v="1"/>
    <x v="0"/>
    <s v="S40000003"/>
    <x v="0"/>
    <n v="340"/>
    <m/>
    <n v="3"/>
    <n v="9"/>
    <n v="14"/>
    <n v="113"/>
    <n v="109"/>
    <n v="92"/>
  </r>
  <r>
    <x v="1"/>
    <x v="0"/>
    <s v="S40000004"/>
    <x v="1"/>
    <n v="163"/>
    <m/>
    <n v="3"/>
    <n v="7"/>
    <n v="12"/>
    <n v="48"/>
    <n v="65"/>
    <n v="28"/>
  </r>
  <r>
    <x v="1"/>
    <x v="0"/>
    <s v="S40000005"/>
    <x v="2"/>
    <n v="126"/>
    <m/>
    <n v="3"/>
    <n v="7"/>
    <n v="6"/>
    <n v="64"/>
    <n v="19"/>
    <n v="27"/>
  </r>
  <r>
    <x v="1"/>
    <x v="1"/>
    <s v="S92000003"/>
    <x v="3"/>
    <n v="238"/>
    <n v="2"/>
    <n v="35"/>
    <n v="13"/>
    <n v="27"/>
    <n v="112"/>
    <n v="0"/>
    <n v="49"/>
  </r>
  <r>
    <x v="2"/>
    <x v="0"/>
    <s v="S40000003"/>
    <x v="0"/>
    <n v="286"/>
    <m/>
    <n v="2"/>
    <n v="10"/>
    <n v="15"/>
    <n v="110"/>
    <n v="84"/>
    <n v="65"/>
  </r>
  <r>
    <x v="2"/>
    <x v="0"/>
    <s v="S40000004"/>
    <x v="1"/>
    <n v="124"/>
    <m/>
    <n v="3"/>
    <n v="5"/>
    <n v="13"/>
    <n v="35"/>
    <n v="56"/>
    <n v="12"/>
  </r>
  <r>
    <x v="2"/>
    <x v="0"/>
    <s v="S40000005"/>
    <x v="2"/>
    <n v="121"/>
    <m/>
    <n v="3"/>
    <n v="7"/>
    <n v="11"/>
    <n v="61"/>
    <n v="20"/>
    <n v="19"/>
  </r>
  <r>
    <x v="2"/>
    <x v="1"/>
    <s v="S92000003"/>
    <x v="3"/>
    <n v="297"/>
    <n v="3"/>
    <n v="32"/>
    <n v="12"/>
    <n v="35"/>
    <n v="110"/>
    <n v="7"/>
    <n v="98"/>
  </r>
  <r>
    <x v="3"/>
    <x v="0"/>
    <s v="S40000003"/>
    <x v="0"/>
    <n v="294"/>
    <m/>
    <n v="2"/>
    <n v="10"/>
    <n v="15"/>
    <n v="120"/>
    <n v="89"/>
    <n v="58"/>
  </r>
  <r>
    <x v="3"/>
    <x v="0"/>
    <s v="S40000004"/>
    <x v="1"/>
    <n v="142"/>
    <m/>
    <n v="3"/>
    <n v="5"/>
    <n v="13"/>
    <n v="48"/>
    <n v="54"/>
    <n v="19"/>
  </r>
  <r>
    <x v="3"/>
    <x v="0"/>
    <s v="S40000005"/>
    <x v="2"/>
    <n v="135"/>
    <m/>
    <n v="3"/>
    <n v="7"/>
    <n v="12"/>
    <n v="75"/>
    <n v="14"/>
    <n v="24"/>
  </r>
  <r>
    <x v="3"/>
    <x v="1"/>
    <s v="S92000003"/>
    <x v="3"/>
    <n v="267"/>
    <n v="3"/>
    <n v="34"/>
    <n v="12"/>
    <n v="38"/>
    <n v="103"/>
    <n v="8"/>
    <n v="69"/>
  </r>
  <r>
    <x v="4"/>
    <x v="0"/>
    <s v="S40000003"/>
    <x v="0"/>
    <n v="300"/>
    <m/>
    <n v="2"/>
    <n v="10"/>
    <n v="16"/>
    <n v="133"/>
    <n v="82"/>
    <n v="57"/>
  </r>
  <r>
    <x v="4"/>
    <x v="0"/>
    <s v="S40000004"/>
    <x v="1"/>
    <n v="128"/>
    <m/>
    <n v="3"/>
    <n v="3"/>
    <n v="11"/>
    <n v="45"/>
    <n v="49"/>
    <n v="17"/>
  </r>
  <r>
    <x v="4"/>
    <x v="0"/>
    <s v="S40000005"/>
    <x v="2"/>
    <n v="141"/>
    <m/>
    <n v="3"/>
    <n v="8"/>
    <n v="11"/>
    <n v="81"/>
    <n v="15"/>
    <n v="23"/>
  </r>
  <r>
    <x v="4"/>
    <x v="1"/>
    <s v="S92000003"/>
    <x v="3"/>
    <n v="277"/>
    <n v="2"/>
    <n v="42"/>
    <n v="11"/>
    <n v="41"/>
    <n v="107"/>
    <n v="7"/>
    <n v="67"/>
  </r>
  <r>
    <x v="5"/>
    <x v="0"/>
    <s v="S40000003"/>
    <x v="0"/>
    <n v="246"/>
    <m/>
    <n v="2"/>
    <n v="9"/>
    <n v="15"/>
    <n v="134"/>
    <n v="28"/>
    <n v="58"/>
  </r>
  <r>
    <x v="5"/>
    <x v="0"/>
    <s v="S40000004"/>
    <x v="1"/>
    <n v="102"/>
    <m/>
    <n v="2"/>
    <n v="4"/>
    <n v="11"/>
    <n v="49"/>
    <n v="18"/>
    <n v="18"/>
  </r>
  <r>
    <x v="5"/>
    <x v="0"/>
    <s v="S40000005"/>
    <x v="2"/>
    <n v="141"/>
    <m/>
    <n v="3"/>
    <n v="9"/>
    <n v="11"/>
    <n v="77"/>
    <n v="17"/>
    <n v="24"/>
  </r>
  <r>
    <x v="5"/>
    <x v="1"/>
    <s v="S92000003"/>
    <x v="3"/>
    <n v="303"/>
    <n v="3"/>
    <n v="42"/>
    <n v="12"/>
    <n v="47"/>
    <n v="128"/>
    <n v="1"/>
    <n v="70"/>
  </r>
  <r>
    <x v="6"/>
    <x v="0"/>
    <s v="S40000003"/>
    <x v="0"/>
    <n v="242"/>
    <m/>
    <n v="2"/>
    <n v="9"/>
    <n v="8"/>
    <n v="137"/>
    <n v="28"/>
    <n v="58"/>
  </r>
  <r>
    <x v="6"/>
    <x v="0"/>
    <s v="S40000004"/>
    <x v="1"/>
    <n v="95"/>
    <m/>
    <n v="2"/>
    <n v="5"/>
    <n v="6"/>
    <n v="45"/>
    <n v="18"/>
    <n v="19"/>
  </r>
  <r>
    <x v="6"/>
    <x v="0"/>
    <s v="S40000005"/>
    <x v="2"/>
    <n v="132"/>
    <m/>
    <n v="2"/>
    <n v="9"/>
    <n v="5"/>
    <n v="74"/>
    <n v="16"/>
    <n v="26"/>
  </r>
  <r>
    <x v="6"/>
    <x v="1"/>
    <s v="S92000003"/>
    <x v="3"/>
    <n v="349"/>
    <n v="3"/>
    <n v="41"/>
    <n v="9"/>
    <n v="71"/>
    <n v="144"/>
    <n v="1"/>
    <n v="80"/>
  </r>
</pivotCacheRecords>
</file>

<file path=xl/pivotCache/pivotCacheRecords25.xml><?xml version="1.0" encoding="utf-8"?>
<pivotCacheRecords xmlns="http://schemas.openxmlformats.org/spreadsheetml/2006/main" xmlns:r="http://schemas.openxmlformats.org/officeDocument/2006/relationships" count="7">
  <r>
    <x v="0"/>
    <x v="0"/>
    <x v="0"/>
    <s v="S92000003"/>
    <n v="223"/>
    <n v="0"/>
    <n v="5"/>
    <n v="11"/>
    <n v="52"/>
    <n v="52"/>
    <n v="103"/>
  </r>
  <r>
    <x v="1"/>
    <x v="0"/>
    <x v="0"/>
    <s v="S92000003"/>
    <n v="230"/>
    <n v="0"/>
    <n v="5"/>
    <n v="13"/>
    <n v="50"/>
    <n v="52"/>
    <n v="110"/>
  </r>
  <r>
    <x v="2"/>
    <x v="0"/>
    <x v="0"/>
    <s v="S92000003"/>
    <n v="203"/>
    <n v="0"/>
    <n v="6"/>
    <n v="7"/>
    <n v="51"/>
    <n v="44"/>
    <n v="95"/>
  </r>
  <r>
    <x v="3"/>
    <x v="0"/>
    <x v="0"/>
    <s v="S92000003"/>
    <n v="165"/>
    <n v="0"/>
    <n v="5"/>
    <n v="8"/>
    <n v="41"/>
    <n v="31"/>
    <n v="80"/>
  </r>
  <r>
    <x v="4"/>
    <x v="0"/>
    <x v="0"/>
    <s v="S92000003"/>
    <n v="189"/>
    <n v="0"/>
    <n v="5"/>
    <n v="8"/>
    <n v="43"/>
    <n v="27"/>
    <n v="106"/>
  </r>
  <r>
    <x v="5"/>
    <x v="0"/>
    <x v="0"/>
    <s v="S92000003"/>
    <n v="207"/>
    <n v="1"/>
    <n v="4"/>
    <n v="9"/>
    <n v="42"/>
    <n v="27"/>
    <n v="124"/>
  </r>
  <r>
    <x v="6"/>
    <x v="0"/>
    <x v="0"/>
    <s v="S92000003"/>
    <n v="188"/>
    <n v="1"/>
    <n v="4"/>
    <n v="8"/>
    <n v="45"/>
    <n v="26"/>
    <n v="104"/>
  </r>
</pivotCacheRecords>
</file>

<file path=xl/pivotCache/pivotCacheRecords26.xml><?xml version="1.0" encoding="utf-8"?>
<pivotCacheRecords xmlns="http://schemas.openxmlformats.org/spreadsheetml/2006/main" xmlns:r="http://schemas.openxmlformats.org/officeDocument/2006/relationships" count="215">
  <r>
    <x v="0"/>
    <x v="0"/>
    <s v="S12000005"/>
    <x v="0"/>
    <n v="21"/>
    <n v="2"/>
    <n v="4"/>
    <n v="15"/>
  </r>
  <r>
    <x v="0"/>
    <x v="0"/>
    <s v="S12000006"/>
    <x v="1"/>
    <n v="198"/>
    <n v="17"/>
    <n v="34"/>
    <n v="147"/>
  </r>
  <r>
    <x v="0"/>
    <x v="0"/>
    <s v="S12000008"/>
    <x v="2"/>
    <n v="77"/>
    <n v="9"/>
    <n v="10"/>
    <n v="58"/>
  </r>
  <r>
    <x v="0"/>
    <x v="0"/>
    <s v="S12000010"/>
    <x v="3"/>
    <n v="52"/>
    <n v="5"/>
    <n v="9"/>
    <n v="38"/>
  </r>
  <r>
    <x v="0"/>
    <x v="0"/>
    <s v="S12000011"/>
    <x v="4"/>
    <n v="0"/>
    <n v="0"/>
    <n v="0"/>
    <n v="0"/>
  </r>
  <r>
    <x v="0"/>
    <x v="0"/>
    <s v="S12000013"/>
    <x v="5"/>
    <n v="132"/>
    <n v="13"/>
    <n v="25"/>
    <n v="94"/>
  </r>
  <r>
    <x v="0"/>
    <x v="0"/>
    <s v="S12000014"/>
    <x v="6"/>
    <n v="65"/>
    <n v="5"/>
    <n v="10"/>
    <n v="50"/>
  </r>
  <r>
    <x v="0"/>
    <x v="0"/>
    <s v="S12000017"/>
    <x v="7"/>
    <n v="564"/>
    <n v="55"/>
    <n v="115"/>
    <n v="394"/>
  </r>
  <r>
    <x v="0"/>
    <x v="0"/>
    <s v="S12000018"/>
    <x v="8"/>
    <n v="42"/>
    <n v="3"/>
    <n v="4"/>
    <n v="35"/>
  </r>
  <r>
    <x v="0"/>
    <x v="0"/>
    <s v="S12000019"/>
    <x v="9"/>
    <n v="10"/>
    <n v="1"/>
    <n v="2"/>
    <n v="7"/>
  </r>
  <r>
    <x v="0"/>
    <x v="0"/>
    <s v="S12000020"/>
    <x v="10"/>
    <n v="104"/>
    <n v="9"/>
    <n v="22"/>
    <n v="73"/>
  </r>
  <r>
    <x v="0"/>
    <x v="0"/>
    <s v="S12000021"/>
    <x v="11"/>
    <n v="94"/>
    <n v="9"/>
    <n v="15"/>
    <n v="70"/>
  </r>
  <r>
    <x v="0"/>
    <x v="0"/>
    <s v="S12000023"/>
    <x v="12"/>
    <n v="113"/>
    <n v="12"/>
    <n v="22"/>
    <n v="79"/>
  </r>
  <r>
    <x v="0"/>
    <x v="0"/>
    <s v="S12000024"/>
    <x v="13"/>
    <n v="140"/>
    <n v="10"/>
    <n v="25"/>
    <n v="105"/>
  </r>
  <r>
    <x v="0"/>
    <x v="0"/>
    <s v="S12000026"/>
    <x v="14"/>
    <n v="134"/>
    <n v="13"/>
    <n v="25"/>
    <n v="96"/>
  </r>
  <r>
    <x v="0"/>
    <x v="0"/>
    <s v="S12000027"/>
    <x v="15"/>
    <n v="134"/>
    <n v="13"/>
    <n v="29"/>
    <n v="92"/>
  </r>
  <r>
    <x v="0"/>
    <x v="0"/>
    <s v="S12000028"/>
    <x v="16"/>
    <n v="54"/>
    <n v="5"/>
    <n v="9"/>
    <n v="40"/>
  </r>
  <r>
    <x v="0"/>
    <x v="0"/>
    <s v="S12000029"/>
    <x v="17"/>
    <n v="84"/>
    <n v="9"/>
    <n v="8"/>
    <n v="67"/>
  </r>
  <r>
    <x v="0"/>
    <x v="0"/>
    <s v="S12000030"/>
    <x v="18"/>
    <n v="74"/>
    <n v="9"/>
    <n v="15"/>
    <n v="50"/>
  </r>
  <r>
    <x v="0"/>
    <x v="0"/>
    <s v="S12000033"/>
    <x v="19"/>
    <n v="8"/>
    <n v="1"/>
    <n v="2"/>
    <n v="5"/>
  </r>
  <r>
    <x v="0"/>
    <x v="0"/>
    <s v="S12000034"/>
    <x v="20"/>
    <n v="297"/>
    <n v="29"/>
    <n v="65"/>
    <n v="203"/>
  </r>
  <r>
    <x v="0"/>
    <x v="0"/>
    <s v="S12000035"/>
    <x v="21"/>
    <n v="187"/>
    <n v="17"/>
    <n v="24"/>
    <n v="146"/>
  </r>
  <r>
    <x v="0"/>
    <x v="0"/>
    <s v="S12000036"/>
    <x v="22"/>
    <n v="12"/>
    <n v="1"/>
    <n v="2"/>
    <n v="9"/>
  </r>
  <r>
    <x v="0"/>
    <x v="0"/>
    <s v="S12000038"/>
    <x v="23"/>
    <n v="14"/>
    <n v="1"/>
    <n v="2"/>
    <n v="11"/>
  </r>
  <r>
    <x v="0"/>
    <x v="0"/>
    <s v="S12000039"/>
    <x v="24"/>
    <n v="18"/>
    <n v="2"/>
    <n v="1"/>
    <n v="15"/>
  </r>
  <r>
    <x v="0"/>
    <x v="0"/>
    <s v="S12000040"/>
    <x v="25"/>
    <n v="58"/>
    <n v="6"/>
    <n v="11"/>
    <n v="41"/>
  </r>
  <r>
    <x v="0"/>
    <x v="0"/>
    <s v="S12000041"/>
    <x v="26"/>
    <n v="99"/>
    <n v="7"/>
    <n v="19"/>
    <n v="73"/>
  </r>
  <r>
    <x v="0"/>
    <x v="0"/>
    <s v="S12000042"/>
    <x v="27"/>
    <n v="14"/>
    <n v="1"/>
    <n v="3"/>
    <n v="10"/>
  </r>
  <r>
    <x v="0"/>
    <x v="0"/>
    <s v="S12000044"/>
    <x v="28"/>
    <n v="28"/>
    <n v="3"/>
    <n v="3"/>
    <n v="22"/>
  </r>
  <r>
    <x v="0"/>
    <x v="0"/>
    <s v="S12000045"/>
    <x v="29"/>
    <n v="0"/>
    <n v="0"/>
    <n v="0"/>
    <n v="0"/>
  </r>
  <r>
    <x v="0"/>
    <x v="0"/>
    <s v="S12000046"/>
    <x v="30"/>
    <n v="2"/>
    <n v="0"/>
    <n v="1"/>
    <n v="1"/>
  </r>
  <r>
    <x v="0"/>
    <x v="0"/>
    <s v="S12000047"/>
    <x v="31"/>
    <n v="111"/>
    <n v="11"/>
    <n v="19"/>
    <n v="81"/>
  </r>
  <r>
    <x v="1"/>
    <x v="0"/>
    <s v="S12000005"/>
    <x v="0"/>
    <n v="23"/>
    <n v="2"/>
    <n v="5"/>
    <n v="16"/>
  </r>
  <r>
    <x v="1"/>
    <x v="0"/>
    <s v="S12000006"/>
    <x v="1"/>
    <n v="206"/>
    <n v="17"/>
    <n v="36"/>
    <n v="153"/>
  </r>
  <r>
    <x v="1"/>
    <x v="0"/>
    <s v="S12000008"/>
    <x v="2"/>
    <n v="80"/>
    <n v="8"/>
    <n v="9"/>
    <n v="63"/>
  </r>
  <r>
    <x v="1"/>
    <x v="0"/>
    <s v="S12000010"/>
    <x v="3"/>
    <n v="60"/>
    <n v="5"/>
    <n v="12"/>
    <n v="43"/>
  </r>
  <r>
    <x v="1"/>
    <x v="0"/>
    <s v="S12000011"/>
    <x v="4"/>
    <n v="0"/>
    <n v="0"/>
    <n v="0"/>
    <n v="0"/>
  </r>
  <r>
    <x v="1"/>
    <x v="0"/>
    <s v="S12000013"/>
    <x v="5"/>
    <n v="147"/>
    <n v="16"/>
    <n v="27"/>
    <n v="104"/>
  </r>
  <r>
    <x v="1"/>
    <x v="0"/>
    <s v="S12000014"/>
    <x v="6"/>
    <n v="68"/>
    <n v="6"/>
    <n v="9"/>
    <n v="53"/>
  </r>
  <r>
    <x v="1"/>
    <x v="0"/>
    <s v="S12000017"/>
    <x v="7"/>
    <n v="548"/>
    <n v="54"/>
    <n v="106"/>
    <n v="388"/>
  </r>
  <r>
    <x v="1"/>
    <x v="0"/>
    <s v="S12000018"/>
    <x v="8"/>
    <n v="40"/>
    <n v="3"/>
    <n v="4"/>
    <n v="33"/>
  </r>
  <r>
    <x v="1"/>
    <x v="0"/>
    <s v="S12000019"/>
    <x v="9"/>
    <n v="14"/>
    <n v="1"/>
    <n v="2"/>
    <n v="11"/>
  </r>
  <r>
    <x v="1"/>
    <x v="0"/>
    <s v="S12000020"/>
    <x v="10"/>
    <n v="121"/>
    <n v="11"/>
    <n v="26"/>
    <n v="84"/>
  </r>
  <r>
    <x v="1"/>
    <x v="0"/>
    <s v="S12000021"/>
    <x v="11"/>
    <n v="90"/>
    <n v="9"/>
    <n v="17"/>
    <n v="64"/>
  </r>
  <r>
    <x v="1"/>
    <x v="0"/>
    <s v="S12000023"/>
    <x v="12"/>
    <n v="109"/>
    <n v="12"/>
    <n v="26"/>
    <n v="71"/>
  </r>
  <r>
    <x v="1"/>
    <x v="0"/>
    <s v="S12000024"/>
    <x v="13"/>
    <n v="128"/>
    <n v="13"/>
    <n v="26"/>
    <n v="89"/>
  </r>
  <r>
    <x v="1"/>
    <x v="0"/>
    <s v="S12000026"/>
    <x v="14"/>
    <n v="151"/>
    <n v="14"/>
    <n v="26"/>
    <n v="111"/>
  </r>
  <r>
    <x v="1"/>
    <x v="0"/>
    <s v="S12000027"/>
    <x v="15"/>
    <n v="127"/>
    <n v="12"/>
    <n v="29"/>
    <n v="86"/>
  </r>
  <r>
    <x v="1"/>
    <x v="0"/>
    <s v="S12000028"/>
    <x v="16"/>
    <n v="54"/>
    <n v="5"/>
    <n v="9"/>
    <n v="40"/>
  </r>
  <r>
    <x v="1"/>
    <x v="0"/>
    <s v="S12000029"/>
    <x v="17"/>
    <n v="82"/>
    <n v="9"/>
    <n v="8"/>
    <n v="65"/>
  </r>
  <r>
    <x v="1"/>
    <x v="0"/>
    <s v="S12000030"/>
    <x v="18"/>
    <n v="75"/>
    <n v="9"/>
    <n v="14"/>
    <n v="52"/>
  </r>
  <r>
    <x v="1"/>
    <x v="0"/>
    <s v="S12000033"/>
    <x v="19"/>
    <n v="8"/>
    <n v="1"/>
    <n v="2"/>
    <n v="5"/>
  </r>
  <r>
    <x v="1"/>
    <x v="0"/>
    <s v="S12000034"/>
    <x v="20"/>
    <n v="280"/>
    <n v="27"/>
    <n v="63"/>
    <n v="190"/>
  </r>
  <r>
    <x v="1"/>
    <x v="0"/>
    <s v="S12000035"/>
    <x v="21"/>
    <n v="175"/>
    <n v="15"/>
    <n v="24"/>
    <n v="136"/>
  </r>
  <r>
    <x v="1"/>
    <x v="0"/>
    <s v="S12000036"/>
    <x v="22"/>
    <n v="13"/>
    <n v="1"/>
    <n v="2"/>
    <n v="10"/>
  </r>
  <r>
    <x v="1"/>
    <x v="0"/>
    <s v="S12000038"/>
    <x v="23"/>
    <n v="14"/>
    <n v="1"/>
    <n v="2"/>
    <n v="11"/>
  </r>
  <r>
    <x v="1"/>
    <x v="0"/>
    <s v="S12000039"/>
    <x v="24"/>
    <n v="21"/>
    <n v="2"/>
    <n v="1"/>
    <n v="18"/>
  </r>
  <r>
    <x v="1"/>
    <x v="0"/>
    <s v="S12000040"/>
    <x v="25"/>
    <n v="65"/>
    <n v="6"/>
    <n v="12"/>
    <n v="47"/>
  </r>
  <r>
    <x v="1"/>
    <x v="0"/>
    <s v="S12000041"/>
    <x v="26"/>
    <n v="95"/>
    <n v="7"/>
    <n v="20"/>
    <n v="68"/>
  </r>
  <r>
    <x v="1"/>
    <x v="0"/>
    <s v="S12000042"/>
    <x v="27"/>
    <n v="14"/>
    <n v="1"/>
    <n v="3"/>
    <n v="10"/>
  </r>
  <r>
    <x v="1"/>
    <x v="0"/>
    <s v="S12000044"/>
    <x v="28"/>
    <n v="30"/>
    <n v="3"/>
    <n v="3"/>
    <n v="24"/>
  </r>
  <r>
    <x v="1"/>
    <x v="0"/>
    <s v="S12000045"/>
    <x v="29"/>
    <n v="0"/>
    <n v="0"/>
    <n v="0"/>
    <n v="0"/>
  </r>
  <r>
    <x v="1"/>
    <x v="0"/>
    <s v="S12000046"/>
    <x v="30"/>
    <n v="0"/>
    <n v="0"/>
    <n v="0"/>
    <n v="0"/>
  </r>
  <r>
    <x v="1"/>
    <x v="0"/>
    <s v="S12000047"/>
    <x v="31"/>
    <n v="112"/>
    <n v="10"/>
    <n v="23"/>
    <n v="79"/>
  </r>
  <r>
    <x v="2"/>
    <x v="0"/>
    <s v="S12000005"/>
    <x v="0"/>
    <n v="21"/>
    <n v="2"/>
    <n v="4"/>
    <n v="15"/>
  </r>
  <r>
    <x v="2"/>
    <x v="0"/>
    <s v="S12000006"/>
    <x v="1"/>
    <n v="190"/>
    <n v="16"/>
    <n v="34"/>
    <n v="140"/>
  </r>
  <r>
    <x v="2"/>
    <x v="0"/>
    <s v="S12000008"/>
    <x v="2"/>
    <n v="83"/>
    <n v="7"/>
    <n v="11"/>
    <n v="65"/>
  </r>
  <r>
    <x v="2"/>
    <x v="0"/>
    <s v="S12000010"/>
    <x v="3"/>
    <n v="55"/>
    <n v="4"/>
    <n v="11"/>
    <n v="40"/>
  </r>
  <r>
    <x v="2"/>
    <x v="0"/>
    <s v="S12000011"/>
    <x v="4"/>
    <n v="2"/>
    <n v="0"/>
    <n v="0"/>
    <n v="2"/>
  </r>
  <r>
    <x v="2"/>
    <x v="0"/>
    <s v="S12000013"/>
    <x v="5"/>
    <n v="140"/>
    <n v="12"/>
    <n v="34"/>
    <n v="94"/>
  </r>
  <r>
    <x v="2"/>
    <x v="0"/>
    <s v="S12000014"/>
    <x v="6"/>
    <n v="53"/>
    <n v="5"/>
    <n v="9"/>
    <n v="39"/>
  </r>
  <r>
    <x v="2"/>
    <x v="0"/>
    <s v="S12000017"/>
    <x v="7"/>
    <n v="525"/>
    <n v="53"/>
    <n v="107"/>
    <n v="365"/>
  </r>
  <r>
    <x v="2"/>
    <x v="0"/>
    <s v="S12000018"/>
    <x v="8"/>
    <n v="41"/>
    <n v="4"/>
    <n v="6"/>
    <n v="31"/>
  </r>
  <r>
    <x v="2"/>
    <x v="0"/>
    <s v="S12000019"/>
    <x v="9"/>
    <n v="11"/>
    <n v="1"/>
    <n v="2"/>
    <n v="8"/>
  </r>
  <r>
    <x v="2"/>
    <x v="0"/>
    <s v="S12000020"/>
    <x v="10"/>
    <n v="110"/>
    <n v="12"/>
    <n v="26"/>
    <n v="72"/>
  </r>
  <r>
    <x v="2"/>
    <x v="0"/>
    <s v="S12000021"/>
    <x v="11"/>
    <n v="108"/>
    <n v="9"/>
    <n v="12"/>
    <n v="87"/>
  </r>
  <r>
    <x v="2"/>
    <x v="0"/>
    <s v="S12000023"/>
    <x v="12"/>
    <n v="98"/>
    <n v="12"/>
    <n v="19"/>
    <n v="67"/>
  </r>
  <r>
    <x v="2"/>
    <x v="0"/>
    <s v="S12000024"/>
    <x v="13"/>
    <n v="126"/>
    <n v="9"/>
    <n v="24"/>
    <n v="93"/>
  </r>
  <r>
    <x v="2"/>
    <x v="0"/>
    <s v="S12000026"/>
    <x v="14"/>
    <n v="147"/>
    <n v="13"/>
    <n v="26"/>
    <n v="108"/>
  </r>
  <r>
    <x v="2"/>
    <x v="0"/>
    <s v="S12000027"/>
    <x v="15"/>
    <n v="126"/>
    <n v="14"/>
    <n v="25"/>
    <n v="87"/>
  </r>
  <r>
    <x v="2"/>
    <x v="0"/>
    <s v="S12000028"/>
    <x v="16"/>
    <n v="53"/>
    <n v="5"/>
    <n v="7"/>
    <n v="41"/>
  </r>
  <r>
    <x v="2"/>
    <x v="0"/>
    <s v="S12000029"/>
    <x v="17"/>
    <n v="71"/>
    <n v="8"/>
    <n v="9"/>
    <n v="54"/>
  </r>
  <r>
    <x v="2"/>
    <x v="0"/>
    <s v="S12000030"/>
    <x v="18"/>
    <n v="73"/>
    <n v="9"/>
    <n v="17"/>
    <n v="47"/>
  </r>
  <r>
    <x v="2"/>
    <x v="0"/>
    <s v="S12000033"/>
    <x v="19"/>
    <n v="23"/>
    <n v="2"/>
    <n v="8"/>
    <n v="13"/>
  </r>
  <r>
    <x v="2"/>
    <x v="0"/>
    <s v="S12000034"/>
    <x v="20"/>
    <n v="271"/>
    <n v="25"/>
    <n v="66"/>
    <n v="180"/>
  </r>
  <r>
    <x v="2"/>
    <x v="0"/>
    <s v="S12000035"/>
    <x v="21"/>
    <n v="182"/>
    <n v="12"/>
    <n v="26"/>
    <n v="144"/>
  </r>
  <r>
    <x v="2"/>
    <x v="0"/>
    <s v="S12000036"/>
    <x v="22"/>
    <n v="12"/>
    <n v="1"/>
    <n v="2"/>
    <n v="9"/>
  </r>
  <r>
    <x v="2"/>
    <x v="0"/>
    <s v="S12000038"/>
    <x v="23"/>
    <n v="13"/>
    <n v="1"/>
    <n v="1"/>
    <n v="11"/>
  </r>
  <r>
    <x v="2"/>
    <x v="0"/>
    <s v="S12000039"/>
    <x v="24"/>
    <n v="19"/>
    <n v="2"/>
    <n v="2"/>
    <n v="15"/>
  </r>
  <r>
    <x v="2"/>
    <x v="0"/>
    <s v="S12000040"/>
    <x v="25"/>
    <n v="55"/>
    <n v="5"/>
    <n v="10"/>
    <n v="40"/>
  </r>
  <r>
    <x v="2"/>
    <x v="0"/>
    <s v="S12000041"/>
    <x v="26"/>
    <n v="98"/>
    <n v="6"/>
    <n v="16"/>
    <n v="76"/>
  </r>
  <r>
    <x v="2"/>
    <x v="0"/>
    <s v="S12000042"/>
    <x v="27"/>
    <n v="11"/>
    <n v="1"/>
    <n v="3"/>
    <n v="7"/>
  </r>
  <r>
    <x v="2"/>
    <x v="0"/>
    <s v="S12000044"/>
    <x v="28"/>
    <n v="34"/>
    <n v="3"/>
    <n v="3"/>
    <n v="28"/>
  </r>
  <r>
    <x v="2"/>
    <x v="0"/>
    <s v="S12000045"/>
    <x v="29"/>
    <n v="1"/>
    <n v="0"/>
    <n v="0"/>
    <n v="1"/>
  </r>
  <r>
    <x v="2"/>
    <x v="0"/>
    <s v="S12000046"/>
    <x v="30"/>
    <n v="6"/>
    <n v="0"/>
    <n v="0"/>
    <n v="6"/>
  </r>
  <r>
    <x v="2"/>
    <x v="0"/>
    <s v="S12000047"/>
    <x v="31"/>
    <n v="112"/>
    <n v="9"/>
    <n v="23"/>
    <n v="80"/>
  </r>
  <r>
    <x v="3"/>
    <x v="0"/>
    <s v="S12000005"/>
    <x v="0"/>
    <n v="24"/>
    <n v="2"/>
    <n v="4"/>
    <n v="18"/>
  </r>
  <r>
    <x v="3"/>
    <x v="0"/>
    <s v="S12000006"/>
    <x v="1"/>
    <n v="202"/>
    <n v="16"/>
    <n v="37"/>
    <n v="149"/>
  </r>
  <r>
    <x v="3"/>
    <x v="0"/>
    <s v="S12000008"/>
    <x v="2"/>
    <n v="81"/>
    <n v="7"/>
    <n v="11"/>
    <n v="63"/>
  </r>
  <r>
    <x v="3"/>
    <x v="0"/>
    <s v="S12000010"/>
    <x v="3"/>
    <n v="55"/>
    <n v="5"/>
    <n v="12"/>
    <n v="38"/>
  </r>
  <r>
    <x v="3"/>
    <x v="0"/>
    <s v="S12000011"/>
    <x v="4"/>
    <n v="0"/>
    <n v="0"/>
    <n v="0"/>
    <n v="0"/>
  </r>
  <r>
    <x v="3"/>
    <x v="0"/>
    <s v="S12000013"/>
    <x v="5"/>
    <n v="137"/>
    <n v="12"/>
    <n v="33"/>
    <n v="92"/>
  </r>
  <r>
    <x v="3"/>
    <x v="0"/>
    <s v="S12000014"/>
    <x v="6"/>
    <n v="56"/>
    <n v="5"/>
    <n v="10"/>
    <n v="41"/>
  </r>
  <r>
    <x v="3"/>
    <x v="0"/>
    <s v="S12000017"/>
    <x v="7"/>
    <n v="525"/>
    <n v="52"/>
    <n v="102"/>
    <n v="371"/>
  </r>
  <r>
    <x v="3"/>
    <x v="0"/>
    <s v="S12000018"/>
    <x v="8"/>
    <n v="39"/>
    <n v="3"/>
    <n v="6"/>
    <n v="30"/>
  </r>
  <r>
    <x v="3"/>
    <x v="0"/>
    <s v="S12000019"/>
    <x v="9"/>
    <n v="11"/>
    <n v="1"/>
    <n v="2"/>
    <n v="8"/>
  </r>
  <r>
    <x v="3"/>
    <x v="0"/>
    <s v="S12000020"/>
    <x v="10"/>
    <n v="125"/>
    <n v="13"/>
    <n v="26"/>
    <n v="86"/>
  </r>
  <r>
    <x v="3"/>
    <x v="0"/>
    <s v="S12000021"/>
    <x v="11"/>
    <n v="106"/>
    <n v="10"/>
    <n v="12"/>
    <n v="84"/>
  </r>
  <r>
    <x v="3"/>
    <x v="0"/>
    <s v="S12000023"/>
    <x v="12"/>
    <n v="95"/>
    <n v="11"/>
    <n v="21"/>
    <n v="63"/>
  </r>
  <r>
    <x v="3"/>
    <x v="0"/>
    <s v="S12000024"/>
    <x v="13"/>
    <n v="122"/>
    <n v="9"/>
    <n v="23"/>
    <n v="90"/>
  </r>
  <r>
    <x v="3"/>
    <x v="0"/>
    <s v="S12000026"/>
    <x v="14"/>
    <n v="143"/>
    <n v="13"/>
    <n v="27"/>
    <n v="103"/>
  </r>
  <r>
    <x v="3"/>
    <x v="0"/>
    <s v="S12000027"/>
    <x v="15"/>
    <n v="122"/>
    <n v="12"/>
    <n v="27"/>
    <n v="83"/>
  </r>
  <r>
    <x v="3"/>
    <x v="0"/>
    <s v="S12000028"/>
    <x v="16"/>
    <n v="48"/>
    <n v="5"/>
    <n v="8"/>
    <n v="35"/>
  </r>
  <r>
    <x v="3"/>
    <x v="0"/>
    <s v="S12000029"/>
    <x v="17"/>
    <n v="74"/>
    <n v="8"/>
    <n v="9"/>
    <n v="57"/>
  </r>
  <r>
    <x v="3"/>
    <x v="0"/>
    <s v="S12000030"/>
    <x v="18"/>
    <n v="73"/>
    <n v="8"/>
    <n v="17"/>
    <n v="48"/>
  </r>
  <r>
    <x v="3"/>
    <x v="0"/>
    <s v="S12000033"/>
    <x v="19"/>
    <n v="8"/>
    <n v="1"/>
    <n v="2"/>
    <n v="5"/>
  </r>
  <r>
    <x v="3"/>
    <x v="0"/>
    <s v="S12000034"/>
    <x v="20"/>
    <n v="282"/>
    <n v="26"/>
    <n v="68"/>
    <n v="188"/>
  </r>
  <r>
    <x v="3"/>
    <x v="0"/>
    <s v="S12000035"/>
    <x v="21"/>
    <n v="185"/>
    <n v="14"/>
    <n v="27"/>
    <n v="144"/>
  </r>
  <r>
    <x v="3"/>
    <x v="0"/>
    <s v="S12000036"/>
    <x v="22"/>
    <n v="12"/>
    <n v="1"/>
    <n v="1"/>
    <n v="10"/>
  </r>
  <r>
    <x v="3"/>
    <x v="0"/>
    <s v="S12000038"/>
    <x v="23"/>
    <n v="13"/>
    <n v="1"/>
    <n v="2"/>
    <n v="10"/>
  </r>
  <r>
    <x v="3"/>
    <x v="0"/>
    <s v="S12000039"/>
    <x v="24"/>
    <n v="17"/>
    <n v="1"/>
    <n v="2"/>
    <n v="14"/>
  </r>
  <r>
    <x v="3"/>
    <x v="0"/>
    <s v="S12000040"/>
    <x v="25"/>
    <n v="64"/>
    <n v="5"/>
    <n v="12"/>
    <n v="47"/>
  </r>
  <r>
    <x v="3"/>
    <x v="0"/>
    <s v="S12000041"/>
    <x v="26"/>
    <n v="94"/>
    <n v="6"/>
    <n v="17"/>
    <n v="71"/>
  </r>
  <r>
    <x v="3"/>
    <x v="0"/>
    <s v="S12000042"/>
    <x v="27"/>
    <n v="13"/>
    <n v="1"/>
    <n v="3"/>
    <n v="9"/>
  </r>
  <r>
    <x v="3"/>
    <x v="0"/>
    <s v="S12000044"/>
    <x v="28"/>
    <n v="35"/>
    <n v="3"/>
    <n v="6"/>
    <n v="26"/>
  </r>
  <r>
    <x v="3"/>
    <x v="0"/>
    <s v="S12000045"/>
    <x v="29"/>
    <n v="0"/>
    <n v="0"/>
    <n v="0"/>
    <n v="0"/>
  </r>
  <r>
    <x v="3"/>
    <x v="0"/>
    <s v="S12000046"/>
    <x v="30"/>
    <n v="0"/>
    <n v="0"/>
    <n v="0"/>
    <n v="0"/>
  </r>
  <r>
    <x v="3"/>
    <x v="0"/>
    <s v="S12000047"/>
    <x v="31"/>
    <n v="109"/>
    <n v="9"/>
    <n v="22"/>
    <n v="78"/>
  </r>
  <r>
    <x v="4"/>
    <x v="0"/>
    <s v="S12000005"/>
    <x v="0"/>
    <n v="22"/>
    <n v="2"/>
    <n v="3"/>
    <n v="17"/>
  </r>
  <r>
    <x v="4"/>
    <x v="0"/>
    <s v="S12000006"/>
    <x v="1"/>
    <n v="189"/>
    <n v="16"/>
    <n v="34"/>
    <n v="139"/>
  </r>
  <r>
    <x v="4"/>
    <x v="0"/>
    <s v="S12000008"/>
    <x v="2"/>
    <n v="82"/>
    <n v="7"/>
    <n v="9"/>
    <n v="66"/>
  </r>
  <r>
    <x v="4"/>
    <x v="0"/>
    <s v="S12000010"/>
    <x v="3"/>
    <n v="56"/>
    <n v="5"/>
    <n v="10"/>
    <n v="41"/>
  </r>
  <r>
    <x v="4"/>
    <x v="0"/>
    <s v="S12000013"/>
    <x v="5"/>
    <n v="131"/>
    <n v="13"/>
    <n v="25"/>
    <n v="93"/>
  </r>
  <r>
    <x v="4"/>
    <x v="0"/>
    <s v="S12000014"/>
    <x v="6"/>
    <n v="54"/>
    <n v="5"/>
    <n v="11"/>
    <n v="38"/>
  </r>
  <r>
    <x v="4"/>
    <x v="0"/>
    <s v="S12000017"/>
    <x v="7"/>
    <n v="538"/>
    <n v="55"/>
    <n v="106"/>
    <n v="377"/>
  </r>
  <r>
    <x v="4"/>
    <x v="0"/>
    <s v="S12000018"/>
    <x v="8"/>
    <n v="42"/>
    <n v="3"/>
    <n v="6"/>
    <n v="33"/>
  </r>
  <r>
    <x v="4"/>
    <x v="0"/>
    <s v="S12000019"/>
    <x v="9"/>
    <n v="12"/>
    <n v="1"/>
    <n v="2"/>
    <n v="9"/>
  </r>
  <r>
    <x v="4"/>
    <x v="0"/>
    <s v="S12000020"/>
    <x v="10"/>
    <n v="120"/>
    <n v="12"/>
    <n v="27"/>
    <n v="81"/>
  </r>
  <r>
    <x v="4"/>
    <x v="0"/>
    <s v="S12000021"/>
    <x v="11"/>
    <n v="106"/>
    <n v="10"/>
    <n v="10"/>
    <n v="86"/>
  </r>
  <r>
    <x v="4"/>
    <x v="0"/>
    <s v="S12000023"/>
    <x v="12"/>
    <n v="100"/>
    <n v="9"/>
    <n v="22"/>
    <n v="69"/>
  </r>
  <r>
    <x v="4"/>
    <x v="0"/>
    <s v="S12000024"/>
    <x v="13"/>
    <n v="126"/>
    <n v="9"/>
    <n v="23"/>
    <n v="94"/>
  </r>
  <r>
    <x v="4"/>
    <x v="0"/>
    <s v="S12000026"/>
    <x v="14"/>
    <n v="143"/>
    <n v="13"/>
    <n v="27"/>
    <n v="103"/>
  </r>
  <r>
    <x v="4"/>
    <x v="0"/>
    <s v="S12000027"/>
    <x v="15"/>
    <n v="118"/>
    <n v="12"/>
    <n v="24"/>
    <n v="82"/>
  </r>
  <r>
    <x v="4"/>
    <x v="0"/>
    <s v="S12000028"/>
    <x v="16"/>
    <n v="49"/>
    <n v="5"/>
    <n v="6"/>
    <n v="38"/>
  </r>
  <r>
    <x v="4"/>
    <x v="0"/>
    <s v="S12000029"/>
    <x v="17"/>
    <n v="73"/>
    <n v="9"/>
    <n v="8"/>
    <n v="56"/>
  </r>
  <r>
    <x v="4"/>
    <x v="0"/>
    <s v="S12000030"/>
    <x v="18"/>
    <n v="74"/>
    <n v="8"/>
    <n v="15"/>
    <n v="51"/>
  </r>
  <r>
    <x v="4"/>
    <x v="0"/>
    <s v="S12000033"/>
    <x v="19"/>
    <n v="8"/>
    <n v="1"/>
    <n v="1"/>
    <n v="6"/>
  </r>
  <r>
    <x v="4"/>
    <x v="0"/>
    <s v="S12000034"/>
    <x v="20"/>
    <n v="275"/>
    <n v="24"/>
    <n v="69"/>
    <n v="182"/>
  </r>
  <r>
    <x v="4"/>
    <x v="0"/>
    <s v="S12000035"/>
    <x v="21"/>
    <n v="177"/>
    <n v="14"/>
    <n v="26"/>
    <n v="137"/>
  </r>
  <r>
    <x v="4"/>
    <x v="0"/>
    <s v="S12000036"/>
    <x v="22"/>
    <n v="11"/>
    <n v="1"/>
    <n v="1"/>
    <n v="9"/>
  </r>
  <r>
    <x v="4"/>
    <x v="0"/>
    <s v="S12000038"/>
    <x v="23"/>
    <n v="16"/>
    <n v="1"/>
    <n v="2"/>
    <n v="13"/>
  </r>
  <r>
    <x v="4"/>
    <x v="0"/>
    <s v="S12000039"/>
    <x v="24"/>
    <n v="18"/>
    <n v="2"/>
    <n v="2"/>
    <n v="14"/>
  </r>
  <r>
    <x v="4"/>
    <x v="0"/>
    <s v="S12000040"/>
    <x v="25"/>
    <n v="65"/>
    <n v="5"/>
    <n v="11"/>
    <n v="49"/>
  </r>
  <r>
    <x v="4"/>
    <x v="0"/>
    <s v="S12000041"/>
    <x v="26"/>
    <n v="93"/>
    <n v="6"/>
    <n v="16"/>
    <n v="71"/>
  </r>
  <r>
    <x v="4"/>
    <x v="0"/>
    <s v="S12000042"/>
    <x v="27"/>
    <n v="13"/>
    <n v="1"/>
    <n v="2"/>
    <n v="10"/>
  </r>
  <r>
    <x v="4"/>
    <x v="0"/>
    <s v="S12000044"/>
    <x v="28"/>
    <n v="37"/>
    <n v="3"/>
    <n v="6"/>
    <n v="28"/>
  </r>
  <r>
    <x v="4"/>
    <x v="0"/>
    <s v="S12000047"/>
    <x v="31"/>
    <n v="115"/>
    <n v="9"/>
    <n v="21"/>
    <n v="85"/>
  </r>
  <r>
    <x v="5"/>
    <x v="0"/>
    <s v="S12000005"/>
    <x v="0"/>
    <n v="20"/>
    <n v="2"/>
    <n v="4"/>
    <n v="14"/>
  </r>
  <r>
    <x v="5"/>
    <x v="0"/>
    <s v="S12000006"/>
    <x v="1"/>
    <n v="198"/>
    <n v="17"/>
    <n v="34"/>
    <n v="147"/>
  </r>
  <r>
    <x v="5"/>
    <x v="0"/>
    <s v="S12000008"/>
    <x v="2"/>
    <n v="77"/>
    <n v="5"/>
    <n v="10"/>
    <n v="62"/>
  </r>
  <r>
    <x v="5"/>
    <x v="0"/>
    <s v="S12000010"/>
    <x v="3"/>
    <n v="62"/>
    <n v="5"/>
    <n v="12"/>
    <n v="45"/>
  </r>
  <r>
    <x v="5"/>
    <x v="0"/>
    <s v="S12000013"/>
    <x v="5"/>
    <n v="132"/>
    <n v="13"/>
    <n v="25"/>
    <n v="94"/>
  </r>
  <r>
    <x v="5"/>
    <x v="0"/>
    <s v="S12000014"/>
    <x v="6"/>
    <n v="55"/>
    <n v="5"/>
    <n v="10"/>
    <n v="40"/>
  </r>
  <r>
    <x v="5"/>
    <x v="0"/>
    <s v="S12000017"/>
    <x v="7"/>
    <n v="552"/>
    <n v="56"/>
    <n v="103"/>
    <n v="393"/>
  </r>
  <r>
    <x v="5"/>
    <x v="0"/>
    <s v="S12000018"/>
    <x v="8"/>
    <n v="44"/>
    <n v="3"/>
    <n v="6"/>
    <n v="35"/>
  </r>
  <r>
    <x v="5"/>
    <x v="0"/>
    <s v="S12000019"/>
    <x v="9"/>
    <n v="13"/>
    <n v="1"/>
    <n v="3"/>
    <n v="9"/>
  </r>
  <r>
    <x v="5"/>
    <x v="0"/>
    <s v="S12000020"/>
    <x v="10"/>
    <n v="120"/>
    <n v="11"/>
    <n v="28"/>
    <n v="81"/>
  </r>
  <r>
    <x v="5"/>
    <x v="0"/>
    <s v="S12000021"/>
    <x v="11"/>
    <n v="107"/>
    <n v="11"/>
    <n v="11"/>
    <n v="85"/>
  </r>
  <r>
    <x v="5"/>
    <x v="0"/>
    <s v="S12000023"/>
    <x v="12"/>
    <n v="109"/>
    <n v="9"/>
    <n v="23"/>
    <n v="77"/>
  </r>
  <r>
    <x v="5"/>
    <x v="0"/>
    <s v="S12000024"/>
    <x v="13"/>
    <n v="131"/>
    <n v="10"/>
    <n v="23"/>
    <n v="98"/>
  </r>
  <r>
    <x v="5"/>
    <x v="0"/>
    <s v="S12000026"/>
    <x v="14"/>
    <n v="143"/>
    <n v="13"/>
    <n v="28"/>
    <n v="102"/>
  </r>
  <r>
    <x v="5"/>
    <x v="0"/>
    <s v="S12000027"/>
    <x v="15"/>
    <n v="127"/>
    <n v="13"/>
    <n v="25"/>
    <n v="89"/>
  </r>
  <r>
    <x v="5"/>
    <x v="0"/>
    <s v="S12000028"/>
    <x v="16"/>
    <n v="58"/>
    <n v="5"/>
    <n v="7"/>
    <n v="46"/>
  </r>
  <r>
    <x v="5"/>
    <x v="0"/>
    <s v="S12000029"/>
    <x v="17"/>
    <n v="77"/>
    <n v="8"/>
    <n v="8"/>
    <n v="61"/>
  </r>
  <r>
    <x v="5"/>
    <x v="0"/>
    <s v="S12000030"/>
    <x v="18"/>
    <n v="75"/>
    <n v="8"/>
    <n v="16"/>
    <n v="51"/>
  </r>
  <r>
    <x v="5"/>
    <x v="0"/>
    <s v="S12000033"/>
    <x v="19"/>
    <n v="9"/>
    <n v="1"/>
    <n v="3"/>
    <n v="5"/>
  </r>
  <r>
    <x v="5"/>
    <x v="0"/>
    <s v="S12000034"/>
    <x v="20"/>
    <n v="284"/>
    <n v="24"/>
    <n v="69"/>
    <n v="191"/>
  </r>
  <r>
    <x v="5"/>
    <x v="0"/>
    <s v="S12000035"/>
    <x v="21"/>
    <n v="176"/>
    <n v="14"/>
    <n v="25"/>
    <n v="137"/>
  </r>
  <r>
    <x v="5"/>
    <x v="0"/>
    <s v="S12000036"/>
    <x v="22"/>
    <n v="9"/>
    <m/>
    <n v="2"/>
    <n v="7"/>
  </r>
  <r>
    <x v="5"/>
    <x v="0"/>
    <s v="S12000038"/>
    <x v="23"/>
    <n v="17"/>
    <n v="1"/>
    <n v="2"/>
    <n v="14"/>
  </r>
  <r>
    <x v="5"/>
    <x v="0"/>
    <s v="S12000039"/>
    <x v="24"/>
    <n v="20"/>
    <n v="2"/>
    <n v="2"/>
    <n v="16"/>
  </r>
  <r>
    <x v="5"/>
    <x v="0"/>
    <s v="S12000040"/>
    <x v="25"/>
    <n v="59"/>
    <n v="5"/>
    <n v="11"/>
    <n v="43"/>
  </r>
  <r>
    <x v="5"/>
    <x v="0"/>
    <s v="S12000041"/>
    <x v="26"/>
    <n v="98"/>
    <n v="6"/>
    <n v="14"/>
    <n v="78"/>
  </r>
  <r>
    <x v="5"/>
    <x v="0"/>
    <s v="S12000042"/>
    <x v="27"/>
    <n v="12"/>
    <n v="1"/>
    <n v="2"/>
    <n v="9"/>
  </r>
  <r>
    <x v="5"/>
    <x v="0"/>
    <s v="S12000044"/>
    <x v="28"/>
    <n v="35"/>
    <n v="3"/>
    <n v="6"/>
    <n v="26"/>
  </r>
  <r>
    <x v="5"/>
    <x v="0"/>
    <s v="S12000047"/>
    <x v="31"/>
    <n v="116"/>
    <n v="9"/>
    <n v="21"/>
    <n v="86"/>
  </r>
  <r>
    <x v="6"/>
    <x v="0"/>
    <s v="S40000003"/>
    <x v="21"/>
    <n v="174"/>
    <n v="13"/>
    <n v="25"/>
    <n v="136"/>
  </r>
  <r>
    <x v="6"/>
    <x v="0"/>
    <s v="S40000003"/>
    <x v="1"/>
    <n v="192"/>
    <n v="16"/>
    <n v="34"/>
    <n v="142"/>
  </r>
  <r>
    <x v="6"/>
    <x v="0"/>
    <s v="S40000003"/>
    <x v="2"/>
    <n v="80"/>
    <n v="7"/>
    <n v="8"/>
    <n v="65"/>
  </r>
  <r>
    <x v="6"/>
    <x v="0"/>
    <s v="S40000003"/>
    <x v="8"/>
    <n v="42"/>
    <n v="3"/>
    <n v="6"/>
    <n v="33"/>
  </r>
  <r>
    <x v="6"/>
    <x v="0"/>
    <s v="S40000003"/>
    <x v="11"/>
    <n v="104"/>
    <n v="11"/>
    <n v="11"/>
    <n v="82"/>
  </r>
  <r>
    <x v="6"/>
    <x v="0"/>
    <s v="S40000003"/>
    <x v="28"/>
    <n v="37"/>
    <n v="3"/>
    <n v="5"/>
    <n v="29"/>
  </r>
  <r>
    <x v="6"/>
    <x v="0"/>
    <s v="S40000003"/>
    <x v="23"/>
    <n v="15"/>
    <n v="1"/>
    <n v="2"/>
    <n v="12"/>
  </r>
  <r>
    <x v="6"/>
    <x v="0"/>
    <s v="S40000003"/>
    <x v="16"/>
    <n v="55"/>
    <n v="5"/>
    <n v="8"/>
    <n v="42"/>
  </r>
  <r>
    <x v="6"/>
    <x v="0"/>
    <s v="S40000003"/>
    <x v="17"/>
    <n v="86"/>
    <n v="8"/>
    <n v="8"/>
    <n v="70"/>
  </r>
  <r>
    <x v="6"/>
    <x v="0"/>
    <s v="S40000003"/>
    <x v="24"/>
    <n v="20"/>
    <n v="2"/>
    <n v="2"/>
    <n v="16"/>
  </r>
  <r>
    <x v="6"/>
    <x v="0"/>
    <s v="S40000004"/>
    <x v="22"/>
    <n v="8"/>
    <n v="1"/>
    <n v="2"/>
    <n v="5"/>
  </r>
  <r>
    <x v="6"/>
    <x v="0"/>
    <s v="S40000004"/>
    <x v="0"/>
    <n v="25"/>
    <n v="3"/>
    <n v="5"/>
    <n v="17"/>
  </r>
  <r>
    <x v="6"/>
    <x v="0"/>
    <s v="S40000004"/>
    <x v="3"/>
    <n v="65"/>
    <n v="5"/>
    <n v="12"/>
    <n v="48"/>
  </r>
  <r>
    <x v="6"/>
    <x v="0"/>
    <s v="S40000004"/>
    <x v="6"/>
    <n v="57"/>
    <n v="4"/>
    <n v="10"/>
    <n v="43"/>
  </r>
  <r>
    <x v="6"/>
    <x v="0"/>
    <s v="S40000004"/>
    <x v="31"/>
    <n v="113"/>
    <n v="9"/>
    <n v="21"/>
    <n v="83"/>
  </r>
  <r>
    <x v="6"/>
    <x v="0"/>
    <s v="S40000004"/>
    <x v="9"/>
    <n v="13"/>
    <n v="1"/>
    <n v="2"/>
    <n v="10"/>
  </r>
  <r>
    <x v="6"/>
    <x v="0"/>
    <s v="S40000004"/>
    <x v="14"/>
    <n v="148"/>
    <n v="13"/>
    <n v="28"/>
    <n v="107"/>
  </r>
  <r>
    <x v="6"/>
    <x v="0"/>
    <s v="S40000004"/>
    <x v="18"/>
    <n v="75"/>
    <n v="9"/>
    <n v="15"/>
    <n v="51"/>
  </r>
  <r>
    <x v="6"/>
    <x v="0"/>
    <s v="S40000004"/>
    <x v="25"/>
    <n v="65"/>
    <n v="6"/>
    <n v="11"/>
    <n v="48"/>
  </r>
  <r>
    <x v="6"/>
    <x v="0"/>
    <s v="S40000005"/>
    <x v="19"/>
    <n v="8"/>
    <n v="1"/>
    <n v="3"/>
    <n v="4"/>
  </r>
  <r>
    <x v="6"/>
    <x v="0"/>
    <s v="S40000005"/>
    <x v="20"/>
    <n v="285"/>
    <n v="25"/>
    <n v="65"/>
    <n v="195"/>
  </r>
  <r>
    <x v="6"/>
    <x v="0"/>
    <s v="S40000005"/>
    <x v="26"/>
    <n v="103"/>
    <n v="6"/>
    <n v="16"/>
    <n v="81"/>
  </r>
  <r>
    <x v="6"/>
    <x v="0"/>
    <s v="S40000005"/>
    <x v="27"/>
    <n v="12"/>
    <n v="1"/>
    <n v="2"/>
    <n v="9"/>
  </r>
  <r>
    <x v="6"/>
    <x v="0"/>
    <s v="S40000005"/>
    <x v="7"/>
    <n v="525"/>
    <n v="53"/>
    <n v="94"/>
    <n v="378"/>
  </r>
  <r>
    <x v="6"/>
    <x v="0"/>
    <s v="S40000005"/>
    <x v="10"/>
    <n v="121"/>
    <n v="11"/>
    <n v="27"/>
    <n v="83"/>
  </r>
  <r>
    <x v="6"/>
    <x v="0"/>
    <s v="S40000005"/>
    <x v="5"/>
    <n v="135"/>
    <n v="14"/>
    <n v="30"/>
    <n v="91"/>
  </r>
  <r>
    <x v="6"/>
    <x v="0"/>
    <s v="S40000005"/>
    <x v="12"/>
    <n v="109"/>
    <n v="9"/>
    <n v="22"/>
    <n v="78"/>
  </r>
  <r>
    <x v="6"/>
    <x v="0"/>
    <s v="S40000005"/>
    <x v="13"/>
    <n v="131"/>
    <n v="10"/>
    <n v="22"/>
    <n v="99"/>
  </r>
  <r>
    <x v="6"/>
    <x v="0"/>
    <s v="S40000005"/>
    <x v="15"/>
    <n v="134"/>
    <n v="12"/>
    <n v="24"/>
    <n v="98"/>
  </r>
</pivotCacheRecords>
</file>

<file path=xl/pivotCache/pivotCacheRecords27.xml><?xml version="1.0" encoding="utf-8"?>
<pivotCacheRecords xmlns="http://schemas.openxmlformats.org/spreadsheetml/2006/main" xmlns:r="http://schemas.openxmlformats.org/officeDocument/2006/relationships" count="30">
  <r>
    <x v="0"/>
    <x v="0"/>
    <n v="223"/>
    <m/>
    <m/>
    <n v="52"/>
    <n v="103"/>
    <n v="5"/>
    <n v="11"/>
    <n v="52"/>
  </r>
  <r>
    <x v="0"/>
    <x v="1"/>
    <n v="2940"/>
    <m/>
    <m/>
    <n v="535"/>
    <n v="2127"/>
    <m/>
    <m/>
    <n v="278"/>
  </r>
  <r>
    <x v="0"/>
    <x v="2"/>
    <n v="359"/>
    <n v="0"/>
    <n v="0"/>
    <n v="73"/>
    <n v="277"/>
    <n v="0"/>
    <n v="0"/>
    <n v="9"/>
  </r>
  <r>
    <x v="0"/>
    <x v="3"/>
    <n v="4001"/>
    <n v="28"/>
    <n v="9"/>
    <n v="660"/>
    <n v="2374"/>
    <n v="115"/>
    <n v="136"/>
    <n v="679"/>
  </r>
  <r>
    <x v="1"/>
    <x v="0"/>
    <n v="230"/>
    <m/>
    <m/>
    <n v="52"/>
    <n v="110"/>
    <n v="5"/>
    <n v="13"/>
    <n v="50"/>
  </r>
  <r>
    <x v="1"/>
    <x v="1"/>
    <n v="2950"/>
    <m/>
    <m/>
    <n v="546"/>
    <n v="2124"/>
    <m/>
    <m/>
    <n v="280"/>
  </r>
  <r>
    <x v="1"/>
    <x v="2"/>
    <n v="378"/>
    <n v="0"/>
    <n v="0"/>
    <n v="44"/>
    <n v="296"/>
    <n v="0"/>
    <n v="0"/>
    <n v="38"/>
  </r>
  <r>
    <x v="1"/>
    <x v="3"/>
    <n v="3856"/>
    <n v="33"/>
    <n v="7"/>
    <n v="634"/>
    <n v="2285"/>
    <n v="103"/>
    <n v="130"/>
    <n v="664"/>
  </r>
  <r>
    <x v="2"/>
    <x v="0"/>
    <n v="203"/>
    <m/>
    <m/>
    <n v="44"/>
    <n v="95"/>
    <n v="6"/>
    <n v="7"/>
    <n v="51"/>
  </r>
  <r>
    <x v="2"/>
    <x v="1"/>
    <n v="2870"/>
    <m/>
    <m/>
    <n v="543"/>
    <n v="2065"/>
    <m/>
    <m/>
    <n v="262"/>
  </r>
  <r>
    <x v="2"/>
    <x v="2"/>
    <n v="342"/>
    <n v="0"/>
    <n v="0"/>
    <n v="46"/>
    <n v="260"/>
    <n v="0"/>
    <n v="0"/>
    <n v="36"/>
  </r>
  <r>
    <x v="2"/>
    <x v="3"/>
    <n v="3690"/>
    <n v="35"/>
    <n v="4"/>
    <n v="600"/>
    <n v="2258"/>
    <n v="90"/>
    <n v="126"/>
    <n v="577"/>
  </r>
  <r>
    <x v="3"/>
    <x v="0"/>
    <n v="165"/>
    <m/>
    <m/>
    <n v="31"/>
    <n v="80"/>
    <n v="5"/>
    <n v="8"/>
    <n v="41"/>
  </r>
  <r>
    <x v="3"/>
    <x v="1"/>
    <n v="2870"/>
    <m/>
    <m/>
    <n v="549"/>
    <n v="2061"/>
    <m/>
    <m/>
    <n v="260"/>
  </r>
  <r>
    <x v="3"/>
    <x v="2"/>
    <n v="320"/>
    <n v="0"/>
    <n v="0"/>
    <n v="43"/>
    <n v="241"/>
    <n v="0"/>
    <n v="0"/>
    <n v="36"/>
  </r>
  <r>
    <x v="3"/>
    <x v="3"/>
    <n v="3645"/>
    <n v="34"/>
    <n v="4"/>
    <n v="635"/>
    <n v="2161"/>
    <n v="70"/>
    <n v="151"/>
    <n v="590"/>
  </r>
  <r>
    <x v="4"/>
    <x v="0"/>
    <n v="189"/>
    <m/>
    <m/>
    <n v="27"/>
    <n v="106"/>
    <n v="5"/>
    <n v="8"/>
    <n v="43"/>
  </r>
  <r>
    <x v="4"/>
    <x v="1"/>
    <n v="2863"/>
    <m/>
    <m/>
    <n v="525"/>
    <n v="2077"/>
    <m/>
    <m/>
    <n v="261"/>
  </r>
  <r>
    <x v="4"/>
    <x v="2"/>
    <n v="332"/>
    <m/>
    <m/>
    <n v="39"/>
    <n v="256"/>
    <m/>
    <m/>
    <n v="37"/>
  </r>
  <r>
    <x v="4"/>
    <x v="3"/>
    <n v="3546"/>
    <n v="34"/>
    <n v="4"/>
    <n v="689"/>
    <n v="1989"/>
    <n v="74"/>
    <n v="153"/>
    <n v="603"/>
  </r>
  <r>
    <x v="5"/>
    <x v="0"/>
    <n v="207"/>
    <n v="1"/>
    <m/>
    <n v="27"/>
    <n v="124"/>
    <n v="4"/>
    <n v="9"/>
    <n v="42"/>
  </r>
  <r>
    <x v="5"/>
    <x v="1"/>
    <n v="2935"/>
    <m/>
    <m/>
    <n v="533"/>
    <n v="2141"/>
    <m/>
    <m/>
    <n v="261"/>
  </r>
  <r>
    <x v="5"/>
    <x v="4"/>
    <n v="18"/>
    <m/>
    <m/>
    <m/>
    <m/>
    <m/>
    <m/>
    <m/>
  </r>
  <r>
    <x v="5"/>
    <x v="2"/>
    <n v="321"/>
    <m/>
    <m/>
    <n v="42"/>
    <n v="241"/>
    <m/>
    <m/>
    <n v="38"/>
  </r>
  <r>
    <x v="5"/>
    <x v="3"/>
    <n v="3637"/>
    <n v="33"/>
    <n v="4"/>
    <n v="687"/>
    <n v="2075"/>
    <n v="80"/>
    <n v="147"/>
    <n v="611"/>
  </r>
  <r>
    <x v="6"/>
    <x v="0"/>
    <n v="188"/>
    <n v="1"/>
    <m/>
    <n v="26"/>
    <n v="104"/>
    <n v="4"/>
    <n v="8"/>
    <n v="45"/>
  </r>
  <r>
    <x v="6"/>
    <x v="1"/>
    <n v="2937"/>
    <m/>
    <m/>
    <n v="520"/>
    <n v="2155"/>
    <m/>
    <m/>
    <n v="262"/>
  </r>
  <r>
    <x v="6"/>
    <x v="4"/>
    <n v="36"/>
    <m/>
    <m/>
    <m/>
    <m/>
    <m/>
    <m/>
    <n v="36"/>
  </r>
  <r>
    <x v="6"/>
    <x v="2"/>
    <n v="315"/>
    <m/>
    <m/>
    <n v="41"/>
    <n v="237"/>
    <m/>
    <m/>
    <n v="37"/>
  </r>
  <r>
    <x v="6"/>
    <x v="3"/>
    <n v="3636"/>
    <n v="31"/>
    <n v="6"/>
    <n v="688"/>
    <n v="2070"/>
    <n v="80"/>
    <n v="153"/>
    <n v="608"/>
  </r>
</pivotCacheRecords>
</file>

<file path=xl/pivotCache/pivotCacheRecords28.xml><?xml version="1.0" encoding="utf-8"?>
<pivotCacheRecords xmlns="http://schemas.openxmlformats.org/spreadsheetml/2006/main" xmlns:r="http://schemas.openxmlformats.org/officeDocument/2006/relationships" count="28">
  <r>
    <x v="0"/>
    <x v="0"/>
    <n v="3392"/>
    <m/>
    <m/>
    <n v="608"/>
    <n v="2355"/>
    <m/>
    <n v="13"/>
    <n v="416"/>
  </r>
  <r>
    <x v="0"/>
    <x v="1"/>
    <n v="285"/>
    <n v="17"/>
    <m/>
    <n v="5"/>
    <n v="15"/>
    <n v="69"/>
    <n v="85"/>
    <n v="94"/>
  </r>
  <r>
    <x v="0"/>
    <x v="2"/>
    <n v="268"/>
    <n v="6"/>
    <n v="3"/>
    <n v="40"/>
    <n v="4"/>
    <n v="24"/>
    <n v="33"/>
    <n v="158"/>
  </r>
  <r>
    <x v="0"/>
    <x v="3"/>
    <n v="56"/>
    <n v="5"/>
    <n v="6"/>
    <n v="7"/>
    <m/>
    <n v="22"/>
    <n v="5"/>
    <n v="11"/>
  </r>
  <r>
    <x v="1"/>
    <x v="0"/>
    <n v="3285"/>
    <m/>
    <m/>
    <n v="592"/>
    <n v="2263"/>
    <m/>
    <n v="14"/>
    <n v="416"/>
  </r>
  <r>
    <x v="1"/>
    <x v="1"/>
    <n v="270"/>
    <n v="18"/>
    <m/>
    <n v="4"/>
    <n v="14"/>
    <n v="65"/>
    <n v="79"/>
    <n v="90"/>
  </r>
  <r>
    <x v="1"/>
    <x v="2"/>
    <n v="251"/>
    <n v="4"/>
    <m/>
    <n v="34"/>
    <n v="7"/>
    <n v="26"/>
    <n v="31"/>
    <n v="147"/>
  </r>
  <r>
    <x v="1"/>
    <x v="3"/>
    <n v="50"/>
    <n v="11"/>
    <n v="7"/>
    <n v="4"/>
    <n v="1"/>
    <n v="12"/>
    <n v="6"/>
    <n v="11"/>
  </r>
  <r>
    <x v="2"/>
    <x v="0"/>
    <n v="3025"/>
    <m/>
    <m/>
    <n v="511"/>
    <n v="2207"/>
    <m/>
    <n v="2"/>
    <n v="305"/>
  </r>
  <r>
    <x v="2"/>
    <x v="1"/>
    <n v="385"/>
    <n v="14"/>
    <m/>
    <n v="50"/>
    <n v="35"/>
    <n v="62"/>
    <n v="91"/>
    <n v="133"/>
  </r>
  <r>
    <x v="2"/>
    <x v="2"/>
    <n v="85"/>
    <n v="3"/>
    <m/>
    <n v="13"/>
    <m/>
    <n v="9"/>
    <n v="14"/>
    <n v="46"/>
  </r>
  <r>
    <x v="2"/>
    <x v="3"/>
    <n v="195"/>
    <n v="18"/>
    <n v="4"/>
    <n v="26"/>
    <n v="16"/>
    <n v="19"/>
    <n v="19"/>
    <n v="93"/>
  </r>
  <r>
    <x v="3"/>
    <x v="0"/>
    <n v="2923"/>
    <m/>
    <m/>
    <n v="552"/>
    <n v="2027"/>
    <m/>
    <n v="1"/>
    <n v="343"/>
  </r>
  <r>
    <x v="3"/>
    <x v="1"/>
    <n v="389"/>
    <n v="16"/>
    <m/>
    <n v="61"/>
    <n v="30"/>
    <n v="47"/>
    <n v="116"/>
    <n v="119"/>
  </r>
  <r>
    <x v="3"/>
    <x v="2"/>
    <n v="151"/>
    <n v="3"/>
    <m/>
    <n v="22"/>
    <n v="3"/>
    <n v="12"/>
    <n v="25"/>
    <n v="86"/>
  </r>
  <r>
    <x v="3"/>
    <x v="3"/>
    <n v="182"/>
    <n v="15"/>
    <n v="4"/>
    <m/>
    <n v="101"/>
    <n v="11"/>
    <n v="9"/>
    <n v="42"/>
  </r>
  <r>
    <x v="4"/>
    <x v="0"/>
    <n v="2868"/>
    <m/>
    <m/>
    <n v="588"/>
    <n v="1905"/>
    <m/>
    <m/>
    <n v="375"/>
  </r>
  <r>
    <x v="4"/>
    <x v="1"/>
    <n v="379"/>
    <n v="16"/>
    <m/>
    <n v="63"/>
    <n v="29"/>
    <n v="46"/>
    <n v="115"/>
    <n v="110"/>
  </r>
  <r>
    <x v="4"/>
    <x v="2"/>
    <n v="156"/>
    <n v="3"/>
    <m/>
    <n v="38"/>
    <m/>
    <n v="15"/>
    <n v="29"/>
    <n v="71"/>
  </r>
  <r>
    <x v="4"/>
    <x v="3"/>
    <n v="143"/>
    <n v="15"/>
    <n v="4"/>
    <m/>
    <n v="55"/>
    <n v="13"/>
    <n v="9"/>
    <n v="47"/>
  </r>
  <r>
    <x v="5"/>
    <x v="0"/>
    <n v="2955"/>
    <m/>
    <m/>
    <n v="592"/>
    <n v="1986"/>
    <m/>
    <m/>
    <n v="377"/>
  </r>
  <r>
    <x v="5"/>
    <x v="1"/>
    <n v="387"/>
    <n v="16"/>
    <m/>
    <n v="54"/>
    <n v="29"/>
    <n v="49"/>
    <n v="115"/>
    <n v="124"/>
  </r>
  <r>
    <x v="5"/>
    <x v="2"/>
    <n v="146"/>
    <n v="3"/>
    <m/>
    <n v="41"/>
    <m/>
    <n v="14"/>
    <n v="24"/>
    <n v="64"/>
  </r>
  <r>
    <x v="5"/>
    <x v="3"/>
    <n v="149"/>
    <n v="14"/>
    <n v="4"/>
    <m/>
    <n v="60"/>
    <n v="17"/>
    <n v="8"/>
    <n v="46"/>
  </r>
  <r>
    <x v="6"/>
    <x v="0"/>
    <n v="2966"/>
    <m/>
    <m/>
    <n v="597"/>
    <n v="1993"/>
    <m/>
    <m/>
    <n v="376"/>
  </r>
  <r>
    <x v="6"/>
    <x v="1"/>
    <n v="383"/>
    <n v="16"/>
    <m/>
    <n v="58"/>
    <n v="28"/>
    <n v="50"/>
    <n v="118"/>
    <n v="113"/>
  </r>
  <r>
    <x v="6"/>
    <x v="2"/>
    <n v="197"/>
    <n v="6"/>
    <m/>
    <n v="33"/>
    <m/>
    <n v="17"/>
    <n v="29"/>
    <n v="112"/>
  </r>
  <r>
    <x v="6"/>
    <x v="3"/>
    <n v="90"/>
    <n v="9"/>
    <n v="6"/>
    <m/>
    <n v="49"/>
    <n v="13"/>
    <n v="6"/>
    <n v="7"/>
  </r>
</pivotCacheRecords>
</file>

<file path=xl/pivotCache/pivotCacheRecords29.xml><?xml version="1.0" encoding="utf-8"?>
<pivotCacheRecords xmlns="http://schemas.openxmlformats.org/spreadsheetml/2006/main" xmlns:r="http://schemas.openxmlformats.org/officeDocument/2006/relationships" count="28">
  <r>
    <x v="0"/>
    <x v="0"/>
    <n v="6691"/>
    <m/>
    <n v="2940"/>
    <m/>
    <m/>
    <n v="359"/>
    <n v="3392"/>
  </r>
  <r>
    <x v="0"/>
    <x v="1"/>
    <n v="285"/>
    <m/>
    <m/>
    <m/>
    <m/>
    <m/>
    <n v="285"/>
  </r>
  <r>
    <x v="0"/>
    <x v="2"/>
    <n v="992"/>
    <m/>
    <m/>
    <m/>
    <n v="724"/>
    <m/>
    <n v="268"/>
  </r>
  <r>
    <x v="0"/>
    <x v="3"/>
    <n v="516"/>
    <n v="223"/>
    <m/>
    <m/>
    <n v="237"/>
    <m/>
    <n v="56"/>
  </r>
  <r>
    <x v="1"/>
    <x v="0"/>
    <n v="6613"/>
    <m/>
    <n v="2950"/>
    <m/>
    <m/>
    <n v="378"/>
    <n v="3285"/>
  </r>
  <r>
    <x v="1"/>
    <x v="1"/>
    <n v="270"/>
    <m/>
    <m/>
    <m/>
    <m/>
    <m/>
    <n v="270"/>
  </r>
  <r>
    <x v="1"/>
    <x v="2"/>
    <n v="880"/>
    <m/>
    <m/>
    <m/>
    <n v="629"/>
    <m/>
    <n v="251"/>
  </r>
  <r>
    <x v="1"/>
    <x v="3"/>
    <n v="518"/>
    <n v="230"/>
    <m/>
    <m/>
    <n v="238"/>
    <m/>
    <n v="50"/>
  </r>
  <r>
    <x v="2"/>
    <x v="0"/>
    <n v="6237"/>
    <m/>
    <n v="2870"/>
    <m/>
    <m/>
    <n v="342"/>
    <n v="3025"/>
  </r>
  <r>
    <x v="2"/>
    <x v="1"/>
    <n v="385"/>
    <m/>
    <m/>
    <m/>
    <m/>
    <m/>
    <n v="385"/>
  </r>
  <r>
    <x v="2"/>
    <x v="2"/>
    <n v="616"/>
    <m/>
    <m/>
    <m/>
    <n v="531"/>
    <m/>
    <n v="85"/>
  </r>
  <r>
    <x v="2"/>
    <x v="3"/>
    <n v="695"/>
    <n v="203"/>
    <m/>
    <m/>
    <n v="297"/>
    <m/>
    <n v="195"/>
  </r>
  <r>
    <x v="3"/>
    <x v="0"/>
    <n v="6109"/>
    <m/>
    <n v="2870"/>
    <m/>
    <m/>
    <n v="320"/>
    <n v="2923"/>
  </r>
  <r>
    <x v="3"/>
    <x v="1"/>
    <n v="389"/>
    <m/>
    <m/>
    <m/>
    <m/>
    <m/>
    <n v="389"/>
  </r>
  <r>
    <x v="3"/>
    <x v="2"/>
    <n v="722"/>
    <m/>
    <m/>
    <m/>
    <n v="571"/>
    <m/>
    <n v="151"/>
  </r>
  <r>
    <x v="3"/>
    <x v="3"/>
    <n v="614"/>
    <n v="165"/>
    <m/>
    <m/>
    <n v="267"/>
    <m/>
    <n v="182"/>
  </r>
  <r>
    <x v="4"/>
    <x v="0"/>
    <n v="6063"/>
    <m/>
    <n v="2863"/>
    <m/>
    <m/>
    <n v="336"/>
    <n v="2868"/>
  </r>
  <r>
    <x v="4"/>
    <x v="1"/>
    <n v="379"/>
    <m/>
    <m/>
    <m/>
    <m/>
    <m/>
    <n v="379"/>
  </r>
  <r>
    <x v="4"/>
    <x v="2"/>
    <n v="725"/>
    <m/>
    <m/>
    <m/>
    <n v="569"/>
    <m/>
    <n v="156"/>
  </r>
  <r>
    <x v="4"/>
    <x v="3"/>
    <n v="609"/>
    <n v="189"/>
    <m/>
    <m/>
    <n v="277"/>
    <m/>
    <n v="143"/>
  </r>
  <r>
    <x v="5"/>
    <x v="0"/>
    <n v="6211"/>
    <m/>
    <n v="2935"/>
    <m/>
    <m/>
    <n v="321"/>
    <n v="2955"/>
  </r>
  <r>
    <x v="5"/>
    <x v="1"/>
    <n v="405"/>
    <m/>
    <m/>
    <n v="18"/>
    <m/>
    <m/>
    <n v="387"/>
  </r>
  <r>
    <x v="5"/>
    <x v="2"/>
    <n v="635"/>
    <m/>
    <m/>
    <m/>
    <n v="489"/>
    <m/>
    <n v="146"/>
  </r>
  <r>
    <x v="5"/>
    <x v="3"/>
    <n v="659"/>
    <n v="207"/>
    <m/>
    <m/>
    <n v="303"/>
    <m/>
    <n v="149"/>
  </r>
  <r>
    <x v="6"/>
    <x v="0"/>
    <n v="6218"/>
    <m/>
    <n v="2937"/>
    <m/>
    <m/>
    <n v="315"/>
    <n v="2966"/>
  </r>
  <r>
    <x v="6"/>
    <x v="1"/>
    <n v="419"/>
    <m/>
    <m/>
    <n v="36"/>
    <m/>
    <m/>
    <n v="383"/>
  </r>
  <r>
    <x v="6"/>
    <x v="2"/>
    <n v="666"/>
    <m/>
    <m/>
    <m/>
    <n v="469"/>
    <m/>
    <n v="197"/>
  </r>
  <r>
    <x v="6"/>
    <x v="3"/>
    <n v="627"/>
    <n v="188"/>
    <m/>
    <m/>
    <n v="349"/>
    <m/>
    <n v="90"/>
  </r>
</pivotCacheRecords>
</file>

<file path=xl/pivotCache/pivotCacheRecords3.xml><?xml version="1.0" encoding="utf-8"?>
<pivotCacheRecords xmlns="http://schemas.openxmlformats.org/spreadsheetml/2006/main" xmlns:r="http://schemas.openxmlformats.org/officeDocument/2006/relationships" count="99">
  <r>
    <x v="0"/>
    <x v="0"/>
    <s v="S12000005"/>
    <x v="0"/>
    <n v="25"/>
    <m/>
    <m/>
    <n v="25"/>
    <m/>
  </r>
  <r>
    <x v="0"/>
    <x v="0"/>
    <s v="S12000006"/>
    <x v="1"/>
    <n v="53"/>
    <m/>
    <m/>
    <n v="53"/>
    <m/>
  </r>
  <r>
    <x v="0"/>
    <x v="0"/>
    <s v="S12000008"/>
    <x v="2"/>
    <n v="47"/>
    <m/>
    <m/>
    <n v="47"/>
    <m/>
  </r>
  <r>
    <x v="0"/>
    <x v="0"/>
    <s v="S12000010"/>
    <x v="3"/>
    <n v="24"/>
    <m/>
    <m/>
    <n v="24"/>
    <m/>
  </r>
  <r>
    <x v="0"/>
    <x v="0"/>
    <s v="S12000011"/>
    <x v="4"/>
    <n v="52"/>
    <m/>
    <m/>
    <n v="52"/>
    <m/>
  </r>
  <r>
    <x v="0"/>
    <x v="0"/>
    <s v="S12000014"/>
    <x v="5"/>
    <n v="88"/>
    <m/>
    <m/>
    <n v="88"/>
    <m/>
  </r>
  <r>
    <x v="0"/>
    <x v="0"/>
    <s v="S12000017"/>
    <x v="6"/>
    <n v="70"/>
    <m/>
    <m/>
    <n v="70"/>
    <m/>
  </r>
  <r>
    <x v="0"/>
    <x v="0"/>
    <s v="S12000018"/>
    <x v="7"/>
    <n v="72"/>
    <m/>
    <m/>
    <n v="72"/>
    <m/>
  </r>
  <r>
    <x v="0"/>
    <x v="0"/>
    <s v="S12000019"/>
    <x v="8"/>
    <n v="26"/>
    <m/>
    <m/>
    <n v="26"/>
    <m/>
  </r>
  <r>
    <x v="0"/>
    <x v="0"/>
    <s v="S12000020"/>
    <x v="9"/>
    <n v="30"/>
    <m/>
    <m/>
    <n v="30"/>
    <m/>
  </r>
  <r>
    <x v="0"/>
    <x v="0"/>
    <s v="S12000021"/>
    <x v="10"/>
    <n v="76"/>
    <m/>
    <m/>
    <n v="76"/>
    <m/>
  </r>
  <r>
    <x v="0"/>
    <x v="0"/>
    <s v="S12000024"/>
    <x v="11"/>
    <n v="69"/>
    <m/>
    <m/>
    <n v="69"/>
    <m/>
  </r>
  <r>
    <x v="0"/>
    <x v="0"/>
    <s v="S12000026"/>
    <x v="12"/>
    <n v="56"/>
    <m/>
    <m/>
    <n v="56"/>
    <m/>
  </r>
  <r>
    <x v="0"/>
    <x v="0"/>
    <s v="S12000028"/>
    <x v="13"/>
    <n v="50"/>
    <m/>
    <m/>
    <n v="50"/>
    <m/>
  </r>
  <r>
    <x v="0"/>
    <x v="0"/>
    <s v="S12000029"/>
    <x v="14"/>
    <n v="167"/>
    <m/>
    <m/>
    <n v="167"/>
    <m/>
  </r>
  <r>
    <x v="0"/>
    <x v="0"/>
    <s v="S12000030"/>
    <x v="15"/>
    <n v="49"/>
    <m/>
    <m/>
    <n v="49"/>
    <m/>
  </r>
  <r>
    <x v="0"/>
    <x v="0"/>
    <s v="S12000033"/>
    <x v="16"/>
    <n v="154"/>
    <m/>
    <m/>
    <n v="154"/>
    <m/>
  </r>
  <r>
    <x v="0"/>
    <x v="0"/>
    <s v="S12000034"/>
    <x v="17"/>
    <n v="30"/>
    <m/>
    <m/>
    <n v="30"/>
    <m/>
  </r>
  <r>
    <x v="0"/>
    <x v="0"/>
    <s v="S12000035"/>
    <x v="18"/>
    <n v="54"/>
    <m/>
    <m/>
    <n v="54"/>
    <m/>
  </r>
  <r>
    <x v="0"/>
    <x v="0"/>
    <s v="S12000036"/>
    <x v="19"/>
    <n v="297"/>
    <m/>
    <m/>
    <n v="297"/>
    <m/>
  </r>
  <r>
    <x v="0"/>
    <x v="0"/>
    <s v="S12000038"/>
    <x v="20"/>
    <n v="99"/>
    <m/>
    <m/>
    <n v="99"/>
    <m/>
  </r>
  <r>
    <x v="0"/>
    <x v="0"/>
    <s v="S12000039"/>
    <x v="21"/>
    <n v="73"/>
    <m/>
    <m/>
    <n v="73"/>
    <m/>
  </r>
  <r>
    <x v="0"/>
    <x v="0"/>
    <s v="S12000040"/>
    <x v="22"/>
    <n v="56"/>
    <m/>
    <m/>
    <n v="56"/>
    <m/>
  </r>
  <r>
    <x v="0"/>
    <x v="0"/>
    <s v="S12000041"/>
    <x v="23"/>
    <n v="28"/>
    <m/>
    <m/>
    <n v="28"/>
    <m/>
  </r>
  <r>
    <x v="0"/>
    <x v="0"/>
    <s v="S12000042"/>
    <x v="24"/>
    <n v="177"/>
    <m/>
    <m/>
    <n v="177"/>
    <m/>
  </r>
  <r>
    <x v="0"/>
    <x v="0"/>
    <s v="S12000044"/>
    <x v="25"/>
    <n v="166"/>
    <m/>
    <m/>
    <n v="166"/>
    <m/>
  </r>
  <r>
    <x v="0"/>
    <x v="0"/>
    <s v="S12000045"/>
    <x v="26"/>
    <n v="78"/>
    <m/>
    <m/>
    <n v="78"/>
    <m/>
  </r>
  <r>
    <x v="0"/>
    <x v="0"/>
    <s v="S12000046"/>
    <x v="27"/>
    <n v="515"/>
    <m/>
    <m/>
    <n v="515"/>
    <m/>
  </r>
  <r>
    <x v="0"/>
    <x v="0"/>
    <s v="S12000047"/>
    <x v="28"/>
    <n v="274"/>
    <m/>
    <m/>
    <n v="274"/>
    <m/>
  </r>
  <r>
    <x v="0"/>
    <x v="1"/>
    <s v="S39000001"/>
    <x v="16"/>
    <n v="16"/>
    <n v="9"/>
    <n v="7"/>
    <m/>
    <m/>
  </r>
  <r>
    <x v="0"/>
    <x v="1"/>
    <s v="S39000002"/>
    <x v="29"/>
    <n v="25"/>
    <n v="14"/>
    <n v="11"/>
    <m/>
    <m/>
  </r>
  <r>
    <x v="0"/>
    <x v="1"/>
    <s v="S39000003"/>
    <x v="30"/>
    <n v="26"/>
    <n v="14"/>
    <n v="12"/>
    <m/>
    <m/>
  </r>
  <r>
    <x v="0"/>
    <x v="1"/>
    <s v="S39000004"/>
    <x v="1"/>
    <n v="22"/>
    <n v="13"/>
    <n v="9"/>
    <m/>
    <m/>
  </r>
  <r>
    <x v="0"/>
    <x v="1"/>
    <s v="S39000006"/>
    <x v="31"/>
    <n v="25"/>
    <n v="12"/>
    <n v="13"/>
    <m/>
    <m/>
  </r>
  <r>
    <x v="0"/>
    <x v="1"/>
    <s v="S39000007"/>
    <x v="32"/>
    <n v="25"/>
    <n v="14"/>
    <n v="11"/>
    <m/>
    <m/>
  </r>
  <r>
    <x v="0"/>
    <x v="1"/>
    <s v="S39000008"/>
    <x v="33"/>
    <n v="14"/>
    <n v="5"/>
    <n v="9"/>
    <m/>
    <m/>
  </r>
  <r>
    <x v="0"/>
    <x v="1"/>
    <s v="S39000009"/>
    <x v="34"/>
    <n v="30"/>
    <n v="20"/>
    <n v="10"/>
    <m/>
    <m/>
  </r>
  <r>
    <x v="0"/>
    <x v="1"/>
    <s v="S39000010"/>
    <x v="35"/>
    <n v="20"/>
    <n v="11"/>
    <n v="9"/>
    <m/>
    <m/>
  </r>
  <r>
    <x v="0"/>
    <x v="1"/>
    <s v="S39000012"/>
    <x v="27"/>
    <n v="25"/>
    <n v="11"/>
    <n v="14"/>
    <m/>
    <m/>
  </r>
  <r>
    <x v="0"/>
    <x v="1"/>
    <s v="S39000013"/>
    <x v="36"/>
    <n v="45"/>
    <n v="26"/>
    <n v="19"/>
    <m/>
    <m/>
  </r>
  <r>
    <x v="0"/>
    <x v="1"/>
    <s v="S39000014"/>
    <x v="25"/>
    <n v="17"/>
    <n v="9"/>
    <n v="8"/>
    <m/>
    <m/>
  </r>
  <r>
    <x v="0"/>
    <x v="1"/>
    <s v="S39000015"/>
    <x v="14"/>
    <n v="16"/>
    <n v="7"/>
    <n v="9"/>
    <m/>
    <m/>
  </r>
  <r>
    <x v="0"/>
    <x v="1"/>
    <s v="S39000016"/>
    <x v="37"/>
    <n v="18"/>
    <n v="9"/>
    <n v="9"/>
    <m/>
    <m/>
  </r>
  <r>
    <x v="0"/>
    <x v="1"/>
    <s v="S39000017"/>
    <x v="38"/>
    <n v="16"/>
    <n v="7"/>
    <n v="9"/>
    <m/>
    <m/>
  </r>
  <r>
    <x v="0"/>
    <x v="1"/>
    <s v="S39000018"/>
    <x v="39"/>
    <n v="29"/>
    <n v="16"/>
    <n v="13"/>
    <m/>
    <m/>
  </r>
  <r>
    <x v="0"/>
    <x v="1"/>
    <s v="S39000019"/>
    <x v="28"/>
    <n v="18"/>
    <n v="10"/>
    <n v="8"/>
    <m/>
    <m/>
  </r>
  <r>
    <x v="0"/>
    <x v="2"/>
    <s v="S40000003"/>
    <x v="40"/>
    <n v="79"/>
    <n v="61"/>
    <n v="18"/>
    <m/>
    <m/>
  </r>
  <r>
    <x v="0"/>
    <x v="2"/>
    <s v="S40000004"/>
    <x v="41"/>
    <n v="37"/>
    <n v="26"/>
    <n v="11"/>
    <m/>
    <m/>
  </r>
  <r>
    <x v="0"/>
    <x v="2"/>
    <s v="S40000005"/>
    <x v="42"/>
    <n v="30"/>
    <n v="18"/>
    <n v="12"/>
    <m/>
    <m/>
  </r>
  <r>
    <x v="0"/>
    <x v="3"/>
    <s v="S92000003"/>
    <x v="43"/>
    <n v="149"/>
    <n v="46"/>
    <n v="43"/>
    <m/>
    <n v="60"/>
  </r>
  <r>
    <x v="1"/>
    <x v="0"/>
    <s v="S40000003"/>
    <x v="18"/>
    <n v="53"/>
    <m/>
    <m/>
    <n v="53"/>
    <m/>
  </r>
  <r>
    <x v="1"/>
    <x v="0"/>
    <s v="S40000003"/>
    <x v="1"/>
    <n v="52"/>
    <m/>
    <m/>
    <n v="52"/>
    <m/>
  </r>
  <r>
    <x v="1"/>
    <x v="0"/>
    <s v="S40000003"/>
    <x v="2"/>
    <n v="49"/>
    <m/>
    <m/>
    <n v="49"/>
    <m/>
  </r>
  <r>
    <x v="1"/>
    <x v="0"/>
    <s v="S40000003"/>
    <x v="26"/>
    <n v="79"/>
    <m/>
    <m/>
    <n v="79"/>
    <m/>
  </r>
  <r>
    <x v="1"/>
    <x v="0"/>
    <s v="S40000003"/>
    <x v="4"/>
    <n v="50"/>
    <m/>
    <m/>
    <n v="50"/>
    <m/>
  </r>
  <r>
    <x v="1"/>
    <x v="0"/>
    <s v="S40000003"/>
    <x v="27"/>
    <n v="517"/>
    <m/>
    <m/>
    <n v="517"/>
    <m/>
  </r>
  <r>
    <x v="1"/>
    <x v="0"/>
    <s v="S40000003"/>
    <x v="7"/>
    <n v="70"/>
    <m/>
    <m/>
    <n v="70"/>
    <m/>
  </r>
  <r>
    <x v="1"/>
    <x v="0"/>
    <s v="S40000003"/>
    <x v="10"/>
    <n v="75"/>
    <m/>
    <m/>
    <n v="75"/>
    <m/>
  </r>
  <r>
    <x v="1"/>
    <x v="0"/>
    <s v="S40000003"/>
    <x v="25"/>
    <n v="163"/>
    <m/>
    <m/>
    <n v="163"/>
    <m/>
  </r>
  <r>
    <x v="1"/>
    <x v="0"/>
    <s v="S40000003"/>
    <x v="20"/>
    <n v="102"/>
    <m/>
    <m/>
    <n v="102"/>
    <m/>
  </r>
  <r>
    <x v="1"/>
    <x v="0"/>
    <s v="S40000003"/>
    <x v="13"/>
    <n v="50"/>
    <m/>
    <m/>
    <n v="50"/>
    <m/>
  </r>
  <r>
    <x v="1"/>
    <x v="0"/>
    <s v="S40000003"/>
    <x v="14"/>
    <n v="168"/>
    <m/>
    <m/>
    <n v="168"/>
    <m/>
  </r>
  <r>
    <x v="1"/>
    <x v="0"/>
    <s v="S40000003"/>
    <x v="21"/>
    <n v="73"/>
    <m/>
    <m/>
    <n v="73"/>
    <m/>
  </r>
  <r>
    <x v="1"/>
    <x v="0"/>
    <s v="S40000004"/>
    <x v="19"/>
    <n v="306"/>
    <m/>
    <m/>
    <n v="306"/>
    <m/>
  </r>
  <r>
    <x v="1"/>
    <x v="0"/>
    <s v="S40000004"/>
    <x v="0"/>
    <n v="25"/>
    <m/>
    <m/>
    <n v="25"/>
    <m/>
  </r>
  <r>
    <x v="1"/>
    <x v="0"/>
    <s v="S40000004"/>
    <x v="3"/>
    <n v="25"/>
    <m/>
    <m/>
    <n v="25"/>
    <m/>
  </r>
  <r>
    <x v="1"/>
    <x v="0"/>
    <s v="S40000004"/>
    <x v="5"/>
    <n v="88"/>
    <m/>
    <m/>
    <n v="88"/>
    <m/>
  </r>
  <r>
    <x v="1"/>
    <x v="0"/>
    <s v="S40000004"/>
    <x v="28"/>
    <n v="269"/>
    <m/>
    <m/>
    <n v="269"/>
    <m/>
  </r>
  <r>
    <x v="1"/>
    <x v="0"/>
    <s v="S40000004"/>
    <x v="8"/>
    <n v="26"/>
    <m/>
    <m/>
    <n v="26"/>
    <m/>
  </r>
  <r>
    <x v="1"/>
    <x v="0"/>
    <s v="S40000004"/>
    <x v="12"/>
    <n v="53"/>
    <m/>
    <m/>
    <n v="53"/>
    <m/>
  </r>
  <r>
    <x v="1"/>
    <x v="0"/>
    <s v="S40000004"/>
    <x v="15"/>
    <n v="51"/>
    <m/>
    <m/>
    <n v="51"/>
    <m/>
  </r>
  <r>
    <x v="1"/>
    <x v="0"/>
    <s v="S40000004"/>
    <x v="22"/>
    <n v="58"/>
    <m/>
    <m/>
    <n v="58"/>
    <m/>
  </r>
  <r>
    <x v="1"/>
    <x v="0"/>
    <s v="S40000005"/>
    <x v="16"/>
    <n v="155"/>
    <m/>
    <m/>
    <n v="155"/>
    <m/>
  </r>
  <r>
    <x v="1"/>
    <x v="0"/>
    <s v="S40000005"/>
    <x v="17"/>
    <n v="32"/>
    <m/>
    <m/>
    <n v="32"/>
    <m/>
  </r>
  <r>
    <x v="1"/>
    <x v="0"/>
    <s v="S40000005"/>
    <x v="23"/>
    <n v="27"/>
    <m/>
    <m/>
    <n v="27"/>
    <m/>
  </r>
  <r>
    <x v="1"/>
    <x v="0"/>
    <s v="S40000005"/>
    <x v="24"/>
    <n v="182"/>
    <m/>
    <m/>
    <n v="182"/>
    <m/>
  </r>
  <r>
    <x v="1"/>
    <x v="0"/>
    <s v="S40000005"/>
    <x v="6"/>
    <n v="71"/>
    <m/>
    <m/>
    <n v="71"/>
    <m/>
  </r>
  <r>
    <x v="1"/>
    <x v="0"/>
    <s v="S40000005"/>
    <x v="9"/>
    <n v="30"/>
    <m/>
    <m/>
    <n v="30"/>
    <m/>
  </r>
  <r>
    <x v="1"/>
    <x v="0"/>
    <s v="S40000005"/>
    <x v="11"/>
    <n v="67"/>
    <m/>
    <m/>
    <n v="67"/>
    <m/>
  </r>
  <r>
    <x v="1"/>
    <x v="1"/>
    <m/>
    <x v="44"/>
    <n v="38"/>
    <n v="21"/>
    <n v="17"/>
    <m/>
    <m/>
  </r>
  <r>
    <x v="1"/>
    <x v="1"/>
    <s v="S40000003"/>
    <x v="30"/>
    <n v="28"/>
    <n v="16"/>
    <n v="12"/>
    <m/>
    <m/>
  </r>
  <r>
    <x v="1"/>
    <x v="1"/>
    <s v="S40000003"/>
    <x v="1"/>
    <n v="22"/>
    <n v="13"/>
    <n v="9"/>
    <m/>
    <m/>
  </r>
  <r>
    <x v="1"/>
    <x v="1"/>
    <s v="S40000003"/>
    <x v="31"/>
    <n v="28"/>
    <n v="14"/>
    <n v="14"/>
    <m/>
    <m/>
  </r>
  <r>
    <x v="1"/>
    <x v="1"/>
    <s v="S40000003"/>
    <x v="33"/>
    <n v="13"/>
    <n v="4"/>
    <n v="9"/>
    <m/>
    <m/>
  </r>
  <r>
    <x v="1"/>
    <x v="1"/>
    <s v="S40000003"/>
    <x v="27"/>
    <n v="25"/>
    <n v="9"/>
    <n v="16"/>
    <m/>
    <m/>
  </r>
  <r>
    <x v="1"/>
    <x v="1"/>
    <s v="S40000003"/>
    <x v="25"/>
    <n v="16"/>
    <n v="8"/>
    <n v="8"/>
    <m/>
    <m/>
  </r>
  <r>
    <x v="1"/>
    <x v="1"/>
    <s v="S40000003"/>
    <x v="14"/>
    <n v="16"/>
    <n v="7"/>
    <n v="9"/>
    <m/>
    <m/>
  </r>
  <r>
    <x v="1"/>
    <x v="1"/>
    <s v="S40000004"/>
    <x v="32"/>
    <n v="29"/>
    <n v="18"/>
    <n v="11"/>
    <m/>
    <m/>
  </r>
  <r>
    <x v="1"/>
    <x v="1"/>
    <s v="S40000004"/>
    <x v="34"/>
    <n v="28"/>
    <n v="18"/>
    <n v="10"/>
    <m/>
    <m/>
  </r>
  <r>
    <x v="1"/>
    <x v="1"/>
    <s v="S40000004"/>
    <x v="35"/>
    <n v="19"/>
    <n v="10"/>
    <n v="9"/>
    <m/>
    <m/>
  </r>
  <r>
    <x v="1"/>
    <x v="1"/>
    <s v="S40000005"/>
    <x v="16"/>
    <n v="13"/>
    <n v="7"/>
    <n v="6"/>
    <m/>
    <m/>
  </r>
  <r>
    <x v="1"/>
    <x v="1"/>
    <s v="S40000005"/>
    <x v="29"/>
    <n v="25"/>
    <n v="12"/>
    <n v="13"/>
    <m/>
    <m/>
  </r>
  <r>
    <x v="1"/>
    <x v="1"/>
    <s v="S40000005"/>
    <x v="39"/>
    <n v="31"/>
    <n v="17"/>
    <n v="14"/>
    <m/>
    <m/>
  </r>
  <r>
    <x v="1"/>
    <x v="1"/>
    <s v="S40000005"/>
    <x v="36"/>
    <n v="38"/>
    <n v="20"/>
    <n v="18"/>
    <m/>
    <m/>
  </r>
  <r>
    <x v="1"/>
    <x v="1"/>
    <s v="S40000005"/>
    <x v="38"/>
    <n v="14"/>
    <n v="5"/>
    <n v="9"/>
    <m/>
    <m/>
  </r>
  <r>
    <x v="1"/>
    <x v="2"/>
    <s v="S40000003"/>
    <x v="40"/>
    <n v="103"/>
    <n v="76"/>
    <n v="27"/>
    <m/>
    <m/>
  </r>
  <r>
    <x v="1"/>
    <x v="2"/>
    <s v="S40000004"/>
    <x v="41"/>
    <n v="52"/>
    <n v="39"/>
    <n v="13"/>
    <m/>
    <m/>
  </r>
  <r>
    <x v="1"/>
    <x v="2"/>
    <s v="S40000005"/>
    <x v="42"/>
    <n v="42"/>
    <n v="30"/>
    <n v="12"/>
    <m/>
    <m/>
  </r>
  <r>
    <x v="1"/>
    <x v="3"/>
    <s v="S92000003"/>
    <x v="43"/>
    <n v="90"/>
    <n v="7"/>
    <n v="34"/>
    <m/>
    <n v="49"/>
  </r>
</pivotCacheRecords>
</file>

<file path=xl/pivotCache/pivotCacheRecords30.xml><?xml version="1.0" encoding="utf-8"?>
<pivotCacheRecords xmlns="http://schemas.openxmlformats.org/spreadsheetml/2006/main" xmlns:r="http://schemas.openxmlformats.org/officeDocument/2006/relationships" count="361">
  <r>
    <x v="0"/>
    <x v="0"/>
    <s v="S12000005"/>
    <x v="0"/>
    <n v="43"/>
    <m/>
    <m/>
    <n v="9"/>
    <n v="30"/>
    <m/>
    <n v="0"/>
    <n v="4"/>
  </r>
  <r>
    <x v="0"/>
    <x v="0"/>
    <s v="S12000006"/>
    <x v="1"/>
    <n v="69"/>
    <m/>
    <m/>
    <n v="11"/>
    <n v="53"/>
    <m/>
    <n v="0"/>
    <n v="5"/>
  </r>
  <r>
    <x v="0"/>
    <x v="0"/>
    <s v="S12000008"/>
    <x v="2"/>
    <n v="59"/>
    <m/>
    <m/>
    <n v="11"/>
    <n v="40"/>
    <m/>
    <n v="0"/>
    <n v="8"/>
  </r>
  <r>
    <x v="0"/>
    <x v="0"/>
    <s v="S12000010"/>
    <x v="3"/>
    <n v="29"/>
    <m/>
    <m/>
    <n v="5"/>
    <n v="21"/>
    <m/>
    <n v="0"/>
    <n v="3"/>
  </r>
  <r>
    <x v="0"/>
    <x v="0"/>
    <s v="S12000011"/>
    <x v="4"/>
    <n v="59"/>
    <m/>
    <m/>
    <n v="14"/>
    <n v="34"/>
    <m/>
    <n v="0"/>
    <n v="11"/>
  </r>
  <r>
    <x v="0"/>
    <x v="0"/>
    <s v="S12000013"/>
    <x v="5"/>
    <n v="0"/>
    <m/>
    <m/>
    <n v="0"/>
    <n v="0"/>
    <m/>
    <n v="0"/>
    <n v="0"/>
  </r>
  <r>
    <x v="0"/>
    <x v="0"/>
    <s v="S12000014"/>
    <x v="6"/>
    <n v="96"/>
    <m/>
    <m/>
    <n v="18"/>
    <n v="65"/>
    <m/>
    <n v="1"/>
    <n v="12"/>
  </r>
  <r>
    <x v="0"/>
    <x v="0"/>
    <s v="S12000017"/>
    <x v="7"/>
    <n v="81"/>
    <m/>
    <m/>
    <n v="9"/>
    <n v="60"/>
    <m/>
    <n v="2"/>
    <n v="10"/>
  </r>
  <r>
    <x v="0"/>
    <x v="0"/>
    <s v="S12000018"/>
    <x v="8"/>
    <n v="78"/>
    <m/>
    <m/>
    <n v="18"/>
    <n v="49"/>
    <m/>
    <n v="0"/>
    <n v="11"/>
  </r>
  <r>
    <x v="0"/>
    <x v="0"/>
    <s v="S12000019"/>
    <x v="9"/>
    <n v="35"/>
    <m/>
    <m/>
    <n v="4"/>
    <n v="26"/>
    <m/>
    <n v="0"/>
    <n v="5"/>
  </r>
  <r>
    <x v="0"/>
    <x v="0"/>
    <s v="S12000020"/>
    <x v="10"/>
    <n v="20"/>
    <m/>
    <m/>
    <n v="2"/>
    <n v="15"/>
    <m/>
    <n v="0"/>
    <n v="3"/>
  </r>
  <r>
    <x v="0"/>
    <x v="0"/>
    <s v="S12000021"/>
    <x v="11"/>
    <n v="76"/>
    <m/>
    <m/>
    <n v="13"/>
    <n v="50"/>
    <m/>
    <n v="0"/>
    <n v="13"/>
  </r>
  <r>
    <x v="0"/>
    <x v="0"/>
    <s v="S12000023"/>
    <x v="12"/>
    <n v="0"/>
    <m/>
    <m/>
    <n v="0"/>
    <n v="0"/>
    <m/>
    <n v="0"/>
    <n v="0"/>
  </r>
  <r>
    <x v="0"/>
    <x v="0"/>
    <s v="S12000024"/>
    <x v="13"/>
    <n v="88"/>
    <m/>
    <m/>
    <n v="14"/>
    <n v="61"/>
    <m/>
    <n v="2"/>
    <n v="11"/>
  </r>
  <r>
    <x v="0"/>
    <x v="0"/>
    <s v="S12000026"/>
    <x v="14"/>
    <n v="75"/>
    <m/>
    <m/>
    <n v="11"/>
    <n v="54"/>
    <m/>
    <n v="0"/>
    <n v="10"/>
  </r>
  <r>
    <x v="0"/>
    <x v="0"/>
    <s v="S12000027"/>
    <x v="15"/>
    <n v="0"/>
    <m/>
    <m/>
    <n v="0"/>
    <n v="0"/>
    <m/>
    <n v="0"/>
    <n v="0"/>
  </r>
  <r>
    <x v="0"/>
    <x v="0"/>
    <s v="S12000028"/>
    <x v="16"/>
    <n v="65"/>
    <m/>
    <m/>
    <n v="10"/>
    <n v="47"/>
    <m/>
    <n v="0"/>
    <n v="8"/>
  </r>
  <r>
    <x v="0"/>
    <x v="0"/>
    <s v="S12000029"/>
    <x v="17"/>
    <n v="190"/>
    <m/>
    <m/>
    <n v="33"/>
    <n v="129"/>
    <m/>
    <n v="2"/>
    <n v="26"/>
  </r>
  <r>
    <x v="0"/>
    <x v="0"/>
    <s v="S12000030"/>
    <x v="18"/>
    <n v="62"/>
    <m/>
    <m/>
    <n v="10"/>
    <n v="42"/>
    <m/>
    <n v="0"/>
    <n v="10"/>
  </r>
  <r>
    <x v="0"/>
    <x v="0"/>
    <s v="S12000033"/>
    <x v="19"/>
    <n v="174"/>
    <m/>
    <m/>
    <n v="24"/>
    <n v="128"/>
    <m/>
    <n v="0"/>
    <n v="22"/>
  </r>
  <r>
    <x v="0"/>
    <x v="0"/>
    <s v="S12000034"/>
    <x v="20"/>
    <n v="23"/>
    <m/>
    <m/>
    <n v="3"/>
    <n v="16"/>
    <m/>
    <n v="0"/>
    <n v="4"/>
  </r>
  <r>
    <x v="0"/>
    <x v="0"/>
    <s v="S12000035"/>
    <x v="21"/>
    <n v="58"/>
    <m/>
    <m/>
    <n v="10"/>
    <n v="31"/>
    <m/>
    <n v="2"/>
    <n v="15"/>
  </r>
  <r>
    <x v="0"/>
    <x v="0"/>
    <s v="S12000036"/>
    <x v="22"/>
    <n v="370"/>
    <m/>
    <m/>
    <n v="70"/>
    <n v="275"/>
    <m/>
    <n v="0"/>
    <n v="25"/>
  </r>
  <r>
    <x v="0"/>
    <x v="0"/>
    <s v="S12000038"/>
    <x v="23"/>
    <n v="116"/>
    <m/>
    <m/>
    <n v="22"/>
    <n v="74"/>
    <m/>
    <n v="1"/>
    <n v="19"/>
  </r>
  <r>
    <x v="0"/>
    <x v="0"/>
    <s v="S12000039"/>
    <x v="24"/>
    <n v="80"/>
    <m/>
    <m/>
    <n v="18"/>
    <n v="52"/>
    <m/>
    <n v="0"/>
    <n v="10"/>
  </r>
  <r>
    <x v="0"/>
    <x v="0"/>
    <s v="S12000040"/>
    <x v="25"/>
    <n v="85"/>
    <m/>
    <m/>
    <n v="14"/>
    <n v="61"/>
    <m/>
    <n v="0"/>
    <n v="10"/>
  </r>
  <r>
    <x v="0"/>
    <x v="0"/>
    <s v="S12000041"/>
    <x v="26"/>
    <n v="35"/>
    <m/>
    <m/>
    <n v="0"/>
    <n v="25"/>
    <m/>
    <n v="1"/>
    <n v="9"/>
  </r>
  <r>
    <x v="0"/>
    <x v="0"/>
    <s v="S12000042"/>
    <x v="27"/>
    <n v="215"/>
    <m/>
    <m/>
    <n v="29"/>
    <n v="162"/>
    <m/>
    <n v="1"/>
    <n v="23"/>
  </r>
  <r>
    <x v="0"/>
    <x v="0"/>
    <s v="S12000044"/>
    <x v="28"/>
    <n v="188"/>
    <m/>
    <m/>
    <n v="34"/>
    <n v="129"/>
    <m/>
    <n v="1"/>
    <n v="24"/>
  </r>
  <r>
    <x v="0"/>
    <x v="0"/>
    <s v="S12000045"/>
    <x v="29"/>
    <n v="74"/>
    <m/>
    <m/>
    <n v="15"/>
    <n v="45"/>
    <m/>
    <n v="0"/>
    <n v="14"/>
  </r>
  <r>
    <x v="0"/>
    <x v="0"/>
    <s v="S12000046"/>
    <x v="30"/>
    <n v="560"/>
    <m/>
    <m/>
    <n v="119"/>
    <n v="373"/>
    <m/>
    <n v="0"/>
    <n v="68"/>
  </r>
  <r>
    <x v="0"/>
    <x v="0"/>
    <s v="S12000047"/>
    <x v="31"/>
    <n v="289"/>
    <m/>
    <m/>
    <n v="58"/>
    <n v="208"/>
    <m/>
    <n v="0"/>
    <n v="23"/>
  </r>
  <r>
    <x v="0"/>
    <x v="1"/>
    <s v="S39000001"/>
    <x v="19"/>
    <n v="23"/>
    <n v="1"/>
    <m/>
    <n v="0"/>
    <n v="1"/>
    <n v="7"/>
    <n v="6"/>
    <n v="8"/>
  </r>
  <r>
    <x v="0"/>
    <x v="1"/>
    <s v="S39000002"/>
    <x v="32"/>
    <n v="15"/>
    <n v="1"/>
    <m/>
    <n v="0"/>
    <n v="0"/>
    <n v="2"/>
    <n v="4"/>
    <n v="8"/>
  </r>
  <r>
    <x v="0"/>
    <x v="1"/>
    <s v="S39000003"/>
    <x v="33"/>
    <n v="22"/>
    <n v="1"/>
    <m/>
    <n v="1"/>
    <n v="1"/>
    <n v="3"/>
    <n v="6"/>
    <n v="10"/>
  </r>
  <r>
    <x v="0"/>
    <x v="1"/>
    <s v="S39000004"/>
    <x v="1"/>
    <n v="16"/>
    <n v="0"/>
    <m/>
    <n v="0"/>
    <n v="0"/>
    <n v="2"/>
    <n v="5"/>
    <n v="9"/>
  </r>
  <r>
    <x v="0"/>
    <x v="1"/>
    <s v="S39000006"/>
    <x v="34"/>
    <n v="21"/>
    <n v="1"/>
    <m/>
    <n v="0"/>
    <n v="5"/>
    <n v="7"/>
    <n v="0"/>
    <n v="8"/>
  </r>
  <r>
    <x v="0"/>
    <x v="1"/>
    <s v="S39000007"/>
    <x v="35"/>
    <n v="12"/>
    <n v="1"/>
    <m/>
    <n v="0"/>
    <n v="1"/>
    <n v="3"/>
    <n v="5"/>
    <n v="2"/>
  </r>
  <r>
    <x v="0"/>
    <x v="1"/>
    <s v="S39000008"/>
    <x v="36"/>
    <n v="23"/>
    <n v="1"/>
    <m/>
    <n v="0"/>
    <n v="0"/>
    <n v="9"/>
    <n v="7"/>
    <n v="6"/>
  </r>
  <r>
    <x v="0"/>
    <x v="1"/>
    <s v="S39000009"/>
    <x v="37"/>
    <n v="26"/>
    <n v="2"/>
    <m/>
    <n v="3"/>
    <n v="2"/>
    <n v="9"/>
    <n v="3"/>
    <n v="7"/>
  </r>
  <r>
    <x v="0"/>
    <x v="1"/>
    <s v="S39000010"/>
    <x v="38"/>
    <n v="13"/>
    <n v="1"/>
    <m/>
    <n v="0"/>
    <n v="2"/>
    <n v="2"/>
    <n v="2"/>
    <n v="6"/>
  </r>
  <r>
    <x v="0"/>
    <x v="1"/>
    <s v="S39000012"/>
    <x v="30"/>
    <n v="28"/>
    <n v="1"/>
    <m/>
    <n v="0"/>
    <n v="3"/>
    <n v="4"/>
    <n v="10"/>
    <n v="10"/>
  </r>
  <r>
    <x v="0"/>
    <x v="1"/>
    <s v="S39000013"/>
    <x v="39"/>
    <n v="13"/>
    <n v="1"/>
    <m/>
    <n v="0"/>
    <n v="0"/>
    <n v="4"/>
    <n v="7"/>
    <n v="1"/>
  </r>
  <r>
    <x v="0"/>
    <x v="1"/>
    <s v="S39000014"/>
    <x v="28"/>
    <n v="14"/>
    <n v="1"/>
    <m/>
    <n v="1"/>
    <n v="0"/>
    <n v="2"/>
    <n v="6"/>
    <n v="4"/>
  </r>
  <r>
    <x v="0"/>
    <x v="1"/>
    <s v="S39000015"/>
    <x v="17"/>
    <n v="10"/>
    <n v="1"/>
    <m/>
    <n v="0"/>
    <n v="0"/>
    <n v="3"/>
    <n v="4"/>
    <n v="2"/>
  </r>
  <r>
    <x v="0"/>
    <x v="1"/>
    <s v="S39000016"/>
    <x v="40"/>
    <n v="8"/>
    <n v="1"/>
    <m/>
    <n v="0"/>
    <n v="0"/>
    <n v="3"/>
    <n v="4"/>
    <n v="0"/>
  </r>
  <r>
    <x v="0"/>
    <x v="1"/>
    <s v="S39000017"/>
    <x v="41"/>
    <n v="9"/>
    <n v="1"/>
    <m/>
    <n v="0"/>
    <n v="0"/>
    <n v="3"/>
    <n v="5"/>
    <n v="0"/>
  </r>
  <r>
    <x v="0"/>
    <x v="1"/>
    <s v="S39000018"/>
    <x v="42"/>
    <n v="11"/>
    <n v="1"/>
    <m/>
    <n v="0"/>
    <n v="0"/>
    <n v="3"/>
    <n v="5"/>
    <n v="2"/>
  </r>
  <r>
    <x v="0"/>
    <x v="1"/>
    <s v="S39000019"/>
    <x v="31"/>
    <n v="21"/>
    <n v="1"/>
    <m/>
    <n v="0"/>
    <n v="0"/>
    <n v="3"/>
    <n v="6"/>
    <n v="11"/>
  </r>
  <r>
    <x v="0"/>
    <x v="2"/>
    <s v="S40000003"/>
    <x v="43"/>
    <n v="111"/>
    <n v="3"/>
    <n v="1"/>
    <n v="8"/>
    <n v="0"/>
    <n v="12"/>
    <n v="8"/>
    <n v="79"/>
  </r>
  <r>
    <x v="0"/>
    <x v="2"/>
    <s v="S40000004"/>
    <x v="44"/>
    <n v="80"/>
    <n v="1"/>
    <n v="1"/>
    <n v="8"/>
    <n v="3"/>
    <n v="3"/>
    <n v="15"/>
    <n v="49"/>
  </r>
  <r>
    <x v="0"/>
    <x v="2"/>
    <s v="S40000005"/>
    <x v="45"/>
    <n v="77"/>
    <n v="2"/>
    <n v="1"/>
    <n v="24"/>
    <n v="1"/>
    <n v="9"/>
    <n v="10"/>
    <n v="30"/>
  </r>
  <r>
    <x v="0"/>
    <x v="3"/>
    <s v="S92000003"/>
    <x v="46"/>
    <n v="56"/>
    <n v="5"/>
    <n v="6"/>
    <n v="7"/>
    <n v="0"/>
    <n v="22"/>
    <n v="5"/>
    <n v="11"/>
  </r>
  <r>
    <x v="1"/>
    <x v="0"/>
    <s v="S12000005"/>
    <x v="0"/>
    <n v="37"/>
    <m/>
    <m/>
    <n v="8"/>
    <n v="25"/>
    <m/>
    <n v="0"/>
    <n v="4"/>
  </r>
  <r>
    <x v="1"/>
    <x v="0"/>
    <s v="S12000006"/>
    <x v="1"/>
    <n v="69"/>
    <m/>
    <m/>
    <n v="11"/>
    <n v="52"/>
    <m/>
    <n v="0"/>
    <n v="6"/>
  </r>
  <r>
    <x v="1"/>
    <x v="0"/>
    <s v="S12000008"/>
    <x v="2"/>
    <n v="56"/>
    <m/>
    <m/>
    <n v="9"/>
    <n v="39"/>
    <m/>
    <n v="0"/>
    <n v="8"/>
  </r>
  <r>
    <x v="1"/>
    <x v="0"/>
    <s v="S12000010"/>
    <x v="3"/>
    <n v="28"/>
    <m/>
    <m/>
    <n v="3"/>
    <n v="21"/>
    <m/>
    <n v="0"/>
    <n v="4"/>
  </r>
  <r>
    <x v="1"/>
    <x v="0"/>
    <s v="S12000011"/>
    <x v="4"/>
    <n v="57"/>
    <m/>
    <m/>
    <n v="13"/>
    <n v="35"/>
    <m/>
    <n v="0"/>
    <n v="9"/>
  </r>
  <r>
    <x v="1"/>
    <x v="0"/>
    <s v="S12000013"/>
    <x v="5"/>
    <n v="0"/>
    <m/>
    <m/>
    <n v="0"/>
    <n v="0"/>
    <m/>
    <n v="0"/>
    <n v="0"/>
  </r>
  <r>
    <x v="1"/>
    <x v="0"/>
    <s v="S12000014"/>
    <x v="6"/>
    <n v="94"/>
    <m/>
    <m/>
    <n v="17"/>
    <n v="60"/>
    <m/>
    <n v="2"/>
    <n v="15"/>
  </r>
  <r>
    <x v="1"/>
    <x v="0"/>
    <s v="S12000017"/>
    <x v="7"/>
    <n v="81"/>
    <m/>
    <m/>
    <n v="11"/>
    <n v="57"/>
    <m/>
    <n v="1"/>
    <n v="12"/>
  </r>
  <r>
    <x v="1"/>
    <x v="0"/>
    <s v="S12000018"/>
    <x v="8"/>
    <n v="77"/>
    <m/>
    <m/>
    <n v="16"/>
    <n v="49"/>
    <m/>
    <n v="0"/>
    <n v="12"/>
  </r>
  <r>
    <x v="1"/>
    <x v="0"/>
    <s v="S12000019"/>
    <x v="9"/>
    <n v="35"/>
    <m/>
    <m/>
    <n v="4"/>
    <n v="26"/>
    <m/>
    <n v="0"/>
    <n v="5"/>
  </r>
  <r>
    <x v="1"/>
    <x v="0"/>
    <s v="S12000020"/>
    <x v="10"/>
    <n v="21"/>
    <m/>
    <m/>
    <n v="3"/>
    <n v="14"/>
    <m/>
    <n v="0"/>
    <n v="4"/>
  </r>
  <r>
    <x v="1"/>
    <x v="0"/>
    <s v="S12000021"/>
    <x v="11"/>
    <n v="78"/>
    <m/>
    <m/>
    <n v="14"/>
    <n v="50"/>
    <m/>
    <n v="0"/>
    <n v="14"/>
  </r>
  <r>
    <x v="1"/>
    <x v="0"/>
    <s v="S12000023"/>
    <x v="12"/>
    <n v="0"/>
    <m/>
    <m/>
    <n v="0"/>
    <n v="0"/>
    <m/>
    <n v="0"/>
    <n v="0"/>
  </r>
  <r>
    <x v="1"/>
    <x v="0"/>
    <s v="S12000024"/>
    <x v="13"/>
    <n v="86"/>
    <m/>
    <m/>
    <n v="16"/>
    <n v="58"/>
    <m/>
    <n v="1"/>
    <n v="11"/>
  </r>
  <r>
    <x v="1"/>
    <x v="0"/>
    <s v="S12000026"/>
    <x v="14"/>
    <n v="73"/>
    <m/>
    <m/>
    <n v="11"/>
    <n v="51"/>
    <m/>
    <n v="0"/>
    <n v="11"/>
  </r>
  <r>
    <x v="1"/>
    <x v="0"/>
    <s v="S12000027"/>
    <x v="15"/>
    <n v="0"/>
    <m/>
    <m/>
    <n v="0"/>
    <n v="0"/>
    <m/>
    <n v="0"/>
    <n v="0"/>
  </r>
  <r>
    <x v="1"/>
    <x v="0"/>
    <s v="S12000028"/>
    <x v="16"/>
    <n v="60"/>
    <m/>
    <m/>
    <n v="9"/>
    <n v="43"/>
    <m/>
    <n v="0"/>
    <n v="8"/>
  </r>
  <r>
    <x v="1"/>
    <x v="0"/>
    <s v="S12000029"/>
    <x v="17"/>
    <n v="187"/>
    <m/>
    <m/>
    <n v="35"/>
    <n v="126"/>
    <m/>
    <n v="2"/>
    <n v="24"/>
  </r>
  <r>
    <x v="1"/>
    <x v="0"/>
    <s v="S12000030"/>
    <x v="18"/>
    <n v="55"/>
    <m/>
    <m/>
    <n v="10"/>
    <n v="37"/>
    <m/>
    <n v="0"/>
    <n v="8"/>
  </r>
  <r>
    <x v="1"/>
    <x v="0"/>
    <s v="S12000033"/>
    <x v="19"/>
    <n v="173"/>
    <m/>
    <m/>
    <n v="25"/>
    <n v="122"/>
    <m/>
    <n v="0"/>
    <n v="26"/>
  </r>
  <r>
    <x v="1"/>
    <x v="0"/>
    <s v="S12000034"/>
    <x v="20"/>
    <n v="23"/>
    <m/>
    <m/>
    <n v="3"/>
    <n v="18"/>
    <m/>
    <n v="0"/>
    <n v="2"/>
  </r>
  <r>
    <x v="1"/>
    <x v="0"/>
    <s v="S12000035"/>
    <x v="21"/>
    <n v="54"/>
    <m/>
    <m/>
    <n v="10"/>
    <n v="27"/>
    <m/>
    <n v="2"/>
    <n v="15"/>
  </r>
  <r>
    <x v="1"/>
    <x v="0"/>
    <s v="S12000036"/>
    <x v="22"/>
    <n v="348"/>
    <m/>
    <m/>
    <n v="64"/>
    <n v="257"/>
    <m/>
    <n v="1"/>
    <n v="26"/>
  </r>
  <r>
    <x v="1"/>
    <x v="0"/>
    <s v="S12000038"/>
    <x v="23"/>
    <n v="115"/>
    <m/>
    <m/>
    <n v="23"/>
    <n v="72"/>
    <m/>
    <n v="0"/>
    <n v="20"/>
  </r>
  <r>
    <x v="1"/>
    <x v="0"/>
    <s v="S12000039"/>
    <x v="24"/>
    <n v="74"/>
    <m/>
    <m/>
    <n v="20"/>
    <n v="45"/>
    <m/>
    <n v="0"/>
    <n v="9"/>
  </r>
  <r>
    <x v="1"/>
    <x v="0"/>
    <s v="S12000040"/>
    <x v="25"/>
    <n v="79"/>
    <m/>
    <m/>
    <n v="9"/>
    <n v="59"/>
    <m/>
    <n v="1"/>
    <n v="10"/>
  </r>
  <r>
    <x v="1"/>
    <x v="0"/>
    <s v="S12000041"/>
    <x v="26"/>
    <n v="27"/>
    <m/>
    <m/>
    <n v="0"/>
    <n v="22"/>
    <m/>
    <n v="1"/>
    <n v="4"/>
  </r>
  <r>
    <x v="1"/>
    <x v="0"/>
    <s v="S12000042"/>
    <x v="27"/>
    <n v="207"/>
    <m/>
    <m/>
    <n v="27"/>
    <n v="158"/>
    <m/>
    <n v="1"/>
    <n v="21"/>
  </r>
  <r>
    <x v="1"/>
    <x v="0"/>
    <s v="S12000044"/>
    <x v="28"/>
    <n v="187"/>
    <m/>
    <m/>
    <n v="37"/>
    <n v="125"/>
    <m/>
    <n v="1"/>
    <n v="24"/>
  </r>
  <r>
    <x v="1"/>
    <x v="0"/>
    <s v="S12000045"/>
    <x v="29"/>
    <n v="72"/>
    <m/>
    <m/>
    <n v="14"/>
    <n v="44"/>
    <m/>
    <n v="0"/>
    <n v="14"/>
  </r>
  <r>
    <x v="1"/>
    <x v="0"/>
    <s v="S12000046"/>
    <x v="30"/>
    <n v="544"/>
    <m/>
    <m/>
    <n v="116"/>
    <n v="362"/>
    <m/>
    <n v="1"/>
    <n v="65"/>
  </r>
  <r>
    <x v="1"/>
    <x v="0"/>
    <s v="S12000047"/>
    <x v="31"/>
    <n v="288"/>
    <m/>
    <m/>
    <n v="54"/>
    <n v="209"/>
    <m/>
    <n v="0"/>
    <n v="25"/>
  </r>
  <r>
    <x v="1"/>
    <x v="1"/>
    <s v="S39000001"/>
    <x v="19"/>
    <n v="18"/>
    <n v="1"/>
    <m/>
    <n v="0"/>
    <n v="0"/>
    <n v="3"/>
    <n v="7"/>
    <n v="7"/>
  </r>
  <r>
    <x v="1"/>
    <x v="1"/>
    <s v="S39000002"/>
    <x v="32"/>
    <n v="18"/>
    <n v="1"/>
    <m/>
    <n v="0"/>
    <n v="2"/>
    <n v="1"/>
    <n v="4"/>
    <n v="10"/>
  </r>
  <r>
    <x v="1"/>
    <x v="1"/>
    <s v="S39000003"/>
    <x v="33"/>
    <n v="21"/>
    <n v="1"/>
    <m/>
    <n v="0"/>
    <n v="1"/>
    <n v="7"/>
    <n v="5"/>
    <n v="7"/>
  </r>
  <r>
    <x v="1"/>
    <x v="1"/>
    <s v="S39000004"/>
    <x v="1"/>
    <n v="18"/>
    <n v="0"/>
    <m/>
    <n v="0"/>
    <n v="1"/>
    <n v="2"/>
    <n v="5"/>
    <n v="10"/>
  </r>
  <r>
    <x v="1"/>
    <x v="1"/>
    <s v="S39000006"/>
    <x v="34"/>
    <n v="20"/>
    <n v="1"/>
    <m/>
    <n v="0"/>
    <n v="0"/>
    <n v="7"/>
    <n v="7"/>
    <n v="5"/>
  </r>
  <r>
    <x v="1"/>
    <x v="1"/>
    <s v="S39000007"/>
    <x v="35"/>
    <n v="17"/>
    <n v="1"/>
    <m/>
    <n v="0"/>
    <n v="4"/>
    <n v="5"/>
    <n v="1"/>
    <n v="6"/>
  </r>
  <r>
    <x v="1"/>
    <x v="1"/>
    <s v="S39000008"/>
    <x v="36"/>
    <n v="12"/>
    <n v="1"/>
    <m/>
    <n v="0"/>
    <n v="0"/>
    <n v="3"/>
    <n v="5"/>
    <n v="3"/>
  </r>
  <r>
    <x v="1"/>
    <x v="1"/>
    <s v="S39000009"/>
    <x v="37"/>
    <n v="24"/>
    <n v="2"/>
    <m/>
    <n v="2"/>
    <n v="2"/>
    <n v="8"/>
    <n v="4"/>
    <n v="6"/>
  </r>
  <r>
    <x v="1"/>
    <x v="1"/>
    <s v="S39000010"/>
    <x v="38"/>
    <n v="13"/>
    <n v="1"/>
    <m/>
    <n v="0"/>
    <n v="1"/>
    <n v="3"/>
    <n v="3"/>
    <n v="5"/>
  </r>
  <r>
    <x v="1"/>
    <x v="1"/>
    <s v="S39000012"/>
    <x v="30"/>
    <n v="25"/>
    <n v="1"/>
    <m/>
    <n v="1"/>
    <n v="2"/>
    <n v="4"/>
    <n v="8"/>
    <n v="9"/>
  </r>
  <r>
    <x v="1"/>
    <x v="1"/>
    <s v="S39000013"/>
    <x v="39"/>
    <n v="13"/>
    <n v="1"/>
    <m/>
    <n v="0"/>
    <n v="0"/>
    <n v="6"/>
    <n v="5"/>
    <n v="1"/>
  </r>
  <r>
    <x v="1"/>
    <x v="1"/>
    <s v="S39000014"/>
    <x v="28"/>
    <n v="16"/>
    <n v="2"/>
    <m/>
    <n v="1"/>
    <n v="1"/>
    <n v="3"/>
    <n v="5"/>
    <n v="4"/>
  </r>
  <r>
    <x v="1"/>
    <x v="1"/>
    <s v="S39000015"/>
    <x v="17"/>
    <n v="10"/>
    <n v="1"/>
    <m/>
    <n v="0"/>
    <n v="0"/>
    <n v="4"/>
    <n v="2"/>
    <n v="3"/>
  </r>
  <r>
    <x v="1"/>
    <x v="1"/>
    <s v="S39000016"/>
    <x v="40"/>
    <n v="5"/>
    <n v="0"/>
    <m/>
    <n v="0"/>
    <n v="0"/>
    <n v="1"/>
    <n v="4"/>
    <n v="0"/>
  </r>
  <r>
    <x v="1"/>
    <x v="1"/>
    <s v="S39000017"/>
    <x v="41"/>
    <n v="7"/>
    <n v="1"/>
    <m/>
    <n v="0"/>
    <n v="0"/>
    <n v="3"/>
    <n v="3"/>
    <n v="0"/>
  </r>
  <r>
    <x v="1"/>
    <x v="1"/>
    <s v="S39000018"/>
    <x v="42"/>
    <n v="12"/>
    <n v="1"/>
    <m/>
    <n v="0"/>
    <n v="0"/>
    <n v="3"/>
    <n v="5"/>
    <n v="3"/>
  </r>
  <r>
    <x v="1"/>
    <x v="1"/>
    <s v="S39000019"/>
    <x v="31"/>
    <n v="21"/>
    <n v="2"/>
    <m/>
    <n v="0"/>
    <n v="0"/>
    <n v="2"/>
    <n v="6"/>
    <n v="11"/>
  </r>
  <r>
    <x v="1"/>
    <x v="2"/>
    <s v="S40000003"/>
    <x v="43"/>
    <n v="105"/>
    <n v="2"/>
    <m/>
    <n v="9"/>
    <n v="0"/>
    <n v="15"/>
    <n v="4"/>
    <n v="75"/>
  </r>
  <r>
    <x v="1"/>
    <x v="2"/>
    <s v="S40000004"/>
    <x v="44"/>
    <n v="78"/>
    <n v="1"/>
    <m/>
    <n v="4"/>
    <n v="6"/>
    <n v="4"/>
    <n v="17"/>
    <n v="46"/>
  </r>
  <r>
    <x v="1"/>
    <x v="2"/>
    <s v="S40000005"/>
    <x v="45"/>
    <n v="66"/>
    <n v="1"/>
    <m/>
    <n v="21"/>
    <n v="1"/>
    <n v="7"/>
    <n v="10"/>
    <n v="26"/>
  </r>
  <r>
    <x v="1"/>
    <x v="3"/>
    <s v="S92000003"/>
    <x v="46"/>
    <n v="52"/>
    <n v="11"/>
    <n v="7"/>
    <n v="4"/>
    <n v="1"/>
    <n v="12"/>
    <n v="6"/>
    <n v="11"/>
  </r>
  <r>
    <x v="2"/>
    <x v="0"/>
    <s v="S12000005"/>
    <x v="0"/>
    <n v="26"/>
    <m/>
    <m/>
    <n v="5"/>
    <n v="17"/>
    <m/>
    <n v="0"/>
    <n v="4"/>
  </r>
  <r>
    <x v="2"/>
    <x v="0"/>
    <s v="S12000006"/>
    <x v="1"/>
    <n v="65"/>
    <m/>
    <m/>
    <n v="14"/>
    <n v="48"/>
    <m/>
    <n v="0"/>
    <n v="3"/>
  </r>
  <r>
    <x v="2"/>
    <x v="0"/>
    <s v="S12000008"/>
    <x v="2"/>
    <n v="53"/>
    <m/>
    <m/>
    <n v="7"/>
    <n v="41"/>
    <m/>
    <n v="0"/>
    <n v="5"/>
  </r>
  <r>
    <x v="2"/>
    <x v="0"/>
    <s v="S12000010"/>
    <x v="3"/>
    <n v="27"/>
    <m/>
    <m/>
    <n v="4"/>
    <n v="19"/>
    <m/>
    <n v="0"/>
    <n v="4"/>
  </r>
  <r>
    <x v="2"/>
    <x v="0"/>
    <s v="S12000011"/>
    <x v="4"/>
    <n v="53"/>
    <m/>
    <m/>
    <n v="10"/>
    <n v="34"/>
    <m/>
    <n v="0"/>
    <n v="9"/>
  </r>
  <r>
    <x v="2"/>
    <x v="0"/>
    <s v="S12000013"/>
    <x v="5"/>
    <n v="0"/>
    <m/>
    <m/>
    <n v="0"/>
    <n v="0"/>
    <m/>
    <n v="0"/>
    <n v="0"/>
  </r>
  <r>
    <x v="2"/>
    <x v="0"/>
    <s v="S12000014"/>
    <x v="6"/>
    <n v="95"/>
    <m/>
    <m/>
    <n v="17"/>
    <n v="66"/>
    <m/>
    <n v="0"/>
    <n v="12"/>
  </r>
  <r>
    <x v="2"/>
    <x v="0"/>
    <s v="S12000017"/>
    <x v="7"/>
    <n v="68"/>
    <m/>
    <m/>
    <n v="11"/>
    <n v="53"/>
    <m/>
    <n v="0"/>
    <n v="4"/>
  </r>
  <r>
    <x v="2"/>
    <x v="0"/>
    <s v="S12000018"/>
    <x v="8"/>
    <n v="70"/>
    <m/>
    <m/>
    <n v="12"/>
    <n v="48"/>
    <m/>
    <n v="1"/>
    <n v="9"/>
  </r>
  <r>
    <x v="2"/>
    <x v="0"/>
    <s v="S12000019"/>
    <x v="9"/>
    <n v="23"/>
    <m/>
    <m/>
    <n v="4"/>
    <n v="16"/>
    <m/>
    <n v="0"/>
    <n v="3"/>
  </r>
  <r>
    <x v="2"/>
    <x v="0"/>
    <s v="S12000020"/>
    <x v="10"/>
    <n v="31"/>
    <m/>
    <m/>
    <n v="5"/>
    <n v="21"/>
    <m/>
    <n v="0"/>
    <n v="5"/>
  </r>
  <r>
    <x v="2"/>
    <x v="0"/>
    <s v="S12000021"/>
    <x v="11"/>
    <n v="78"/>
    <m/>
    <m/>
    <n v="14"/>
    <n v="52"/>
    <m/>
    <n v="0"/>
    <n v="12"/>
  </r>
  <r>
    <x v="2"/>
    <x v="0"/>
    <s v="S12000023"/>
    <x v="12"/>
    <n v="0"/>
    <m/>
    <m/>
    <n v="0"/>
    <n v="0"/>
    <m/>
    <n v="0"/>
    <n v="0"/>
  </r>
  <r>
    <x v="2"/>
    <x v="0"/>
    <s v="S12000024"/>
    <x v="13"/>
    <n v="73"/>
    <m/>
    <m/>
    <n v="13"/>
    <n v="56"/>
    <m/>
    <n v="0"/>
    <n v="4"/>
  </r>
  <r>
    <x v="2"/>
    <x v="0"/>
    <s v="S12000026"/>
    <x v="14"/>
    <n v="71"/>
    <m/>
    <m/>
    <n v="12"/>
    <n v="50"/>
    <m/>
    <n v="0"/>
    <n v="9"/>
  </r>
  <r>
    <x v="2"/>
    <x v="0"/>
    <s v="S12000027"/>
    <x v="15"/>
    <n v="0"/>
    <m/>
    <m/>
    <n v="0"/>
    <n v="0"/>
    <m/>
    <n v="0"/>
    <n v="0"/>
  </r>
  <r>
    <x v="2"/>
    <x v="0"/>
    <s v="S12000028"/>
    <x v="16"/>
    <n v="55"/>
    <m/>
    <m/>
    <n v="10"/>
    <n v="40"/>
    <m/>
    <n v="0"/>
    <n v="5"/>
  </r>
  <r>
    <x v="2"/>
    <x v="0"/>
    <s v="S12000029"/>
    <x v="17"/>
    <n v="178"/>
    <m/>
    <m/>
    <n v="28"/>
    <n v="132"/>
    <m/>
    <n v="0"/>
    <n v="18"/>
  </r>
  <r>
    <x v="2"/>
    <x v="0"/>
    <s v="S12000030"/>
    <x v="18"/>
    <n v="51"/>
    <m/>
    <m/>
    <n v="9"/>
    <n v="40"/>
    <m/>
    <n v="0"/>
    <n v="2"/>
  </r>
  <r>
    <x v="2"/>
    <x v="0"/>
    <s v="S12000033"/>
    <x v="19"/>
    <n v="144"/>
    <m/>
    <m/>
    <n v="22"/>
    <n v="109"/>
    <m/>
    <n v="0"/>
    <n v="13"/>
  </r>
  <r>
    <x v="2"/>
    <x v="0"/>
    <s v="S12000034"/>
    <x v="20"/>
    <n v="32"/>
    <m/>
    <m/>
    <n v="6"/>
    <n v="22"/>
    <m/>
    <n v="0"/>
    <n v="4"/>
  </r>
  <r>
    <x v="2"/>
    <x v="0"/>
    <s v="S12000035"/>
    <x v="21"/>
    <n v="55"/>
    <m/>
    <m/>
    <n v="8"/>
    <n v="37"/>
    <m/>
    <n v="0"/>
    <n v="10"/>
  </r>
  <r>
    <x v="2"/>
    <x v="0"/>
    <s v="S12000036"/>
    <x v="22"/>
    <n v="315"/>
    <m/>
    <m/>
    <n v="48"/>
    <n v="248"/>
    <m/>
    <n v="0"/>
    <n v="19"/>
  </r>
  <r>
    <x v="2"/>
    <x v="0"/>
    <s v="S12000038"/>
    <x v="23"/>
    <n v="92"/>
    <m/>
    <m/>
    <n v="15"/>
    <n v="62"/>
    <m/>
    <n v="0"/>
    <n v="15"/>
  </r>
  <r>
    <x v="2"/>
    <x v="0"/>
    <s v="S12000039"/>
    <x v="24"/>
    <n v="70"/>
    <m/>
    <m/>
    <n v="11"/>
    <n v="49"/>
    <m/>
    <n v="0"/>
    <n v="10"/>
  </r>
  <r>
    <x v="2"/>
    <x v="0"/>
    <s v="S12000040"/>
    <x v="25"/>
    <n v="61"/>
    <m/>
    <m/>
    <n v="9"/>
    <n v="44"/>
    <m/>
    <n v="0"/>
    <n v="8"/>
  </r>
  <r>
    <x v="2"/>
    <x v="0"/>
    <s v="S12000041"/>
    <x v="26"/>
    <n v="36"/>
    <m/>
    <m/>
    <n v="8"/>
    <n v="25"/>
    <m/>
    <n v="0"/>
    <n v="3"/>
  </r>
  <r>
    <x v="2"/>
    <x v="0"/>
    <s v="S12000042"/>
    <x v="27"/>
    <n v="176"/>
    <m/>
    <m/>
    <n v="26"/>
    <n v="135"/>
    <m/>
    <n v="1"/>
    <n v="14"/>
  </r>
  <r>
    <x v="2"/>
    <x v="0"/>
    <s v="S12000044"/>
    <x v="28"/>
    <n v="180"/>
    <m/>
    <m/>
    <n v="28"/>
    <n v="136"/>
    <m/>
    <n v="0"/>
    <n v="16"/>
  </r>
  <r>
    <x v="2"/>
    <x v="0"/>
    <s v="S12000045"/>
    <x v="29"/>
    <n v="70"/>
    <m/>
    <m/>
    <n v="9"/>
    <n v="46"/>
    <m/>
    <n v="0"/>
    <n v="15"/>
  </r>
  <r>
    <x v="2"/>
    <x v="0"/>
    <s v="S12000046"/>
    <x v="30"/>
    <n v="499"/>
    <m/>
    <m/>
    <n v="99"/>
    <n v="350"/>
    <m/>
    <n v="0"/>
    <n v="50"/>
  </r>
  <r>
    <x v="2"/>
    <x v="0"/>
    <s v="S12000047"/>
    <x v="31"/>
    <n v="278"/>
    <m/>
    <m/>
    <n v="47"/>
    <n v="211"/>
    <m/>
    <n v="0"/>
    <n v="20"/>
  </r>
  <r>
    <x v="2"/>
    <x v="1"/>
    <s v="S39000001"/>
    <x v="19"/>
    <n v="16"/>
    <n v="1"/>
    <m/>
    <n v="0"/>
    <n v="3"/>
    <n v="3"/>
    <n v="2"/>
    <n v="7"/>
  </r>
  <r>
    <x v="2"/>
    <x v="1"/>
    <s v="S39000002"/>
    <x v="32"/>
    <n v="27"/>
    <n v="1"/>
    <m/>
    <n v="7"/>
    <n v="1"/>
    <n v="2"/>
    <n v="6"/>
    <n v="10"/>
  </r>
  <r>
    <x v="2"/>
    <x v="1"/>
    <s v="S39000003"/>
    <x v="33"/>
    <n v="25"/>
    <n v="1"/>
    <m/>
    <n v="2"/>
    <n v="4"/>
    <n v="5"/>
    <n v="7"/>
    <n v="6"/>
  </r>
  <r>
    <x v="2"/>
    <x v="1"/>
    <s v="S39000004"/>
    <x v="1"/>
    <n v="19"/>
    <n v="0"/>
    <m/>
    <n v="0"/>
    <n v="2"/>
    <n v="2"/>
    <n v="5"/>
    <n v="10"/>
  </r>
  <r>
    <x v="2"/>
    <x v="1"/>
    <s v="S39000006"/>
    <x v="34"/>
    <n v="29"/>
    <n v="1"/>
    <m/>
    <n v="4"/>
    <n v="2"/>
    <n v="6"/>
    <n v="7"/>
    <n v="9"/>
  </r>
  <r>
    <x v="2"/>
    <x v="1"/>
    <s v="S39000007"/>
    <x v="35"/>
    <n v="38"/>
    <n v="1"/>
    <m/>
    <n v="10"/>
    <n v="5"/>
    <n v="5"/>
    <n v="6"/>
    <n v="11"/>
  </r>
  <r>
    <x v="2"/>
    <x v="1"/>
    <s v="S39000008"/>
    <x v="36"/>
    <n v="17"/>
    <n v="1"/>
    <m/>
    <n v="1"/>
    <n v="3"/>
    <n v="2"/>
    <n v="3"/>
    <n v="7"/>
  </r>
  <r>
    <x v="2"/>
    <x v="1"/>
    <s v="S39000009"/>
    <x v="37"/>
    <n v="27"/>
    <n v="0"/>
    <m/>
    <n v="5"/>
    <n v="4"/>
    <n v="7"/>
    <n v="2"/>
    <n v="9"/>
  </r>
  <r>
    <x v="2"/>
    <x v="1"/>
    <s v="S39000010"/>
    <x v="38"/>
    <n v="16"/>
    <n v="1"/>
    <m/>
    <n v="1"/>
    <n v="2"/>
    <n v="2"/>
    <n v="3"/>
    <n v="7"/>
  </r>
  <r>
    <x v="2"/>
    <x v="1"/>
    <s v="S39000012"/>
    <x v="30"/>
    <n v="32"/>
    <n v="1"/>
    <m/>
    <n v="1"/>
    <n v="2"/>
    <n v="5"/>
    <n v="8"/>
    <n v="15"/>
  </r>
  <r>
    <x v="2"/>
    <x v="1"/>
    <s v="S39000013"/>
    <x v="39"/>
    <n v="29"/>
    <n v="1"/>
    <m/>
    <n v="7"/>
    <n v="0"/>
    <n v="6"/>
    <n v="8"/>
    <n v="7"/>
  </r>
  <r>
    <x v="2"/>
    <x v="1"/>
    <s v="S39000014"/>
    <x v="28"/>
    <n v="20"/>
    <n v="1"/>
    <m/>
    <n v="3"/>
    <n v="0"/>
    <n v="3"/>
    <n v="4"/>
    <n v="9"/>
  </r>
  <r>
    <x v="2"/>
    <x v="1"/>
    <s v="S39000015"/>
    <x v="17"/>
    <n v="16"/>
    <n v="1"/>
    <m/>
    <n v="3"/>
    <n v="1"/>
    <n v="3"/>
    <n v="5"/>
    <n v="3"/>
  </r>
  <r>
    <x v="2"/>
    <x v="1"/>
    <s v="S39000016"/>
    <x v="40"/>
    <n v="13"/>
    <n v="0"/>
    <m/>
    <n v="2"/>
    <n v="1"/>
    <n v="2"/>
    <n v="5"/>
    <n v="3"/>
  </r>
  <r>
    <x v="2"/>
    <x v="1"/>
    <s v="S39000017"/>
    <x v="41"/>
    <n v="11"/>
    <n v="1"/>
    <m/>
    <n v="1"/>
    <n v="0"/>
    <n v="3"/>
    <n v="5"/>
    <n v="1"/>
  </r>
  <r>
    <x v="2"/>
    <x v="1"/>
    <s v="S39000018"/>
    <x v="42"/>
    <n v="24"/>
    <n v="1"/>
    <m/>
    <n v="0"/>
    <n v="1"/>
    <n v="4"/>
    <n v="10"/>
    <n v="8"/>
  </r>
  <r>
    <x v="2"/>
    <x v="1"/>
    <s v="S39000019"/>
    <x v="31"/>
    <n v="26"/>
    <n v="1"/>
    <m/>
    <n v="3"/>
    <n v="4"/>
    <n v="2"/>
    <n v="5"/>
    <n v="11"/>
  </r>
  <r>
    <x v="2"/>
    <x v="2"/>
    <s v="S40000003"/>
    <x v="43"/>
    <n v="16"/>
    <n v="1"/>
    <m/>
    <n v="3"/>
    <m/>
    <n v="5"/>
    <n v="3"/>
    <n v="4"/>
  </r>
  <r>
    <x v="2"/>
    <x v="2"/>
    <s v="S40000004"/>
    <x v="44"/>
    <n v="25"/>
    <n v="1"/>
    <m/>
    <n v="2"/>
    <m/>
    <n v="2"/>
    <n v="3"/>
    <n v="17"/>
  </r>
  <r>
    <x v="2"/>
    <x v="2"/>
    <s v="S40000005"/>
    <x v="45"/>
    <n v="44"/>
    <n v="1"/>
    <m/>
    <n v="8"/>
    <m/>
    <n v="2"/>
    <n v="8"/>
    <n v="25"/>
  </r>
  <r>
    <x v="2"/>
    <x v="3"/>
    <s v="S92000003"/>
    <x v="46"/>
    <n v="195"/>
    <n v="18"/>
    <n v="4"/>
    <n v="26"/>
    <n v="16"/>
    <n v="19"/>
    <n v="19"/>
    <n v="93"/>
  </r>
  <r>
    <x v="3"/>
    <x v="0"/>
    <s v="S12000005"/>
    <x v="0"/>
    <n v="22"/>
    <m/>
    <m/>
    <n v="4"/>
    <n v="14"/>
    <m/>
    <m/>
    <n v="4"/>
  </r>
  <r>
    <x v="3"/>
    <x v="0"/>
    <s v="S12000006"/>
    <x v="1"/>
    <n v="63"/>
    <m/>
    <m/>
    <n v="11"/>
    <n v="48"/>
    <m/>
    <m/>
    <n v="4"/>
  </r>
  <r>
    <x v="3"/>
    <x v="0"/>
    <s v="S12000008"/>
    <x v="2"/>
    <n v="46"/>
    <m/>
    <m/>
    <n v="9"/>
    <n v="32"/>
    <m/>
    <m/>
    <n v="5"/>
  </r>
  <r>
    <x v="3"/>
    <x v="0"/>
    <s v="S12000010"/>
    <x v="3"/>
    <n v="27"/>
    <m/>
    <m/>
    <n v="4"/>
    <n v="19"/>
    <m/>
    <m/>
    <n v="4"/>
  </r>
  <r>
    <x v="3"/>
    <x v="0"/>
    <s v="S12000011"/>
    <x v="4"/>
    <n v="50"/>
    <m/>
    <m/>
    <n v="10"/>
    <n v="30"/>
    <m/>
    <m/>
    <n v="10"/>
  </r>
  <r>
    <x v="3"/>
    <x v="0"/>
    <s v="S12000013"/>
    <x v="5"/>
    <n v="0"/>
    <m/>
    <m/>
    <n v="0"/>
    <n v="0"/>
    <m/>
    <m/>
    <n v="0"/>
  </r>
  <r>
    <x v="3"/>
    <x v="0"/>
    <s v="S12000014"/>
    <x v="6"/>
    <n v="86"/>
    <m/>
    <m/>
    <n v="16"/>
    <n v="57"/>
    <m/>
    <m/>
    <n v="13"/>
  </r>
  <r>
    <x v="3"/>
    <x v="0"/>
    <s v="S12000017"/>
    <x v="7"/>
    <n v="67"/>
    <m/>
    <m/>
    <n v="11"/>
    <n v="52"/>
    <m/>
    <m/>
    <n v="4"/>
  </r>
  <r>
    <x v="3"/>
    <x v="0"/>
    <s v="S12000018"/>
    <x v="8"/>
    <n v="68"/>
    <m/>
    <m/>
    <n v="13"/>
    <n v="43"/>
    <m/>
    <n v="1"/>
    <n v="11"/>
  </r>
  <r>
    <x v="3"/>
    <x v="0"/>
    <s v="S12000019"/>
    <x v="9"/>
    <n v="22"/>
    <m/>
    <m/>
    <n v="4"/>
    <n v="14"/>
    <m/>
    <m/>
    <n v="4"/>
  </r>
  <r>
    <x v="3"/>
    <x v="0"/>
    <s v="S12000020"/>
    <x v="10"/>
    <n v="27"/>
    <m/>
    <m/>
    <n v="4"/>
    <n v="19"/>
    <m/>
    <m/>
    <n v="4"/>
  </r>
  <r>
    <x v="3"/>
    <x v="0"/>
    <s v="S12000021"/>
    <x v="11"/>
    <n v="78"/>
    <m/>
    <m/>
    <n v="17"/>
    <n v="46"/>
    <m/>
    <m/>
    <n v="15"/>
  </r>
  <r>
    <x v="3"/>
    <x v="0"/>
    <s v="S12000023"/>
    <x v="12"/>
    <n v="0"/>
    <m/>
    <m/>
    <n v="0"/>
    <n v="0"/>
    <m/>
    <m/>
    <n v="0"/>
  </r>
  <r>
    <x v="3"/>
    <x v="0"/>
    <s v="S12000024"/>
    <x v="13"/>
    <n v="68"/>
    <m/>
    <m/>
    <n v="12"/>
    <n v="52"/>
    <m/>
    <m/>
    <n v="4"/>
  </r>
  <r>
    <x v="3"/>
    <x v="0"/>
    <s v="S12000026"/>
    <x v="14"/>
    <n v="56"/>
    <m/>
    <m/>
    <n v="8"/>
    <n v="40"/>
    <m/>
    <m/>
    <n v="8"/>
  </r>
  <r>
    <x v="3"/>
    <x v="0"/>
    <s v="S12000027"/>
    <x v="15"/>
    <n v="0"/>
    <m/>
    <m/>
    <n v="0"/>
    <n v="0"/>
    <m/>
    <m/>
    <n v="0"/>
  </r>
  <r>
    <x v="3"/>
    <x v="0"/>
    <s v="S12000028"/>
    <x v="16"/>
    <n v="54"/>
    <m/>
    <m/>
    <n v="10"/>
    <n v="39"/>
    <m/>
    <m/>
    <n v="5"/>
  </r>
  <r>
    <x v="3"/>
    <x v="0"/>
    <s v="S12000029"/>
    <x v="17"/>
    <n v="171"/>
    <m/>
    <m/>
    <n v="34"/>
    <n v="117"/>
    <m/>
    <m/>
    <n v="20"/>
  </r>
  <r>
    <x v="3"/>
    <x v="0"/>
    <s v="S12000030"/>
    <x v="18"/>
    <n v="53"/>
    <m/>
    <m/>
    <n v="9"/>
    <n v="40"/>
    <m/>
    <m/>
    <n v="4"/>
  </r>
  <r>
    <x v="3"/>
    <x v="0"/>
    <s v="S12000033"/>
    <x v="19"/>
    <n v="155"/>
    <m/>
    <m/>
    <n v="26"/>
    <n v="113"/>
    <m/>
    <m/>
    <n v="16"/>
  </r>
  <r>
    <x v="3"/>
    <x v="0"/>
    <s v="S12000034"/>
    <x v="20"/>
    <n v="25"/>
    <m/>
    <m/>
    <n v="4"/>
    <n v="17"/>
    <m/>
    <m/>
    <n v="4"/>
  </r>
  <r>
    <x v="3"/>
    <x v="0"/>
    <s v="S12000035"/>
    <x v="21"/>
    <n v="43"/>
    <m/>
    <m/>
    <n v="9"/>
    <n v="24"/>
    <m/>
    <m/>
    <n v="10"/>
  </r>
  <r>
    <x v="3"/>
    <x v="0"/>
    <s v="S12000036"/>
    <x v="22"/>
    <n v="313"/>
    <m/>
    <m/>
    <n v="60"/>
    <n v="227"/>
    <m/>
    <m/>
    <n v="26"/>
  </r>
  <r>
    <x v="3"/>
    <x v="0"/>
    <s v="S12000038"/>
    <x v="23"/>
    <n v="97"/>
    <m/>
    <m/>
    <n v="21"/>
    <n v="60"/>
    <m/>
    <m/>
    <n v="16"/>
  </r>
  <r>
    <x v="3"/>
    <x v="0"/>
    <s v="S12000039"/>
    <x v="24"/>
    <n v="69"/>
    <m/>
    <m/>
    <n v="15"/>
    <n v="44"/>
    <m/>
    <m/>
    <n v="10"/>
  </r>
  <r>
    <x v="3"/>
    <x v="0"/>
    <s v="S12000040"/>
    <x v="25"/>
    <n v="60"/>
    <m/>
    <m/>
    <n v="10"/>
    <n v="42"/>
    <m/>
    <m/>
    <n v="8"/>
  </r>
  <r>
    <x v="3"/>
    <x v="0"/>
    <s v="S12000041"/>
    <x v="26"/>
    <n v="25"/>
    <m/>
    <m/>
    <n v="4"/>
    <n v="18"/>
    <m/>
    <m/>
    <n v="3"/>
  </r>
  <r>
    <x v="3"/>
    <x v="0"/>
    <s v="S12000042"/>
    <x v="27"/>
    <n v="192"/>
    <m/>
    <m/>
    <n v="30"/>
    <n v="144"/>
    <m/>
    <m/>
    <n v="18"/>
  </r>
  <r>
    <x v="3"/>
    <x v="0"/>
    <s v="S12000044"/>
    <x v="28"/>
    <n v="173"/>
    <m/>
    <m/>
    <n v="30"/>
    <n v="123"/>
    <m/>
    <m/>
    <n v="20"/>
  </r>
  <r>
    <x v="3"/>
    <x v="0"/>
    <s v="S12000045"/>
    <x v="29"/>
    <n v="68"/>
    <m/>
    <m/>
    <n v="14"/>
    <n v="39"/>
    <m/>
    <m/>
    <n v="15"/>
  </r>
  <r>
    <x v="3"/>
    <x v="0"/>
    <s v="S12000046"/>
    <x v="30"/>
    <n v="475"/>
    <m/>
    <m/>
    <n v="105"/>
    <n v="313"/>
    <m/>
    <m/>
    <n v="57"/>
  </r>
  <r>
    <x v="3"/>
    <x v="0"/>
    <s v="S12000047"/>
    <x v="31"/>
    <n v="270"/>
    <m/>
    <m/>
    <n v="48"/>
    <n v="201"/>
    <m/>
    <m/>
    <n v="21"/>
  </r>
  <r>
    <x v="3"/>
    <x v="1"/>
    <s v="S39000001"/>
    <x v="19"/>
    <n v="14"/>
    <n v="1"/>
    <m/>
    <n v="2"/>
    <n v="2"/>
    <n v="1"/>
    <n v="3"/>
    <n v="5"/>
  </r>
  <r>
    <x v="3"/>
    <x v="1"/>
    <s v="S39000002"/>
    <x v="32"/>
    <n v="25"/>
    <n v="1"/>
    <m/>
    <n v="5"/>
    <n v="0"/>
    <n v="2"/>
    <n v="8"/>
    <n v="9"/>
  </r>
  <r>
    <x v="3"/>
    <x v="1"/>
    <s v="S39000003"/>
    <x v="33"/>
    <n v="26"/>
    <n v="1"/>
    <m/>
    <n v="4"/>
    <n v="2"/>
    <n v="3"/>
    <n v="9"/>
    <n v="7"/>
  </r>
  <r>
    <x v="3"/>
    <x v="1"/>
    <s v="S39000004"/>
    <x v="1"/>
    <n v="22"/>
    <n v="1"/>
    <m/>
    <n v="3"/>
    <n v="1"/>
    <n v="2"/>
    <n v="6"/>
    <n v="9"/>
  </r>
  <r>
    <x v="3"/>
    <x v="1"/>
    <s v="S39000006"/>
    <x v="34"/>
    <n v="30"/>
    <n v="1"/>
    <m/>
    <n v="5"/>
    <n v="2"/>
    <n v="4"/>
    <n v="9"/>
    <n v="9"/>
  </r>
  <r>
    <x v="3"/>
    <x v="1"/>
    <s v="S39000007"/>
    <x v="35"/>
    <n v="31"/>
    <n v="1"/>
    <m/>
    <n v="5"/>
    <n v="5"/>
    <n v="4"/>
    <n v="8"/>
    <n v="8"/>
  </r>
  <r>
    <x v="3"/>
    <x v="1"/>
    <s v="S39000008"/>
    <x v="36"/>
    <n v="18"/>
    <n v="1"/>
    <m/>
    <n v="2"/>
    <n v="1"/>
    <n v="3"/>
    <n v="4"/>
    <n v="7"/>
  </r>
  <r>
    <x v="3"/>
    <x v="1"/>
    <s v="S39000009"/>
    <x v="37"/>
    <n v="27"/>
    <n v="1"/>
    <m/>
    <n v="2"/>
    <n v="4"/>
    <n v="3"/>
    <n v="6"/>
    <n v="11"/>
  </r>
  <r>
    <x v="3"/>
    <x v="1"/>
    <s v="S39000010"/>
    <x v="38"/>
    <n v="21"/>
    <n v="1"/>
    <m/>
    <n v="3"/>
    <n v="2"/>
    <n v="2"/>
    <n v="6"/>
    <n v="7"/>
  </r>
  <r>
    <x v="3"/>
    <x v="1"/>
    <s v="S39000012"/>
    <x v="30"/>
    <n v="25"/>
    <n v="1"/>
    <m/>
    <n v="3"/>
    <n v="2"/>
    <n v="4"/>
    <n v="9"/>
    <n v="6"/>
  </r>
  <r>
    <x v="3"/>
    <x v="1"/>
    <s v="S39000013"/>
    <x v="39"/>
    <n v="37"/>
    <n v="1"/>
    <m/>
    <n v="10"/>
    <n v="1"/>
    <n v="4"/>
    <n v="13"/>
    <n v="8"/>
  </r>
  <r>
    <x v="3"/>
    <x v="1"/>
    <s v="S39000014"/>
    <x v="28"/>
    <n v="15"/>
    <n v="1"/>
    <m/>
    <n v="1"/>
    <n v="1"/>
    <n v="2"/>
    <n v="5"/>
    <n v="5"/>
  </r>
  <r>
    <x v="3"/>
    <x v="1"/>
    <s v="S39000015"/>
    <x v="17"/>
    <n v="15"/>
    <n v="1"/>
    <m/>
    <n v="2"/>
    <n v="1"/>
    <n v="2"/>
    <n v="5"/>
    <n v="4"/>
  </r>
  <r>
    <x v="3"/>
    <x v="1"/>
    <s v="S39000016"/>
    <x v="40"/>
    <n v="15"/>
    <n v="0"/>
    <m/>
    <n v="3"/>
    <n v="1"/>
    <n v="2"/>
    <n v="4"/>
    <n v="5"/>
  </r>
  <r>
    <x v="3"/>
    <x v="1"/>
    <s v="S39000017"/>
    <x v="41"/>
    <n v="16"/>
    <n v="1"/>
    <m/>
    <n v="6"/>
    <n v="0"/>
    <n v="3"/>
    <n v="5"/>
    <n v="1"/>
  </r>
  <r>
    <x v="3"/>
    <x v="1"/>
    <s v="S39000018"/>
    <x v="42"/>
    <n v="28"/>
    <n v="1"/>
    <m/>
    <n v="2"/>
    <n v="2"/>
    <n v="4"/>
    <n v="9"/>
    <n v="10"/>
  </r>
  <r>
    <x v="3"/>
    <x v="1"/>
    <s v="S39000019"/>
    <x v="31"/>
    <n v="24"/>
    <n v="1"/>
    <m/>
    <n v="3"/>
    <n v="3"/>
    <n v="2"/>
    <n v="7"/>
    <n v="8"/>
  </r>
  <r>
    <x v="3"/>
    <x v="2"/>
    <s v="S40000003"/>
    <x v="43"/>
    <n v="68"/>
    <n v="1"/>
    <m/>
    <n v="10"/>
    <n v="1"/>
    <n v="3"/>
    <n v="11"/>
    <n v="42"/>
  </r>
  <r>
    <x v="3"/>
    <x v="2"/>
    <s v="S40000004"/>
    <x v="44"/>
    <n v="38"/>
    <n v="1"/>
    <m/>
    <n v="6"/>
    <n v="1"/>
    <n v="5"/>
    <n v="5"/>
    <n v="20"/>
  </r>
  <r>
    <x v="3"/>
    <x v="2"/>
    <s v="S40000005"/>
    <x v="45"/>
    <n v="45"/>
    <n v="1"/>
    <m/>
    <n v="6"/>
    <n v="1"/>
    <n v="4"/>
    <n v="9"/>
    <n v="24"/>
  </r>
  <r>
    <x v="3"/>
    <x v="3"/>
    <s v="S92000003"/>
    <x v="46"/>
    <n v="182"/>
    <n v="15"/>
    <n v="4"/>
    <n v="0"/>
    <n v="101"/>
    <n v="11"/>
    <n v="9"/>
    <n v="42"/>
  </r>
  <r>
    <x v="4"/>
    <x v="0"/>
    <s v="S12000005"/>
    <x v="0"/>
    <n v="25"/>
    <m/>
    <m/>
    <n v="5"/>
    <n v="15"/>
    <m/>
    <m/>
    <n v="5"/>
  </r>
  <r>
    <x v="4"/>
    <x v="0"/>
    <s v="S12000006"/>
    <x v="1"/>
    <n v="54"/>
    <m/>
    <m/>
    <n v="11"/>
    <n v="38"/>
    <m/>
    <m/>
    <n v="5"/>
  </r>
  <r>
    <x v="4"/>
    <x v="0"/>
    <s v="S12000008"/>
    <x v="2"/>
    <n v="49"/>
    <m/>
    <m/>
    <n v="10"/>
    <n v="34"/>
    <m/>
    <m/>
    <n v="5"/>
  </r>
  <r>
    <x v="4"/>
    <x v="0"/>
    <s v="S12000010"/>
    <x v="3"/>
    <n v="23"/>
    <m/>
    <m/>
    <n v="5"/>
    <n v="13"/>
    <m/>
    <m/>
    <n v="5"/>
  </r>
  <r>
    <x v="4"/>
    <x v="0"/>
    <s v="S12000011"/>
    <x v="4"/>
    <n v="51"/>
    <m/>
    <m/>
    <n v="10"/>
    <n v="30"/>
    <m/>
    <m/>
    <n v="11"/>
  </r>
  <r>
    <x v="4"/>
    <x v="0"/>
    <s v="S12000014"/>
    <x v="6"/>
    <n v="87"/>
    <m/>
    <m/>
    <n v="22"/>
    <n v="49"/>
    <m/>
    <m/>
    <n v="16"/>
  </r>
  <r>
    <x v="4"/>
    <x v="0"/>
    <s v="S12000017"/>
    <x v="7"/>
    <n v="68"/>
    <m/>
    <m/>
    <n v="15"/>
    <n v="49"/>
    <m/>
    <m/>
    <n v="4"/>
  </r>
  <r>
    <x v="4"/>
    <x v="0"/>
    <s v="S12000018"/>
    <x v="8"/>
    <n v="72"/>
    <m/>
    <m/>
    <n v="15"/>
    <n v="44"/>
    <m/>
    <m/>
    <n v="13"/>
  </r>
  <r>
    <x v="4"/>
    <x v="0"/>
    <s v="S12000019"/>
    <x v="9"/>
    <n v="28"/>
    <m/>
    <m/>
    <n v="5"/>
    <n v="18"/>
    <m/>
    <m/>
    <n v="5"/>
  </r>
  <r>
    <x v="4"/>
    <x v="0"/>
    <s v="S12000020"/>
    <x v="10"/>
    <n v="29"/>
    <m/>
    <m/>
    <n v="5"/>
    <n v="19"/>
    <m/>
    <m/>
    <n v="5"/>
  </r>
  <r>
    <x v="4"/>
    <x v="0"/>
    <s v="S12000021"/>
    <x v="11"/>
    <n v="76"/>
    <m/>
    <m/>
    <n v="16"/>
    <n v="45"/>
    <m/>
    <m/>
    <n v="15"/>
  </r>
  <r>
    <x v="4"/>
    <x v="0"/>
    <s v="S12000024"/>
    <x v="13"/>
    <n v="69"/>
    <m/>
    <m/>
    <n v="10"/>
    <n v="54"/>
    <m/>
    <m/>
    <n v="5"/>
  </r>
  <r>
    <x v="4"/>
    <x v="0"/>
    <s v="S12000026"/>
    <x v="14"/>
    <n v="51"/>
    <m/>
    <m/>
    <n v="9"/>
    <n v="32"/>
    <m/>
    <m/>
    <n v="10"/>
  </r>
  <r>
    <x v="4"/>
    <x v="0"/>
    <s v="S12000028"/>
    <x v="16"/>
    <n v="50"/>
    <m/>
    <m/>
    <n v="10"/>
    <n v="35"/>
    <m/>
    <m/>
    <n v="5"/>
  </r>
  <r>
    <x v="4"/>
    <x v="0"/>
    <s v="S12000029"/>
    <x v="17"/>
    <n v="166"/>
    <m/>
    <m/>
    <n v="35"/>
    <n v="111"/>
    <m/>
    <m/>
    <n v="20"/>
  </r>
  <r>
    <x v="4"/>
    <x v="0"/>
    <s v="S12000030"/>
    <x v="18"/>
    <n v="48"/>
    <m/>
    <m/>
    <n v="9"/>
    <n v="34"/>
    <m/>
    <m/>
    <n v="5"/>
  </r>
  <r>
    <x v="4"/>
    <x v="0"/>
    <s v="S12000033"/>
    <x v="19"/>
    <n v="145"/>
    <m/>
    <m/>
    <n v="33"/>
    <n v="97"/>
    <m/>
    <m/>
    <n v="15"/>
  </r>
  <r>
    <x v="4"/>
    <x v="0"/>
    <s v="S12000034"/>
    <x v="20"/>
    <n v="24"/>
    <m/>
    <m/>
    <n v="5"/>
    <n v="14"/>
    <m/>
    <m/>
    <n v="5"/>
  </r>
  <r>
    <x v="4"/>
    <x v="0"/>
    <s v="S12000035"/>
    <x v="21"/>
    <n v="50"/>
    <m/>
    <m/>
    <n v="10"/>
    <n v="30"/>
    <m/>
    <m/>
    <n v="10"/>
  </r>
  <r>
    <x v="4"/>
    <x v="0"/>
    <s v="S12000036"/>
    <x v="22"/>
    <n v="293"/>
    <m/>
    <m/>
    <n v="54"/>
    <n v="204"/>
    <m/>
    <m/>
    <n v="35"/>
  </r>
  <r>
    <x v="4"/>
    <x v="0"/>
    <s v="S12000038"/>
    <x v="23"/>
    <n v="94"/>
    <m/>
    <m/>
    <n v="20"/>
    <n v="59"/>
    <m/>
    <m/>
    <n v="15"/>
  </r>
  <r>
    <x v="4"/>
    <x v="0"/>
    <s v="S12000039"/>
    <x v="24"/>
    <n v="68"/>
    <m/>
    <m/>
    <n v="15"/>
    <n v="43"/>
    <m/>
    <m/>
    <n v="10"/>
  </r>
  <r>
    <x v="4"/>
    <x v="0"/>
    <s v="S12000040"/>
    <x v="25"/>
    <n v="58"/>
    <m/>
    <m/>
    <n v="11"/>
    <n v="37"/>
    <m/>
    <m/>
    <n v="10"/>
  </r>
  <r>
    <x v="4"/>
    <x v="0"/>
    <s v="S12000041"/>
    <x v="26"/>
    <n v="28"/>
    <m/>
    <m/>
    <n v="5"/>
    <n v="18"/>
    <m/>
    <m/>
    <n v="5"/>
  </r>
  <r>
    <x v="4"/>
    <x v="0"/>
    <s v="S12000042"/>
    <x v="27"/>
    <n v="178"/>
    <m/>
    <m/>
    <n v="35"/>
    <n v="122"/>
    <m/>
    <m/>
    <n v="21"/>
  </r>
  <r>
    <x v="4"/>
    <x v="0"/>
    <s v="S12000044"/>
    <x v="28"/>
    <n v="163"/>
    <m/>
    <m/>
    <n v="31"/>
    <n v="113"/>
    <m/>
    <m/>
    <n v="19"/>
  </r>
  <r>
    <x v="4"/>
    <x v="0"/>
    <s v="S12000045"/>
    <x v="29"/>
    <n v="78"/>
    <m/>
    <m/>
    <n v="15"/>
    <n v="48"/>
    <m/>
    <m/>
    <n v="15"/>
  </r>
  <r>
    <x v="4"/>
    <x v="0"/>
    <s v="S12000046"/>
    <x v="30"/>
    <n v="489"/>
    <m/>
    <m/>
    <n v="113"/>
    <n v="319"/>
    <m/>
    <m/>
    <n v="57"/>
  </r>
  <r>
    <x v="4"/>
    <x v="0"/>
    <s v="S12000047"/>
    <x v="31"/>
    <n v="254"/>
    <m/>
    <m/>
    <n v="49"/>
    <n v="181"/>
    <m/>
    <m/>
    <n v="24"/>
  </r>
  <r>
    <x v="4"/>
    <x v="1"/>
    <s v="S39000001"/>
    <x v="19"/>
    <n v="15"/>
    <n v="1"/>
    <m/>
    <n v="2"/>
    <n v="2"/>
    <n v="2"/>
    <n v="3"/>
    <n v="5"/>
  </r>
  <r>
    <x v="4"/>
    <x v="1"/>
    <s v="S39000002"/>
    <x v="32"/>
    <n v="25"/>
    <n v="1"/>
    <m/>
    <n v="7"/>
    <m/>
    <n v="2"/>
    <n v="7"/>
    <n v="8"/>
  </r>
  <r>
    <x v="4"/>
    <x v="1"/>
    <s v="S39000003"/>
    <x v="33"/>
    <n v="26"/>
    <n v="1"/>
    <m/>
    <n v="6"/>
    <n v="1"/>
    <n v="3"/>
    <n v="9"/>
    <n v="6"/>
  </r>
  <r>
    <x v="4"/>
    <x v="1"/>
    <s v="S39000004"/>
    <x v="1"/>
    <n v="22"/>
    <n v="1"/>
    <m/>
    <n v="4"/>
    <n v="2"/>
    <n v="2"/>
    <n v="6"/>
    <n v="7"/>
  </r>
  <r>
    <x v="4"/>
    <x v="1"/>
    <s v="S39000006"/>
    <x v="34"/>
    <n v="27"/>
    <n v="1"/>
    <m/>
    <n v="5"/>
    <n v="1"/>
    <n v="3"/>
    <n v="9"/>
    <n v="8"/>
  </r>
  <r>
    <x v="4"/>
    <x v="1"/>
    <s v="S39000007"/>
    <x v="35"/>
    <n v="27"/>
    <n v="1"/>
    <m/>
    <n v="3"/>
    <n v="5"/>
    <n v="3"/>
    <n v="7"/>
    <n v="8"/>
  </r>
  <r>
    <x v="4"/>
    <x v="1"/>
    <s v="S39000008"/>
    <x v="36"/>
    <n v="16"/>
    <n v="1"/>
    <m/>
    <n v="2"/>
    <n v="2"/>
    <n v="3"/>
    <n v="4"/>
    <n v="4"/>
  </r>
  <r>
    <x v="4"/>
    <x v="1"/>
    <s v="S39000009"/>
    <x v="37"/>
    <n v="31"/>
    <n v="1"/>
    <m/>
    <n v="6"/>
    <n v="3"/>
    <n v="3"/>
    <n v="7"/>
    <n v="11"/>
  </r>
  <r>
    <x v="4"/>
    <x v="1"/>
    <s v="S39000010"/>
    <x v="38"/>
    <n v="19"/>
    <n v="1"/>
    <m/>
    <n v="3"/>
    <n v="2"/>
    <n v="2"/>
    <n v="5"/>
    <n v="6"/>
  </r>
  <r>
    <x v="4"/>
    <x v="1"/>
    <s v="S39000012"/>
    <x v="30"/>
    <n v="22"/>
    <n v="1"/>
    <m/>
    <n v="2"/>
    <n v="1"/>
    <n v="4"/>
    <n v="8"/>
    <n v="6"/>
  </r>
  <r>
    <x v="4"/>
    <x v="1"/>
    <s v="S39000013"/>
    <x v="39"/>
    <n v="32"/>
    <n v="1"/>
    <m/>
    <n v="7"/>
    <n v="1"/>
    <n v="4"/>
    <n v="12"/>
    <n v="7"/>
  </r>
  <r>
    <x v="4"/>
    <x v="1"/>
    <s v="S39000014"/>
    <x v="28"/>
    <n v="17"/>
    <n v="1"/>
    <m/>
    <n v="2"/>
    <n v="1"/>
    <n v="2"/>
    <n v="6"/>
    <n v="5"/>
  </r>
  <r>
    <x v="4"/>
    <x v="1"/>
    <s v="S39000015"/>
    <x v="17"/>
    <n v="16"/>
    <n v="1"/>
    <m/>
    <n v="2"/>
    <n v="1"/>
    <n v="2"/>
    <n v="6"/>
    <n v="4"/>
  </r>
  <r>
    <x v="4"/>
    <x v="1"/>
    <s v="S39000016"/>
    <x v="40"/>
    <n v="18"/>
    <n v="1"/>
    <m/>
    <n v="3"/>
    <n v="1"/>
    <n v="3"/>
    <n v="5"/>
    <n v="5"/>
  </r>
  <r>
    <x v="4"/>
    <x v="1"/>
    <s v="S39000017"/>
    <x v="41"/>
    <n v="19"/>
    <n v="1"/>
    <m/>
    <n v="5"/>
    <m/>
    <n v="2"/>
    <n v="6"/>
    <n v="5"/>
  </r>
  <r>
    <x v="4"/>
    <x v="1"/>
    <s v="S39000018"/>
    <x v="42"/>
    <n v="28"/>
    <n v="1"/>
    <m/>
    <n v="3"/>
    <n v="2"/>
    <n v="4"/>
    <n v="9"/>
    <n v="9"/>
  </r>
  <r>
    <x v="4"/>
    <x v="1"/>
    <s v="S39000019"/>
    <x v="31"/>
    <n v="19"/>
    <m/>
    <m/>
    <n v="1"/>
    <n v="4"/>
    <n v="2"/>
    <n v="6"/>
    <n v="6"/>
  </r>
  <r>
    <x v="4"/>
    <x v="2"/>
    <s v="S40000003"/>
    <x v="43"/>
    <n v="73"/>
    <n v="1"/>
    <m/>
    <n v="18"/>
    <m/>
    <n v="4"/>
    <n v="13"/>
    <n v="37"/>
  </r>
  <r>
    <x v="4"/>
    <x v="2"/>
    <s v="S40000004"/>
    <x v="44"/>
    <n v="37"/>
    <n v="1"/>
    <m/>
    <n v="9"/>
    <m/>
    <n v="5"/>
    <n v="6"/>
    <n v="16"/>
  </r>
  <r>
    <x v="4"/>
    <x v="2"/>
    <s v="S40000005"/>
    <x v="45"/>
    <n v="46"/>
    <n v="1"/>
    <m/>
    <n v="11"/>
    <m/>
    <n v="6"/>
    <n v="10"/>
    <n v="18"/>
  </r>
  <r>
    <x v="4"/>
    <x v="3"/>
    <s v="S92000003"/>
    <x v="46"/>
    <n v="143"/>
    <n v="15"/>
    <n v="4"/>
    <m/>
    <n v="55"/>
    <n v="13"/>
    <n v="9"/>
    <n v="47"/>
  </r>
  <r>
    <x v="5"/>
    <x v="0"/>
    <s v="S12000005"/>
    <x v="0"/>
    <n v="25"/>
    <m/>
    <m/>
    <n v="5"/>
    <n v="15"/>
    <m/>
    <m/>
    <n v="5"/>
  </r>
  <r>
    <x v="5"/>
    <x v="0"/>
    <s v="S12000006"/>
    <x v="1"/>
    <n v="53"/>
    <m/>
    <m/>
    <n v="10"/>
    <n v="38"/>
    <m/>
    <m/>
    <n v="5"/>
  </r>
  <r>
    <x v="5"/>
    <x v="0"/>
    <s v="S12000008"/>
    <x v="2"/>
    <n v="47"/>
    <m/>
    <m/>
    <n v="10"/>
    <n v="32"/>
    <m/>
    <m/>
    <n v="5"/>
  </r>
  <r>
    <x v="5"/>
    <x v="0"/>
    <s v="S12000010"/>
    <x v="3"/>
    <n v="24"/>
    <m/>
    <m/>
    <n v="5"/>
    <n v="14"/>
    <m/>
    <m/>
    <n v="5"/>
  </r>
  <r>
    <x v="5"/>
    <x v="0"/>
    <s v="S12000011"/>
    <x v="4"/>
    <n v="52"/>
    <m/>
    <m/>
    <n v="10"/>
    <n v="31"/>
    <m/>
    <m/>
    <n v="11"/>
  </r>
  <r>
    <x v="5"/>
    <x v="0"/>
    <s v="S12000014"/>
    <x v="6"/>
    <n v="88"/>
    <m/>
    <m/>
    <n v="20"/>
    <n v="53"/>
    <m/>
    <m/>
    <n v="15"/>
  </r>
  <r>
    <x v="5"/>
    <x v="0"/>
    <s v="S12000017"/>
    <x v="7"/>
    <n v="70"/>
    <m/>
    <m/>
    <n v="15"/>
    <n v="50"/>
    <m/>
    <m/>
    <n v="5"/>
  </r>
  <r>
    <x v="5"/>
    <x v="0"/>
    <s v="S12000018"/>
    <x v="8"/>
    <n v="72"/>
    <m/>
    <m/>
    <n v="15"/>
    <n v="47"/>
    <m/>
    <m/>
    <n v="10"/>
  </r>
  <r>
    <x v="5"/>
    <x v="0"/>
    <s v="S12000019"/>
    <x v="9"/>
    <n v="26"/>
    <m/>
    <m/>
    <n v="4"/>
    <n v="17"/>
    <m/>
    <m/>
    <n v="5"/>
  </r>
  <r>
    <x v="5"/>
    <x v="0"/>
    <s v="S12000020"/>
    <x v="10"/>
    <n v="30"/>
    <m/>
    <m/>
    <n v="5"/>
    <n v="20"/>
    <m/>
    <m/>
    <n v="5"/>
  </r>
  <r>
    <x v="5"/>
    <x v="0"/>
    <s v="S12000021"/>
    <x v="11"/>
    <n v="76"/>
    <m/>
    <m/>
    <n v="15"/>
    <n v="45"/>
    <m/>
    <m/>
    <n v="16"/>
  </r>
  <r>
    <x v="5"/>
    <x v="0"/>
    <s v="S12000024"/>
    <x v="13"/>
    <n v="69"/>
    <m/>
    <m/>
    <n v="10"/>
    <n v="54"/>
    <m/>
    <m/>
    <n v="5"/>
  </r>
  <r>
    <x v="5"/>
    <x v="0"/>
    <s v="S12000026"/>
    <x v="14"/>
    <n v="56"/>
    <m/>
    <m/>
    <n v="10"/>
    <n v="36"/>
    <m/>
    <m/>
    <n v="10"/>
  </r>
  <r>
    <x v="5"/>
    <x v="0"/>
    <s v="S12000028"/>
    <x v="16"/>
    <n v="50"/>
    <m/>
    <m/>
    <n v="11"/>
    <n v="34"/>
    <m/>
    <m/>
    <n v="5"/>
  </r>
  <r>
    <x v="5"/>
    <x v="0"/>
    <s v="S12000029"/>
    <x v="17"/>
    <n v="167"/>
    <m/>
    <m/>
    <n v="36"/>
    <n v="111"/>
    <m/>
    <m/>
    <n v="20"/>
  </r>
  <r>
    <x v="5"/>
    <x v="0"/>
    <s v="S12000030"/>
    <x v="18"/>
    <n v="49"/>
    <m/>
    <m/>
    <n v="10"/>
    <n v="34"/>
    <m/>
    <m/>
    <n v="5"/>
  </r>
  <r>
    <x v="5"/>
    <x v="0"/>
    <s v="S12000033"/>
    <x v="19"/>
    <n v="154"/>
    <m/>
    <m/>
    <n v="35"/>
    <n v="104"/>
    <m/>
    <m/>
    <n v="15"/>
  </r>
  <r>
    <x v="5"/>
    <x v="0"/>
    <s v="S12000034"/>
    <x v="20"/>
    <n v="30"/>
    <m/>
    <m/>
    <n v="5"/>
    <n v="20"/>
    <m/>
    <m/>
    <n v="5"/>
  </r>
  <r>
    <x v="5"/>
    <x v="0"/>
    <s v="S12000035"/>
    <x v="21"/>
    <n v="54"/>
    <m/>
    <m/>
    <n v="11"/>
    <n v="33"/>
    <m/>
    <m/>
    <n v="10"/>
  </r>
  <r>
    <x v="5"/>
    <x v="0"/>
    <s v="S12000036"/>
    <x v="22"/>
    <n v="297"/>
    <m/>
    <m/>
    <n v="59"/>
    <n v="203"/>
    <m/>
    <m/>
    <n v="35"/>
  </r>
  <r>
    <x v="5"/>
    <x v="0"/>
    <s v="S12000038"/>
    <x v="23"/>
    <n v="99"/>
    <m/>
    <m/>
    <n v="18"/>
    <n v="65"/>
    <m/>
    <m/>
    <n v="16"/>
  </r>
  <r>
    <x v="5"/>
    <x v="0"/>
    <s v="S12000039"/>
    <x v="24"/>
    <n v="73"/>
    <m/>
    <m/>
    <n v="15"/>
    <n v="48"/>
    <m/>
    <m/>
    <n v="10"/>
  </r>
  <r>
    <x v="5"/>
    <x v="0"/>
    <s v="S12000040"/>
    <x v="25"/>
    <n v="56"/>
    <m/>
    <m/>
    <n v="10"/>
    <n v="36"/>
    <m/>
    <m/>
    <n v="10"/>
  </r>
  <r>
    <x v="5"/>
    <x v="0"/>
    <s v="S12000041"/>
    <x v="26"/>
    <n v="28"/>
    <m/>
    <m/>
    <n v="5"/>
    <n v="18"/>
    <m/>
    <m/>
    <n v="5"/>
  </r>
  <r>
    <x v="5"/>
    <x v="0"/>
    <s v="S12000042"/>
    <x v="27"/>
    <n v="177"/>
    <m/>
    <m/>
    <n v="35"/>
    <n v="122"/>
    <m/>
    <m/>
    <n v="20"/>
  </r>
  <r>
    <x v="5"/>
    <x v="0"/>
    <s v="S12000044"/>
    <x v="28"/>
    <n v="166"/>
    <m/>
    <m/>
    <n v="35"/>
    <n v="111"/>
    <m/>
    <m/>
    <n v="20"/>
  </r>
  <r>
    <x v="5"/>
    <x v="0"/>
    <s v="S12000045"/>
    <x v="29"/>
    <n v="78"/>
    <m/>
    <m/>
    <n v="15"/>
    <n v="47"/>
    <m/>
    <m/>
    <n v="16"/>
  </r>
  <r>
    <x v="5"/>
    <x v="0"/>
    <s v="S12000046"/>
    <x v="30"/>
    <n v="515"/>
    <m/>
    <m/>
    <n v="110"/>
    <n v="349"/>
    <m/>
    <m/>
    <n v="56"/>
  </r>
  <r>
    <x v="5"/>
    <x v="0"/>
    <s v="S12000047"/>
    <x v="31"/>
    <n v="274"/>
    <m/>
    <m/>
    <n v="48"/>
    <n v="199"/>
    <m/>
    <m/>
    <n v="27"/>
  </r>
  <r>
    <x v="5"/>
    <x v="1"/>
    <s v="S39000001"/>
    <x v="19"/>
    <n v="16"/>
    <n v="1"/>
    <m/>
    <n v="2"/>
    <n v="1"/>
    <n v="2"/>
    <n v="4"/>
    <n v="6"/>
  </r>
  <r>
    <x v="5"/>
    <x v="1"/>
    <s v="S39000002"/>
    <x v="32"/>
    <n v="25"/>
    <n v="1"/>
    <m/>
    <n v="6"/>
    <m/>
    <n v="2"/>
    <n v="8"/>
    <n v="8"/>
  </r>
  <r>
    <x v="5"/>
    <x v="1"/>
    <s v="S39000003"/>
    <x v="33"/>
    <n v="26"/>
    <n v="1"/>
    <m/>
    <n v="6"/>
    <n v="2"/>
    <n v="3"/>
    <n v="8"/>
    <n v="6"/>
  </r>
  <r>
    <x v="5"/>
    <x v="1"/>
    <s v="S39000004"/>
    <x v="1"/>
    <n v="22"/>
    <n v="1"/>
    <m/>
    <n v="4"/>
    <n v="2"/>
    <n v="2"/>
    <n v="6"/>
    <n v="7"/>
  </r>
  <r>
    <x v="5"/>
    <x v="1"/>
    <s v="S39000006"/>
    <x v="34"/>
    <n v="25"/>
    <n v="1"/>
    <m/>
    <n v="2"/>
    <n v="2"/>
    <n v="3"/>
    <n v="9"/>
    <n v="8"/>
  </r>
  <r>
    <x v="5"/>
    <x v="1"/>
    <s v="S39000007"/>
    <x v="35"/>
    <n v="25"/>
    <n v="1"/>
    <m/>
    <n v="2"/>
    <n v="3"/>
    <n v="3"/>
    <n v="7"/>
    <n v="9"/>
  </r>
  <r>
    <x v="5"/>
    <x v="1"/>
    <s v="S39000008"/>
    <x v="36"/>
    <n v="14"/>
    <n v="1"/>
    <m/>
    <m/>
    <n v="2"/>
    <n v="4"/>
    <n v="4"/>
    <n v="3"/>
  </r>
  <r>
    <x v="5"/>
    <x v="1"/>
    <s v="S39000009"/>
    <x v="37"/>
    <n v="30"/>
    <n v="1"/>
    <m/>
    <n v="5"/>
    <n v="3"/>
    <n v="5"/>
    <n v="4"/>
    <n v="12"/>
  </r>
  <r>
    <x v="5"/>
    <x v="1"/>
    <s v="S39000010"/>
    <x v="38"/>
    <n v="20"/>
    <n v="1"/>
    <m/>
    <n v="3"/>
    <n v="2"/>
    <n v="2"/>
    <n v="6"/>
    <n v="6"/>
  </r>
  <r>
    <x v="5"/>
    <x v="1"/>
    <s v="S39000012"/>
    <x v="30"/>
    <n v="25"/>
    <n v="1"/>
    <m/>
    <n v="2"/>
    <n v="2"/>
    <n v="4"/>
    <n v="9"/>
    <n v="7"/>
  </r>
  <r>
    <x v="5"/>
    <x v="1"/>
    <s v="S39000013"/>
    <x v="39"/>
    <n v="45"/>
    <n v="1"/>
    <m/>
    <n v="9"/>
    <n v="1"/>
    <n v="4"/>
    <n v="14"/>
    <n v="16"/>
  </r>
  <r>
    <x v="5"/>
    <x v="1"/>
    <s v="S39000014"/>
    <x v="28"/>
    <n v="17"/>
    <n v="1"/>
    <m/>
    <n v="2"/>
    <n v="1"/>
    <n v="2"/>
    <n v="5"/>
    <n v="6"/>
  </r>
  <r>
    <x v="5"/>
    <x v="1"/>
    <s v="S39000015"/>
    <x v="17"/>
    <n v="16"/>
    <n v="1"/>
    <m/>
    <n v="2"/>
    <n v="1"/>
    <n v="2"/>
    <n v="6"/>
    <n v="4"/>
  </r>
  <r>
    <x v="5"/>
    <x v="1"/>
    <s v="S39000016"/>
    <x v="40"/>
    <n v="18"/>
    <n v="1"/>
    <m/>
    <n v="3"/>
    <n v="1"/>
    <n v="2"/>
    <n v="6"/>
    <n v="5"/>
  </r>
  <r>
    <x v="5"/>
    <x v="1"/>
    <s v="S39000017"/>
    <x v="41"/>
    <n v="16"/>
    <n v="1"/>
    <m/>
    <n v="3"/>
    <m/>
    <n v="3"/>
    <n v="5"/>
    <n v="4"/>
  </r>
  <r>
    <x v="5"/>
    <x v="1"/>
    <s v="S39000018"/>
    <x v="42"/>
    <n v="29"/>
    <n v="1"/>
    <m/>
    <n v="3"/>
    <n v="2"/>
    <n v="4"/>
    <n v="8"/>
    <n v="11"/>
  </r>
  <r>
    <x v="5"/>
    <x v="1"/>
    <s v="S39000019"/>
    <x v="31"/>
    <n v="18"/>
    <m/>
    <m/>
    <m/>
    <n v="4"/>
    <n v="2"/>
    <n v="6"/>
    <n v="6"/>
  </r>
  <r>
    <x v="5"/>
    <x v="2"/>
    <s v="S40000003"/>
    <x v="43"/>
    <n v="79"/>
    <n v="1"/>
    <m/>
    <n v="26"/>
    <m/>
    <n v="5"/>
    <n v="12"/>
    <n v="35"/>
  </r>
  <r>
    <x v="5"/>
    <x v="2"/>
    <s v="S40000004"/>
    <x v="44"/>
    <n v="37"/>
    <n v="1"/>
    <m/>
    <n v="8"/>
    <m/>
    <n v="5"/>
    <n v="5"/>
    <n v="18"/>
  </r>
  <r>
    <x v="5"/>
    <x v="2"/>
    <s v="S40000005"/>
    <x v="45"/>
    <n v="30"/>
    <n v="1"/>
    <m/>
    <n v="7"/>
    <m/>
    <n v="4"/>
    <n v="7"/>
    <n v="11"/>
  </r>
  <r>
    <x v="5"/>
    <x v="3"/>
    <s v="S92000003"/>
    <x v="46"/>
    <n v="149"/>
    <n v="14"/>
    <n v="4"/>
    <m/>
    <n v="60"/>
    <n v="17"/>
    <n v="8"/>
    <n v="46"/>
  </r>
  <r>
    <x v="6"/>
    <x v="0"/>
    <s v="S40000003"/>
    <x v="21"/>
    <n v="53"/>
    <m/>
    <m/>
    <n v="10"/>
    <n v="33"/>
    <m/>
    <m/>
    <n v="10"/>
  </r>
  <r>
    <x v="6"/>
    <x v="0"/>
    <s v="S40000003"/>
    <x v="1"/>
    <n v="52"/>
    <m/>
    <m/>
    <n v="10"/>
    <n v="37"/>
    <m/>
    <m/>
    <n v="5"/>
  </r>
  <r>
    <x v="6"/>
    <x v="0"/>
    <s v="S40000003"/>
    <x v="2"/>
    <n v="49"/>
    <m/>
    <m/>
    <n v="10"/>
    <n v="34"/>
    <m/>
    <m/>
    <n v="5"/>
  </r>
  <r>
    <x v="6"/>
    <x v="0"/>
    <s v="S40000003"/>
    <x v="29"/>
    <n v="79"/>
    <m/>
    <m/>
    <n v="15"/>
    <n v="49"/>
    <m/>
    <m/>
    <n v="15"/>
  </r>
  <r>
    <x v="6"/>
    <x v="0"/>
    <s v="S40000003"/>
    <x v="4"/>
    <n v="50"/>
    <m/>
    <m/>
    <n v="10"/>
    <n v="30"/>
    <m/>
    <m/>
    <n v="10"/>
  </r>
  <r>
    <x v="6"/>
    <x v="0"/>
    <s v="S40000003"/>
    <x v="30"/>
    <n v="517"/>
    <m/>
    <m/>
    <n v="114"/>
    <n v="346"/>
    <m/>
    <m/>
    <n v="57"/>
  </r>
  <r>
    <x v="6"/>
    <x v="0"/>
    <s v="S40000003"/>
    <x v="8"/>
    <n v="70"/>
    <m/>
    <m/>
    <n v="15"/>
    <n v="45"/>
    <m/>
    <m/>
    <n v="10"/>
  </r>
  <r>
    <x v="6"/>
    <x v="0"/>
    <s v="S40000003"/>
    <x v="11"/>
    <n v="75"/>
    <m/>
    <m/>
    <n v="15"/>
    <n v="45"/>
    <m/>
    <m/>
    <n v="15"/>
  </r>
  <r>
    <x v="6"/>
    <x v="0"/>
    <s v="S40000003"/>
    <x v="28"/>
    <n v="163"/>
    <m/>
    <m/>
    <n v="37"/>
    <n v="105"/>
    <m/>
    <m/>
    <n v="21"/>
  </r>
  <r>
    <x v="6"/>
    <x v="0"/>
    <s v="S40000003"/>
    <x v="23"/>
    <n v="102"/>
    <m/>
    <m/>
    <n v="21"/>
    <n v="66"/>
    <m/>
    <m/>
    <n v="15"/>
  </r>
  <r>
    <x v="6"/>
    <x v="0"/>
    <s v="S40000003"/>
    <x v="16"/>
    <n v="50"/>
    <m/>
    <m/>
    <n v="9"/>
    <n v="36"/>
    <m/>
    <m/>
    <n v="5"/>
  </r>
  <r>
    <x v="6"/>
    <x v="0"/>
    <s v="S40000003"/>
    <x v="17"/>
    <n v="168"/>
    <m/>
    <m/>
    <n v="37"/>
    <n v="111"/>
    <m/>
    <m/>
    <n v="20"/>
  </r>
  <r>
    <x v="6"/>
    <x v="0"/>
    <s v="S40000003"/>
    <x v="24"/>
    <n v="73"/>
    <m/>
    <m/>
    <n v="15"/>
    <n v="48"/>
    <m/>
    <m/>
    <n v="10"/>
  </r>
  <r>
    <x v="6"/>
    <x v="0"/>
    <s v="S40000004"/>
    <x v="22"/>
    <n v="306"/>
    <m/>
    <m/>
    <n v="56"/>
    <n v="214"/>
    <m/>
    <m/>
    <n v="36"/>
  </r>
  <r>
    <x v="6"/>
    <x v="0"/>
    <s v="S40000004"/>
    <x v="0"/>
    <n v="25"/>
    <m/>
    <m/>
    <n v="5"/>
    <n v="15"/>
    <m/>
    <m/>
    <n v="5"/>
  </r>
  <r>
    <x v="6"/>
    <x v="0"/>
    <s v="S40000004"/>
    <x v="3"/>
    <n v="25"/>
    <m/>
    <m/>
    <n v="5"/>
    <n v="15"/>
    <m/>
    <m/>
    <n v="5"/>
  </r>
  <r>
    <x v="6"/>
    <x v="0"/>
    <s v="S40000004"/>
    <x v="6"/>
    <n v="88"/>
    <m/>
    <m/>
    <n v="19"/>
    <n v="54"/>
    <m/>
    <m/>
    <n v="15"/>
  </r>
  <r>
    <x v="6"/>
    <x v="0"/>
    <s v="S40000004"/>
    <x v="31"/>
    <n v="269"/>
    <m/>
    <m/>
    <n v="51"/>
    <n v="192"/>
    <m/>
    <m/>
    <n v="26"/>
  </r>
  <r>
    <x v="6"/>
    <x v="0"/>
    <s v="S40000004"/>
    <x v="9"/>
    <n v="26"/>
    <m/>
    <m/>
    <n v="4"/>
    <n v="17"/>
    <m/>
    <m/>
    <n v="5"/>
  </r>
  <r>
    <x v="6"/>
    <x v="0"/>
    <s v="S40000004"/>
    <x v="14"/>
    <n v="53"/>
    <m/>
    <m/>
    <n v="10"/>
    <n v="33"/>
    <m/>
    <m/>
    <n v="10"/>
  </r>
  <r>
    <x v="6"/>
    <x v="0"/>
    <s v="S40000004"/>
    <x v="18"/>
    <n v="51"/>
    <m/>
    <m/>
    <n v="10"/>
    <n v="36"/>
    <m/>
    <m/>
    <n v="5"/>
  </r>
  <r>
    <x v="6"/>
    <x v="0"/>
    <s v="S40000004"/>
    <x v="25"/>
    <n v="58"/>
    <m/>
    <m/>
    <n v="10"/>
    <n v="38"/>
    <m/>
    <m/>
    <n v="10"/>
  </r>
  <r>
    <x v="6"/>
    <x v="0"/>
    <s v="S40000005"/>
    <x v="19"/>
    <n v="155"/>
    <m/>
    <m/>
    <n v="35"/>
    <n v="105"/>
    <m/>
    <m/>
    <n v="15"/>
  </r>
  <r>
    <x v="6"/>
    <x v="0"/>
    <s v="S40000005"/>
    <x v="20"/>
    <n v="32"/>
    <m/>
    <m/>
    <n v="4"/>
    <n v="22"/>
    <m/>
    <m/>
    <n v="6"/>
  </r>
  <r>
    <x v="6"/>
    <x v="0"/>
    <s v="S40000005"/>
    <x v="26"/>
    <n v="27"/>
    <m/>
    <m/>
    <n v="5"/>
    <n v="17"/>
    <m/>
    <m/>
    <n v="5"/>
  </r>
  <r>
    <x v="6"/>
    <x v="0"/>
    <s v="S40000005"/>
    <x v="27"/>
    <n v="182"/>
    <m/>
    <m/>
    <n v="36"/>
    <n v="126"/>
    <m/>
    <m/>
    <n v="20"/>
  </r>
  <r>
    <x v="6"/>
    <x v="0"/>
    <s v="S40000005"/>
    <x v="7"/>
    <n v="71"/>
    <m/>
    <m/>
    <n v="14"/>
    <n v="52"/>
    <m/>
    <m/>
    <n v="5"/>
  </r>
  <r>
    <x v="6"/>
    <x v="0"/>
    <s v="S40000005"/>
    <x v="10"/>
    <n v="30"/>
    <m/>
    <m/>
    <n v="5"/>
    <n v="20"/>
    <m/>
    <m/>
    <n v="5"/>
  </r>
  <r>
    <x v="6"/>
    <x v="0"/>
    <s v="S40000005"/>
    <x v="13"/>
    <n v="67"/>
    <m/>
    <m/>
    <n v="10"/>
    <n v="52"/>
    <m/>
    <m/>
    <n v="5"/>
  </r>
  <r>
    <x v="6"/>
    <x v="1"/>
    <m/>
    <x v="47"/>
    <n v="38"/>
    <n v="1"/>
    <m/>
    <n v="6"/>
    <n v="4"/>
    <n v="4"/>
    <n v="12"/>
    <n v="11"/>
  </r>
  <r>
    <x v="6"/>
    <x v="1"/>
    <s v="S40000003"/>
    <x v="33"/>
    <n v="28"/>
    <n v="1"/>
    <m/>
    <n v="7"/>
    <n v="2"/>
    <n v="3"/>
    <n v="8"/>
    <n v="7"/>
  </r>
  <r>
    <x v="6"/>
    <x v="1"/>
    <s v="S40000003"/>
    <x v="1"/>
    <n v="22"/>
    <n v="1"/>
    <m/>
    <n v="3"/>
    <n v="2"/>
    <n v="2"/>
    <n v="6"/>
    <n v="8"/>
  </r>
  <r>
    <x v="6"/>
    <x v="1"/>
    <s v="S40000003"/>
    <x v="34"/>
    <n v="28"/>
    <n v="1"/>
    <m/>
    <n v="5"/>
    <n v="1"/>
    <n v="3"/>
    <n v="10"/>
    <n v="8"/>
  </r>
  <r>
    <x v="6"/>
    <x v="1"/>
    <s v="S40000003"/>
    <x v="36"/>
    <n v="13"/>
    <n v="1"/>
    <m/>
    <m/>
    <n v="1"/>
    <n v="4"/>
    <n v="4"/>
    <n v="3"/>
  </r>
  <r>
    <x v="6"/>
    <x v="1"/>
    <s v="S40000003"/>
    <x v="30"/>
    <n v="25"/>
    <n v="1"/>
    <m/>
    <n v="2"/>
    <n v="2"/>
    <n v="5"/>
    <n v="10"/>
    <n v="5"/>
  </r>
  <r>
    <x v="6"/>
    <x v="1"/>
    <s v="S40000003"/>
    <x v="28"/>
    <n v="16"/>
    <n v="1"/>
    <m/>
    <n v="2"/>
    <n v="1"/>
    <n v="2"/>
    <n v="5"/>
    <n v="5"/>
  </r>
  <r>
    <x v="6"/>
    <x v="1"/>
    <s v="S40000003"/>
    <x v="17"/>
    <n v="16"/>
    <n v="1"/>
    <m/>
    <n v="3"/>
    <m/>
    <n v="2"/>
    <n v="6"/>
    <n v="4"/>
  </r>
  <r>
    <x v="6"/>
    <x v="1"/>
    <s v="S40000004"/>
    <x v="35"/>
    <n v="29"/>
    <n v="1"/>
    <m/>
    <n v="5"/>
    <n v="4"/>
    <n v="3"/>
    <n v="7"/>
    <n v="9"/>
  </r>
  <r>
    <x v="6"/>
    <x v="1"/>
    <s v="S40000004"/>
    <x v="37"/>
    <n v="28"/>
    <n v="1"/>
    <m/>
    <n v="4"/>
    <n v="4"/>
    <n v="4"/>
    <n v="5"/>
    <n v="10"/>
  </r>
  <r>
    <x v="6"/>
    <x v="1"/>
    <s v="S40000004"/>
    <x v="38"/>
    <n v="19"/>
    <n v="1"/>
    <m/>
    <n v="2"/>
    <n v="2"/>
    <n v="2"/>
    <n v="6"/>
    <n v="6"/>
  </r>
  <r>
    <x v="6"/>
    <x v="1"/>
    <s v="S40000005"/>
    <x v="19"/>
    <n v="13"/>
    <n v="1"/>
    <m/>
    <n v="2"/>
    <n v="1"/>
    <n v="2"/>
    <n v="3"/>
    <n v="4"/>
  </r>
  <r>
    <x v="6"/>
    <x v="1"/>
    <s v="S40000005"/>
    <x v="32"/>
    <n v="25"/>
    <n v="1"/>
    <m/>
    <n v="4"/>
    <n v="1"/>
    <n v="3"/>
    <n v="9"/>
    <n v="7"/>
  </r>
  <r>
    <x v="6"/>
    <x v="1"/>
    <s v="S40000005"/>
    <x v="42"/>
    <n v="31"/>
    <n v="1"/>
    <m/>
    <n v="4"/>
    <n v="2"/>
    <n v="4"/>
    <n v="9"/>
    <n v="11"/>
  </r>
  <r>
    <x v="6"/>
    <x v="1"/>
    <s v="S40000005"/>
    <x v="39"/>
    <n v="38"/>
    <n v="1"/>
    <m/>
    <n v="8"/>
    <n v="1"/>
    <n v="4"/>
    <n v="13"/>
    <n v="11"/>
  </r>
  <r>
    <x v="6"/>
    <x v="1"/>
    <s v="S40000005"/>
    <x v="41"/>
    <n v="14"/>
    <n v="1"/>
    <m/>
    <n v="1"/>
    <m/>
    <n v="3"/>
    <n v="5"/>
    <n v="4"/>
  </r>
  <r>
    <x v="6"/>
    <x v="2"/>
    <s v="S40000003"/>
    <x v="43"/>
    <n v="103"/>
    <n v="3"/>
    <m/>
    <n v="21"/>
    <m/>
    <n v="10"/>
    <n v="14"/>
    <n v="55"/>
  </r>
  <r>
    <x v="6"/>
    <x v="2"/>
    <s v="S40000004"/>
    <x v="44"/>
    <n v="52"/>
    <n v="1"/>
    <m/>
    <n v="6"/>
    <m/>
    <n v="4"/>
    <n v="8"/>
    <n v="33"/>
  </r>
  <r>
    <x v="6"/>
    <x v="2"/>
    <s v="S40000005"/>
    <x v="45"/>
    <n v="42"/>
    <n v="2"/>
    <m/>
    <n v="6"/>
    <m/>
    <n v="3"/>
    <n v="7"/>
    <n v="24"/>
  </r>
  <r>
    <x v="6"/>
    <x v="3"/>
    <s v="S92000003"/>
    <x v="46"/>
    <n v="90"/>
    <n v="9"/>
    <n v="6"/>
    <m/>
    <n v="49"/>
    <n v="13"/>
    <n v="6"/>
    <n v="7"/>
  </r>
</pivotCacheRecords>
</file>

<file path=xl/pivotCache/pivotCacheRecords31.xml><?xml version="1.0" encoding="utf-8"?>
<pivotCacheRecords xmlns="http://schemas.openxmlformats.org/spreadsheetml/2006/main" xmlns:r="http://schemas.openxmlformats.org/officeDocument/2006/relationships" count="137">
  <r>
    <x v="0"/>
    <x v="0"/>
    <s v="S12000033"/>
    <n v="30"/>
    <n v="2"/>
    <n v="2"/>
    <n v="16"/>
    <n v="10"/>
  </r>
  <r>
    <x v="0"/>
    <x v="1"/>
    <s v="S12000034"/>
    <n v="72"/>
    <m/>
    <n v="8"/>
    <n v="62"/>
    <n v="2"/>
  </r>
  <r>
    <x v="0"/>
    <x v="2"/>
    <s v="S12000041"/>
    <n v="24"/>
    <m/>
    <m/>
    <n v="22"/>
    <n v="2"/>
  </r>
  <r>
    <x v="0"/>
    <x v="3"/>
    <s v="S12000035"/>
    <n v="94"/>
    <n v="2"/>
    <n v="50"/>
    <n v="42"/>
    <m/>
  </r>
  <r>
    <x v="0"/>
    <x v="4"/>
    <s v="S12000036"/>
    <n v="50"/>
    <n v="10"/>
    <n v="4"/>
    <n v="24"/>
    <n v="12"/>
  </r>
  <r>
    <x v="0"/>
    <x v="5"/>
    <s v="S12000005"/>
    <n v="6"/>
    <m/>
    <n v="2"/>
    <n v="4"/>
    <m/>
  </r>
  <r>
    <x v="0"/>
    <x v="6"/>
    <s v="S12000006"/>
    <n v="58"/>
    <n v="2"/>
    <n v="16"/>
    <n v="40"/>
    <m/>
  </r>
  <r>
    <x v="0"/>
    <x v="7"/>
    <s v="S12000042"/>
    <n v="50"/>
    <n v="2"/>
    <n v="4"/>
    <n v="26"/>
    <n v="18"/>
  </r>
  <r>
    <x v="0"/>
    <x v="8"/>
    <s v="S12000008"/>
    <n v="22"/>
    <n v="2"/>
    <m/>
    <n v="18"/>
    <n v="2"/>
  </r>
  <r>
    <x v="0"/>
    <x v="9"/>
    <s v="S12000045"/>
    <n v="10"/>
    <m/>
    <m/>
    <n v="6"/>
    <n v="4"/>
  </r>
  <r>
    <x v="0"/>
    <x v="10"/>
    <s v="S12000010"/>
    <n v="14"/>
    <m/>
    <m/>
    <n v="14"/>
    <m/>
  </r>
  <r>
    <x v="0"/>
    <x v="11"/>
    <s v="S12000011"/>
    <n v="4"/>
    <m/>
    <m/>
    <n v="4"/>
    <m/>
  </r>
  <r>
    <x v="0"/>
    <x v="12"/>
    <s v="S12000014"/>
    <n v="28"/>
    <n v="2"/>
    <n v="8"/>
    <n v="14"/>
    <n v="4"/>
  </r>
  <r>
    <x v="0"/>
    <x v="13"/>
    <s v="S12000047"/>
    <n v="56"/>
    <n v="4"/>
    <n v="14"/>
    <n v="34"/>
    <n v="4"/>
  </r>
  <r>
    <x v="0"/>
    <x v="14"/>
    <s v="S12000046"/>
    <n v="27"/>
    <n v="3"/>
    <n v="6"/>
    <n v="18"/>
    <m/>
  </r>
  <r>
    <x v="0"/>
    <x v="14"/>
    <s v="S12000049"/>
    <n v="27"/>
    <n v="3"/>
    <n v="6"/>
    <n v="18"/>
    <m/>
  </r>
  <r>
    <x v="0"/>
    <x v="15"/>
    <s v="S12000017"/>
    <n v="166"/>
    <n v="2"/>
    <n v="24"/>
    <n v="134"/>
    <n v="6"/>
  </r>
  <r>
    <x v="0"/>
    <x v="16"/>
    <s v="S12000018"/>
    <n v="16"/>
    <n v="2"/>
    <n v="2"/>
    <n v="12"/>
    <m/>
  </r>
  <r>
    <x v="0"/>
    <x v="17"/>
    <s v="S12000019"/>
    <n v="10"/>
    <m/>
    <n v="4"/>
    <n v="6"/>
    <m/>
  </r>
  <r>
    <x v="0"/>
    <x v="18"/>
    <s v="S12000020"/>
    <n v="38"/>
    <m/>
    <n v="12"/>
    <n v="26"/>
    <m/>
  </r>
  <r>
    <x v="0"/>
    <x v="19"/>
    <s v="S12000013"/>
    <n v="34"/>
    <m/>
    <n v="2"/>
    <n v="32"/>
    <m/>
  </r>
  <r>
    <x v="0"/>
    <x v="20"/>
    <s v="S12000021"/>
    <n v="40"/>
    <m/>
    <n v="10"/>
    <n v="28"/>
    <n v="2"/>
  </r>
  <r>
    <x v="0"/>
    <x v="21"/>
    <s v="S12000044"/>
    <n v="16"/>
    <n v="2"/>
    <n v="3"/>
    <n v="8"/>
    <n v="3"/>
  </r>
  <r>
    <x v="0"/>
    <x v="21"/>
    <s v="S12000050"/>
    <n v="16"/>
    <n v="2"/>
    <n v="3"/>
    <n v="8"/>
    <n v="3"/>
  </r>
  <r>
    <x v="0"/>
    <x v="22"/>
    <s v="S12000023"/>
    <n v="30"/>
    <m/>
    <n v="2"/>
    <n v="28"/>
    <m/>
  </r>
  <r>
    <x v="0"/>
    <x v="23"/>
    <s v="S12000024"/>
    <n v="48"/>
    <n v="2"/>
    <n v="10"/>
    <n v="32"/>
    <n v="4"/>
  </r>
  <r>
    <x v="0"/>
    <x v="24"/>
    <s v="S12000038"/>
    <n v="16"/>
    <n v="4"/>
    <n v="4"/>
    <n v="8"/>
    <m/>
  </r>
  <r>
    <x v="0"/>
    <x v="25"/>
    <s v="S12000026"/>
    <n v="42"/>
    <m/>
    <n v="6"/>
    <n v="32"/>
    <n v="4"/>
  </r>
  <r>
    <x v="0"/>
    <x v="26"/>
    <s v="S12000027"/>
    <n v="34"/>
    <m/>
    <n v="2"/>
    <n v="32"/>
    <m/>
  </r>
  <r>
    <x v="0"/>
    <x v="27"/>
    <s v="S12000028"/>
    <n v="18"/>
    <n v="2"/>
    <n v="2"/>
    <n v="14"/>
    <m/>
  </r>
  <r>
    <x v="0"/>
    <x v="28"/>
    <s v="S12000029"/>
    <n v="46"/>
    <n v="2"/>
    <n v="14"/>
    <n v="28"/>
    <n v="2"/>
  </r>
  <r>
    <x v="0"/>
    <x v="29"/>
    <s v="S12000030"/>
    <n v="32"/>
    <m/>
    <n v="12"/>
    <n v="20"/>
    <m/>
  </r>
  <r>
    <x v="0"/>
    <x v="30"/>
    <s v="S12000039"/>
    <n v="14"/>
    <n v="2"/>
    <n v="2"/>
    <n v="8"/>
    <n v="2"/>
  </r>
  <r>
    <x v="0"/>
    <x v="31"/>
    <s v="S12000040"/>
    <n v="24"/>
    <m/>
    <n v="4"/>
    <n v="18"/>
    <n v="2"/>
  </r>
  <r>
    <x v="1"/>
    <x v="0"/>
    <s v="S12000033"/>
    <n v="36"/>
    <n v="2"/>
    <n v="6"/>
    <n v="16"/>
    <n v="12"/>
  </r>
  <r>
    <x v="1"/>
    <x v="1"/>
    <s v="S12000034"/>
    <n v="74"/>
    <m/>
    <n v="10"/>
    <n v="62"/>
    <n v="2"/>
  </r>
  <r>
    <x v="1"/>
    <x v="2"/>
    <s v="S12000041"/>
    <n v="24"/>
    <m/>
    <m/>
    <n v="22"/>
    <n v="2"/>
  </r>
  <r>
    <x v="1"/>
    <x v="3"/>
    <s v="S12000035"/>
    <n v="96"/>
    <n v="2"/>
    <n v="52"/>
    <n v="42"/>
    <m/>
  </r>
  <r>
    <x v="1"/>
    <x v="4"/>
    <s v="S12000036"/>
    <n v="42"/>
    <n v="6"/>
    <n v="2"/>
    <n v="24"/>
    <n v="10"/>
  </r>
  <r>
    <x v="1"/>
    <x v="5"/>
    <s v="S12000005"/>
    <n v="10"/>
    <m/>
    <n v="4"/>
    <n v="6"/>
    <m/>
  </r>
  <r>
    <x v="1"/>
    <x v="6"/>
    <s v="S12000006"/>
    <n v="58"/>
    <n v="2"/>
    <n v="16"/>
    <n v="40"/>
    <m/>
  </r>
  <r>
    <x v="1"/>
    <x v="7"/>
    <s v="S12000042"/>
    <n v="44"/>
    <n v="2"/>
    <n v="6"/>
    <n v="16"/>
    <n v="20"/>
  </r>
  <r>
    <x v="1"/>
    <x v="8"/>
    <s v="S12000008"/>
    <n v="22"/>
    <n v="2"/>
    <m/>
    <n v="18"/>
    <n v="2"/>
  </r>
  <r>
    <x v="1"/>
    <x v="9"/>
    <s v="S12000045"/>
    <n v="10"/>
    <m/>
    <m/>
    <n v="6"/>
    <n v="4"/>
  </r>
  <r>
    <x v="1"/>
    <x v="10"/>
    <s v="S12000010"/>
    <n v="16"/>
    <m/>
    <m/>
    <n v="16"/>
    <m/>
  </r>
  <r>
    <x v="1"/>
    <x v="11"/>
    <s v="S12000011"/>
    <n v="4"/>
    <m/>
    <m/>
    <n v="4"/>
    <m/>
  </r>
  <r>
    <x v="1"/>
    <x v="12"/>
    <s v="S12000014"/>
    <n v="32"/>
    <n v="2"/>
    <n v="8"/>
    <n v="18"/>
    <n v="4"/>
  </r>
  <r>
    <x v="1"/>
    <x v="13"/>
    <s v="S12000047"/>
    <n v="60"/>
    <n v="4"/>
    <n v="12"/>
    <n v="40"/>
    <n v="4"/>
  </r>
  <r>
    <x v="1"/>
    <x v="14"/>
    <s v="S12000046"/>
    <n v="28"/>
    <n v="4"/>
    <n v="6"/>
    <n v="18"/>
    <m/>
  </r>
  <r>
    <x v="1"/>
    <x v="14"/>
    <s v="S12000049"/>
    <n v="28"/>
    <n v="4"/>
    <n v="6"/>
    <n v="18"/>
    <m/>
  </r>
  <r>
    <x v="1"/>
    <x v="15"/>
    <s v="S12000017"/>
    <n v="160"/>
    <n v="2"/>
    <n v="24"/>
    <n v="128"/>
    <n v="6"/>
  </r>
  <r>
    <x v="1"/>
    <x v="16"/>
    <s v="S12000018"/>
    <n v="14"/>
    <n v="2"/>
    <m/>
    <n v="12"/>
    <m/>
  </r>
  <r>
    <x v="1"/>
    <x v="17"/>
    <s v="S12000019"/>
    <n v="6"/>
    <m/>
    <n v="2"/>
    <n v="4"/>
    <m/>
  </r>
  <r>
    <x v="1"/>
    <x v="18"/>
    <s v="S12000020"/>
    <n v="38"/>
    <m/>
    <n v="10"/>
    <n v="26"/>
    <n v="2"/>
  </r>
  <r>
    <x v="1"/>
    <x v="19"/>
    <s v="S12000013"/>
    <n v="34"/>
    <m/>
    <n v="2"/>
    <n v="32"/>
    <m/>
  </r>
  <r>
    <x v="1"/>
    <x v="20"/>
    <s v="S12000021"/>
    <n v="40"/>
    <m/>
    <n v="8"/>
    <n v="30"/>
    <n v="2"/>
  </r>
  <r>
    <x v="1"/>
    <x v="21"/>
    <s v="S12000044"/>
    <n v="18"/>
    <n v="2"/>
    <n v="4"/>
    <n v="8"/>
    <n v="4"/>
  </r>
  <r>
    <x v="1"/>
    <x v="21"/>
    <s v="S12000050"/>
    <n v="18"/>
    <n v="2"/>
    <n v="4"/>
    <n v="8"/>
    <n v="4"/>
  </r>
  <r>
    <x v="1"/>
    <x v="22"/>
    <s v="S12000023"/>
    <n v="32"/>
    <m/>
    <n v="2"/>
    <n v="30"/>
    <m/>
  </r>
  <r>
    <x v="1"/>
    <x v="23"/>
    <s v="S12000024"/>
    <n v="44"/>
    <n v="2"/>
    <n v="8"/>
    <n v="32"/>
    <n v="2"/>
  </r>
  <r>
    <x v="1"/>
    <x v="24"/>
    <s v="S12000038"/>
    <n v="18"/>
    <n v="4"/>
    <n v="6"/>
    <n v="8"/>
    <m/>
  </r>
  <r>
    <x v="1"/>
    <x v="25"/>
    <s v="S12000026"/>
    <n v="38"/>
    <m/>
    <n v="4"/>
    <n v="34"/>
    <m/>
  </r>
  <r>
    <x v="1"/>
    <x v="26"/>
    <s v="S12000027"/>
    <n v="36"/>
    <m/>
    <n v="4"/>
    <n v="32"/>
    <m/>
  </r>
  <r>
    <x v="1"/>
    <x v="27"/>
    <s v="S12000028"/>
    <n v="18"/>
    <n v="2"/>
    <n v="2"/>
    <n v="14"/>
    <m/>
  </r>
  <r>
    <x v="1"/>
    <x v="28"/>
    <s v="S12000029"/>
    <n v="46"/>
    <n v="2"/>
    <n v="14"/>
    <n v="28"/>
    <n v="2"/>
  </r>
  <r>
    <x v="1"/>
    <x v="29"/>
    <s v="S12000030"/>
    <n v="30"/>
    <m/>
    <n v="12"/>
    <n v="18"/>
    <m/>
  </r>
  <r>
    <x v="1"/>
    <x v="30"/>
    <s v="S12000039"/>
    <n v="14"/>
    <n v="2"/>
    <n v="2"/>
    <n v="8"/>
    <n v="2"/>
  </r>
  <r>
    <x v="1"/>
    <x v="31"/>
    <s v="S12000040"/>
    <n v="22"/>
    <m/>
    <n v="4"/>
    <n v="16"/>
    <n v="2"/>
  </r>
  <r>
    <x v="2"/>
    <x v="0"/>
    <s v="S12000033"/>
    <n v="38"/>
    <n v="4"/>
    <n v="6"/>
    <n v="16"/>
    <n v="12"/>
  </r>
  <r>
    <x v="2"/>
    <x v="1"/>
    <s v="S12000034"/>
    <n v="74"/>
    <m/>
    <n v="10"/>
    <n v="62"/>
    <n v="2"/>
  </r>
  <r>
    <x v="2"/>
    <x v="2"/>
    <s v="S12000041"/>
    <n v="26"/>
    <m/>
    <n v="2"/>
    <n v="22"/>
    <n v="2"/>
  </r>
  <r>
    <x v="2"/>
    <x v="3"/>
    <s v="S12000035"/>
    <n v="102"/>
    <n v="2"/>
    <n v="50"/>
    <n v="50"/>
    <m/>
  </r>
  <r>
    <x v="2"/>
    <x v="4"/>
    <s v="S12000036"/>
    <n v="50"/>
    <n v="8"/>
    <n v="6"/>
    <n v="24"/>
    <n v="12"/>
  </r>
  <r>
    <x v="2"/>
    <x v="5"/>
    <s v="S12000005"/>
    <n v="10"/>
    <m/>
    <n v="4"/>
    <n v="6"/>
    <m/>
  </r>
  <r>
    <x v="2"/>
    <x v="6"/>
    <s v="S12000006"/>
    <n v="60"/>
    <n v="2"/>
    <n v="14"/>
    <n v="44"/>
    <m/>
  </r>
  <r>
    <x v="2"/>
    <x v="7"/>
    <s v="S12000042"/>
    <n v="40"/>
    <n v="4"/>
    <n v="6"/>
    <n v="14"/>
    <n v="16"/>
  </r>
  <r>
    <x v="2"/>
    <x v="8"/>
    <s v="S12000008"/>
    <n v="22"/>
    <n v="2"/>
    <m/>
    <n v="18"/>
    <n v="2"/>
  </r>
  <r>
    <x v="2"/>
    <x v="9"/>
    <s v="S12000045"/>
    <n v="10"/>
    <m/>
    <m/>
    <n v="6"/>
    <n v="4"/>
  </r>
  <r>
    <x v="2"/>
    <x v="10"/>
    <s v="S12000010"/>
    <n v="18"/>
    <m/>
    <m/>
    <n v="18"/>
    <m/>
  </r>
  <r>
    <x v="2"/>
    <x v="11"/>
    <s v="S12000011"/>
    <n v="4"/>
    <m/>
    <m/>
    <n v="4"/>
    <m/>
  </r>
  <r>
    <x v="2"/>
    <x v="12"/>
    <s v="S12000014"/>
    <n v="34"/>
    <n v="2"/>
    <n v="8"/>
    <n v="20"/>
    <n v="4"/>
  </r>
  <r>
    <x v="2"/>
    <x v="13"/>
    <s v="S12000047"/>
    <n v="62"/>
    <n v="4"/>
    <n v="12"/>
    <n v="42"/>
    <n v="4"/>
  </r>
  <r>
    <x v="2"/>
    <x v="14"/>
    <s v="S12000046"/>
    <n v="28"/>
    <n v="4"/>
    <n v="6"/>
    <n v="18"/>
    <m/>
  </r>
  <r>
    <x v="2"/>
    <x v="14"/>
    <s v="S12000049"/>
    <n v="28"/>
    <n v="4"/>
    <n v="6"/>
    <n v="18"/>
    <m/>
  </r>
  <r>
    <x v="2"/>
    <x v="15"/>
    <s v="S12000017"/>
    <n v="176"/>
    <n v="2"/>
    <n v="30"/>
    <n v="136"/>
    <n v="8"/>
  </r>
  <r>
    <x v="2"/>
    <x v="16"/>
    <s v="S12000018"/>
    <n v="16"/>
    <n v="2"/>
    <m/>
    <n v="14"/>
    <m/>
  </r>
  <r>
    <x v="2"/>
    <x v="17"/>
    <s v="S12000019"/>
    <n v="6"/>
    <m/>
    <n v="2"/>
    <n v="4"/>
    <m/>
  </r>
  <r>
    <x v="2"/>
    <x v="18"/>
    <s v="S12000020"/>
    <n v="38"/>
    <m/>
    <n v="10"/>
    <n v="26"/>
    <n v="2"/>
  </r>
  <r>
    <x v="2"/>
    <x v="19"/>
    <s v="S12000013"/>
    <n v="36"/>
    <m/>
    <n v="2"/>
    <n v="34"/>
    <m/>
  </r>
  <r>
    <x v="2"/>
    <x v="20"/>
    <s v="S12000021"/>
    <n v="40"/>
    <m/>
    <n v="6"/>
    <n v="32"/>
    <n v="2"/>
  </r>
  <r>
    <x v="2"/>
    <x v="21"/>
    <s v="S12000044"/>
    <n v="15"/>
    <n v="2"/>
    <n v="3"/>
    <n v="8"/>
    <n v="2"/>
  </r>
  <r>
    <x v="2"/>
    <x v="21"/>
    <s v="S12000050"/>
    <n v="15"/>
    <n v="2"/>
    <n v="3"/>
    <n v="8"/>
    <n v="2"/>
  </r>
  <r>
    <x v="2"/>
    <x v="22"/>
    <s v="S12000023"/>
    <n v="30"/>
    <m/>
    <n v="2"/>
    <n v="28"/>
    <m/>
  </r>
  <r>
    <x v="2"/>
    <x v="23"/>
    <s v="S12000024"/>
    <n v="46"/>
    <n v="2"/>
    <n v="8"/>
    <n v="32"/>
    <n v="4"/>
  </r>
  <r>
    <x v="2"/>
    <x v="24"/>
    <s v="S12000038"/>
    <n v="20"/>
    <n v="4"/>
    <n v="8"/>
    <n v="8"/>
    <m/>
  </r>
  <r>
    <x v="2"/>
    <x v="25"/>
    <s v="S12000026"/>
    <n v="40"/>
    <m/>
    <n v="6"/>
    <n v="34"/>
    <m/>
  </r>
  <r>
    <x v="2"/>
    <x v="26"/>
    <s v="S12000027"/>
    <n v="36"/>
    <m/>
    <n v="4"/>
    <n v="32"/>
    <m/>
  </r>
  <r>
    <x v="2"/>
    <x v="27"/>
    <s v="S12000028"/>
    <n v="18"/>
    <n v="2"/>
    <n v="2"/>
    <n v="14"/>
    <m/>
  </r>
  <r>
    <x v="2"/>
    <x v="28"/>
    <s v="S12000029"/>
    <n v="48"/>
    <n v="2"/>
    <n v="16"/>
    <n v="28"/>
    <n v="2"/>
  </r>
  <r>
    <x v="2"/>
    <x v="29"/>
    <s v="S12000030"/>
    <n v="30"/>
    <m/>
    <n v="12"/>
    <n v="18"/>
    <m/>
  </r>
  <r>
    <x v="2"/>
    <x v="30"/>
    <s v="S12000039"/>
    <n v="14"/>
    <n v="2"/>
    <n v="2"/>
    <n v="8"/>
    <n v="2"/>
  </r>
  <r>
    <x v="2"/>
    <x v="31"/>
    <s v="S12000040"/>
    <n v="24"/>
    <m/>
    <n v="6"/>
    <n v="16"/>
    <n v="2"/>
  </r>
  <r>
    <x v="3"/>
    <x v="0"/>
    <s v="S12000033"/>
    <n v="42"/>
    <n v="2"/>
    <n v="10"/>
    <n v="18"/>
    <n v="12"/>
  </r>
  <r>
    <x v="3"/>
    <x v="1"/>
    <s v="S12000034"/>
    <n v="76"/>
    <m/>
    <n v="12"/>
    <n v="62"/>
    <n v="2"/>
  </r>
  <r>
    <x v="3"/>
    <x v="2"/>
    <s v="S12000041"/>
    <n v="26"/>
    <m/>
    <n v="2"/>
    <n v="22"/>
    <n v="2"/>
  </r>
  <r>
    <x v="3"/>
    <x v="3"/>
    <s v="S12000035"/>
    <n v="94"/>
    <n v="2"/>
    <n v="44"/>
    <n v="48"/>
    <m/>
  </r>
  <r>
    <x v="3"/>
    <x v="4"/>
    <s v="S12000036"/>
    <n v="50"/>
    <n v="6"/>
    <n v="10"/>
    <n v="24"/>
    <n v="10"/>
  </r>
  <r>
    <x v="3"/>
    <x v="5"/>
    <s v="S12000005"/>
    <n v="8"/>
    <m/>
    <n v="4"/>
    <n v="4"/>
    <m/>
  </r>
  <r>
    <x v="3"/>
    <x v="6"/>
    <s v="S12000006"/>
    <n v="56"/>
    <n v="2"/>
    <n v="12"/>
    <n v="42"/>
    <m/>
  </r>
  <r>
    <x v="3"/>
    <x v="7"/>
    <s v="S12000042"/>
    <n v="38"/>
    <n v="4"/>
    <n v="6"/>
    <n v="14"/>
    <n v="14"/>
  </r>
  <r>
    <x v="3"/>
    <x v="8"/>
    <s v="S12000008"/>
    <n v="22"/>
    <n v="2"/>
    <m/>
    <n v="18"/>
    <n v="2"/>
  </r>
  <r>
    <x v="3"/>
    <x v="9"/>
    <s v="S12000045"/>
    <n v="10"/>
    <m/>
    <m/>
    <n v="6"/>
    <n v="4"/>
  </r>
  <r>
    <x v="3"/>
    <x v="10"/>
    <s v="S12000010"/>
    <n v="20"/>
    <m/>
    <n v="2"/>
    <n v="18"/>
    <m/>
  </r>
  <r>
    <x v="3"/>
    <x v="11"/>
    <s v="S12000011"/>
    <n v="4"/>
    <m/>
    <m/>
    <n v="4"/>
    <m/>
  </r>
  <r>
    <x v="3"/>
    <x v="12"/>
    <s v="S12000014"/>
    <n v="36"/>
    <n v="4"/>
    <n v="10"/>
    <n v="18"/>
    <n v="4"/>
  </r>
  <r>
    <x v="3"/>
    <x v="13"/>
    <s v="S12000047"/>
    <n v="60"/>
    <n v="4"/>
    <n v="14"/>
    <n v="38"/>
    <n v="4"/>
  </r>
  <r>
    <x v="3"/>
    <x v="14"/>
    <s v="S12000046"/>
    <n v="28"/>
    <n v="3"/>
    <n v="6"/>
    <n v="19"/>
    <m/>
  </r>
  <r>
    <x v="3"/>
    <x v="14"/>
    <s v="S12000049"/>
    <n v="28"/>
    <n v="3"/>
    <n v="6"/>
    <n v="19"/>
    <m/>
  </r>
  <r>
    <x v="3"/>
    <x v="15"/>
    <s v="S12000017"/>
    <n v="166"/>
    <n v="4"/>
    <n v="26"/>
    <n v="130"/>
    <n v="6"/>
  </r>
  <r>
    <x v="3"/>
    <x v="16"/>
    <s v="S12000018"/>
    <n v="14"/>
    <n v="2"/>
    <m/>
    <n v="12"/>
    <m/>
  </r>
  <r>
    <x v="3"/>
    <x v="17"/>
    <s v="S12000019"/>
    <n v="6"/>
    <m/>
    <n v="2"/>
    <n v="4"/>
    <m/>
  </r>
  <r>
    <x v="3"/>
    <x v="18"/>
    <s v="S12000020"/>
    <n v="40"/>
    <m/>
    <n v="12"/>
    <n v="26"/>
    <n v="2"/>
  </r>
  <r>
    <x v="3"/>
    <x v="19"/>
    <s v="S12000013"/>
    <n v="34"/>
    <m/>
    <n v="2"/>
    <n v="32"/>
    <m/>
  </r>
  <r>
    <x v="3"/>
    <x v="20"/>
    <s v="S12000021"/>
    <n v="40"/>
    <m/>
    <n v="6"/>
    <n v="32"/>
    <n v="2"/>
  </r>
  <r>
    <x v="3"/>
    <x v="21"/>
    <s v="S12000044"/>
    <n v="15"/>
    <n v="1"/>
    <n v="4"/>
    <n v="8"/>
    <n v="2"/>
  </r>
  <r>
    <x v="3"/>
    <x v="21"/>
    <s v="S12000050"/>
    <n v="15"/>
    <n v="1"/>
    <n v="4"/>
    <n v="8"/>
    <n v="2"/>
  </r>
  <r>
    <x v="3"/>
    <x v="22"/>
    <s v="S12000023"/>
    <n v="34"/>
    <m/>
    <n v="2"/>
    <n v="32"/>
    <m/>
  </r>
  <r>
    <x v="3"/>
    <x v="23"/>
    <s v="S12000024"/>
    <n v="46"/>
    <n v="2"/>
    <n v="8"/>
    <n v="30"/>
    <n v="6"/>
  </r>
  <r>
    <x v="3"/>
    <x v="24"/>
    <s v="S12000038"/>
    <n v="18"/>
    <n v="4"/>
    <n v="6"/>
    <n v="8"/>
    <m/>
  </r>
  <r>
    <x v="3"/>
    <x v="25"/>
    <s v="S12000026"/>
    <n v="40"/>
    <m/>
    <n v="6"/>
    <n v="34"/>
    <m/>
  </r>
  <r>
    <x v="3"/>
    <x v="26"/>
    <s v="S12000027"/>
    <n v="32"/>
    <m/>
    <n v="4"/>
    <n v="28"/>
    <m/>
  </r>
  <r>
    <x v="3"/>
    <x v="27"/>
    <s v="S12000028"/>
    <n v="18"/>
    <n v="2"/>
    <n v="2"/>
    <n v="14"/>
    <m/>
  </r>
  <r>
    <x v="3"/>
    <x v="28"/>
    <s v="S12000029"/>
    <n v="46"/>
    <n v="2"/>
    <n v="14"/>
    <n v="28"/>
    <n v="2"/>
  </r>
  <r>
    <x v="3"/>
    <x v="29"/>
    <s v="S12000030"/>
    <n v="32"/>
    <m/>
    <n v="14"/>
    <n v="18"/>
    <m/>
  </r>
  <r>
    <x v="3"/>
    <x v="30"/>
    <s v="S12000039"/>
    <n v="14"/>
    <n v="2"/>
    <n v="2"/>
    <n v="8"/>
    <n v="2"/>
  </r>
  <r>
    <x v="3"/>
    <x v="31"/>
    <s v="S12000040"/>
    <n v="20"/>
    <m/>
    <n v="4"/>
    <n v="16"/>
    <m/>
  </r>
  <r>
    <x v="4"/>
    <x v="32"/>
    <m/>
    <m/>
    <m/>
    <m/>
    <m/>
    <m/>
  </r>
</pivotCacheRecords>
</file>

<file path=xl/pivotCache/pivotCacheRecords32.xml><?xml version="1.0" encoding="utf-8"?>
<pivotCacheRecords xmlns="http://schemas.openxmlformats.org/spreadsheetml/2006/main" xmlns:r="http://schemas.openxmlformats.org/officeDocument/2006/relationships" count="79">
  <r>
    <x v="0"/>
    <x v="0"/>
    <x v="0"/>
    <n v="787"/>
  </r>
  <r>
    <x v="0"/>
    <x v="1"/>
    <x v="1"/>
    <n v="26"/>
  </r>
  <r>
    <x v="0"/>
    <x v="1"/>
    <x v="2"/>
    <n v="26"/>
  </r>
  <r>
    <x v="0"/>
    <x v="1"/>
    <x v="3"/>
    <n v="68"/>
  </r>
  <r>
    <x v="0"/>
    <x v="1"/>
    <x v="4"/>
    <n v="17"/>
  </r>
  <r>
    <x v="0"/>
    <x v="1"/>
    <x v="5"/>
    <n v="418"/>
  </r>
  <r>
    <x v="0"/>
    <x v="1"/>
    <x v="6"/>
    <n v="43"/>
  </r>
  <r>
    <x v="0"/>
    <x v="1"/>
    <x v="7"/>
    <n v="34"/>
  </r>
  <r>
    <x v="0"/>
    <x v="2"/>
    <x v="1"/>
    <n v="2"/>
  </r>
  <r>
    <x v="0"/>
    <x v="2"/>
    <x v="2"/>
    <n v="3"/>
  </r>
  <r>
    <x v="0"/>
    <x v="2"/>
    <x v="3"/>
    <n v="5"/>
  </r>
  <r>
    <x v="0"/>
    <x v="2"/>
    <x v="5"/>
    <n v="51"/>
  </r>
  <r>
    <x v="0"/>
    <x v="2"/>
    <x v="6"/>
    <n v="2"/>
  </r>
  <r>
    <x v="0"/>
    <x v="2"/>
    <x v="7"/>
    <n v="2"/>
  </r>
  <r>
    <x v="0"/>
    <x v="3"/>
    <x v="2"/>
    <n v="8"/>
  </r>
  <r>
    <x v="0"/>
    <x v="3"/>
    <x v="3"/>
    <n v="10"/>
  </r>
  <r>
    <x v="0"/>
    <x v="3"/>
    <x v="5"/>
    <n v="36"/>
  </r>
  <r>
    <x v="0"/>
    <x v="3"/>
    <x v="6"/>
    <n v="8"/>
  </r>
  <r>
    <x v="1"/>
    <x v="0"/>
    <x v="0"/>
    <n v="735"/>
  </r>
  <r>
    <x v="1"/>
    <x v="1"/>
    <x v="1"/>
    <n v="25"/>
  </r>
  <r>
    <x v="1"/>
    <x v="1"/>
    <x v="2"/>
    <n v="27"/>
  </r>
  <r>
    <x v="1"/>
    <x v="1"/>
    <x v="3"/>
    <n v="59"/>
  </r>
  <r>
    <x v="1"/>
    <x v="1"/>
    <x v="4"/>
    <n v="20"/>
  </r>
  <r>
    <x v="1"/>
    <x v="1"/>
    <x v="5"/>
    <n v="417"/>
  </r>
  <r>
    <x v="1"/>
    <x v="1"/>
    <x v="6"/>
    <n v="43"/>
  </r>
  <r>
    <x v="1"/>
    <x v="1"/>
    <x v="7"/>
    <n v="41"/>
  </r>
  <r>
    <x v="1"/>
    <x v="2"/>
    <x v="1"/>
    <n v="3"/>
  </r>
  <r>
    <x v="1"/>
    <x v="2"/>
    <x v="2"/>
    <n v="3"/>
  </r>
  <r>
    <x v="1"/>
    <x v="2"/>
    <x v="3"/>
    <n v="5"/>
  </r>
  <r>
    <x v="1"/>
    <x v="2"/>
    <x v="5"/>
    <n v="59"/>
  </r>
  <r>
    <x v="1"/>
    <x v="2"/>
    <x v="6"/>
    <n v="1"/>
  </r>
  <r>
    <x v="1"/>
    <x v="2"/>
    <x v="7"/>
    <n v="3"/>
  </r>
  <r>
    <x v="1"/>
    <x v="3"/>
    <x v="2"/>
    <n v="8"/>
  </r>
  <r>
    <x v="1"/>
    <x v="3"/>
    <x v="3"/>
    <n v="14"/>
  </r>
  <r>
    <x v="1"/>
    <x v="3"/>
    <x v="4"/>
    <n v="1"/>
  </r>
  <r>
    <x v="1"/>
    <x v="3"/>
    <x v="5"/>
    <n v="30"/>
  </r>
  <r>
    <x v="1"/>
    <x v="3"/>
    <x v="6"/>
    <n v="10"/>
  </r>
  <r>
    <x v="1"/>
    <x v="3"/>
    <x v="7"/>
    <n v="1"/>
  </r>
  <r>
    <x v="2"/>
    <x v="0"/>
    <x v="0"/>
    <n v="729"/>
  </r>
  <r>
    <x v="2"/>
    <x v="1"/>
    <x v="1"/>
    <n v="28"/>
  </r>
  <r>
    <x v="2"/>
    <x v="1"/>
    <x v="2"/>
    <n v="39"/>
  </r>
  <r>
    <x v="2"/>
    <x v="1"/>
    <x v="3"/>
    <n v="62"/>
  </r>
  <r>
    <x v="2"/>
    <x v="1"/>
    <x v="4"/>
    <n v="25"/>
  </r>
  <r>
    <x v="2"/>
    <x v="1"/>
    <x v="5"/>
    <n v="431"/>
  </r>
  <r>
    <x v="2"/>
    <x v="1"/>
    <x v="6"/>
    <n v="42"/>
  </r>
  <r>
    <x v="2"/>
    <x v="1"/>
    <x v="7"/>
    <n v="39"/>
  </r>
  <r>
    <x v="2"/>
    <x v="2"/>
    <x v="1"/>
    <n v="4"/>
  </r>
  <r>
    <x v="2"/>
    <x v="2"/>
    <x v="2"/>
    <n v="4"/>
  </r>
  <r>
    <x v="2"/>
    <x v="2"/>
    <x v="3"/>
    <n v="7"/>
  </r>
  <r>
    <x v="2"/>
    <x v="2"/>
    <x v="4"/>
    <n v="1"/>
  </r>
  <r>
    <x v="2"/>
    <x v="2"/>
    <x v="5"/>
    <n v="69"/>
  </r>
  <r>
    <x v="2"/>
    <x v="2"/>
    <x v="6"/>
    <n v="1"/>
  </r>
  <r>
    <x v="2"/>
    <x v="2"/>
    <x v="7"/>
    <n v="4"/>
  </r>
  <r>
    <x v="2"/>
    <x v="3"/>
    <x v="2"/>
    <n v="8"/>
  </r>
  <r>
    <x v="2"/>
    <x v="3"/>
    <x v="3"/>
    <n v="12"/>
  </r>
  <r>
    <x v="2"/>
    <x v="3"/>
    <x v="4"/>
    <n v="1"/>
  </r>
  <r>
    <x v="2"/>
    <x v="3"/>
    <x v="5"/>
    <n v="33"/>
  </r>
  <r>
    <x v="2"/>
    <x v="3"/>
    <x v="6"/>
    <n v="10"/>
  </r>
  <r>
    <x v="2"/>
    <x v="3"/>
    <x v="7"/>
    <n v="1"/>
  </r>
  <r>
    <x v="3"/>
    <x v="0"/>
    <x v="0"/>
    <n v="754"/>
  </r>
  <r>
    <x v="3"/>
    <x v="1"/>
    <x v="1"/>
    <n v="26"/>
  </r>
  <r>
    <x v="3"/>
    <x v="1"/>
    <x v="2"/>
    <n v="41"/>
  </r>
  <r>
    <x v="3"/>
    <x v="1"/>
    <x v="3"/>
    <n v="63"/>
  </r>
  <r>
    <x v="3"/>
    <x v="1"/>
    <x v="4"/>
    <n v="29"/>
  </r>
  <r>
    <x v="3"/>
    <x v="1"/>
    <x v="5"/>
    <n v="421"/>
  </r>
  <r>
    <x v="3"/>
    <x v="1"/>
    <x v="6"/>
    <n v="39"/>
  </r>
  <r>
    <x v="3"/>
    <x v="1"/>
    <x v="7"/>
    <n v="36"/>
  </r>
  <r>
    <x v="3"/>
    <x v="2"/>
    <x v="1"/>
    <n v="3"/>
  </r>
  <r>
    <x v="3"/>
    <x v="2"/>
    <x v="2"/>
    <n v="5"/>
  </r>
  <r>
    <x v="3"/>
    <x v="2"/>
    <x v="3"/>
    <n v="5"/>
  </r>
  <r>
    <x v="3"/>
    <x v="2"/>
    <x v="5"/>
    <n v="70"/>
  </r>
  <r>
    <x v="3"/>
    <x v="2"/>
    <x v="7"/>
    <n v="3"/>
  </r>
  <r>
    <x v="3"/>
    <x v="3"/>
    <x v="2"/>
    <n v="8"/>
  </r>
  <r>
    <x v="3"/>
    <x v="3"/>
    <x v="3"/>
    <n v="11"/>
  </r>
  <r>
    <x v="3"/>
    <x v="3"/>
    <x v="4"/>
    <n v="1"/>
  </r>
  <r>
    <x v="3"/>
    <x v="3"/>
    <x v="5"/>
    <n v="43"/>
  </r>
  <r>
    <x v="3"/>
    <x v="3"/>
    <x v="6"/>
    <n v="7"/>
  </r>
  <r>
    <x v="3"/>
    <x v="3"/>
    <x v="7"/>
    <n v="1"/>
  </r>
  <r>
    <x v="4"/>
    <x v="4"/>
    <x v="8"/>
    <m/>
  </r>
</pivotCacheRecords>
</file>

<file path=xl/pivotCache/pivotCacheRecords33.xml><?xml version="1.0" encoding="utf-8"?>
<pivotCacheRecords xmlns="http://schemas.openxmlformats.org/spreadsheetml/2006/main" xmlns:r="http://schemas.openxmlformats.org/officeDocument/2006/relationships" count="54">
  <r>
    <x v="0"/>
    <x v="0"/>
    <x v="0"/>
    <n v="777"/>
  </r>
  <r>
    <x v="0"/>
    <x v="0"/>
    <x v="1"/>
    <n v="11"/>
  </r>
  <r>
    <x v="0"/>
    <x v="1"/>
    <x v="2"/>
    <n v="26"/>
  </r>
  <r>
    <x v="0"/>
    <x v="1"/>
    <x v="3"/>
    <n v="145"/>
  </r>
  <r>
    <x v="0"/>
    <x v="1"/>
    <x v="4"/>
    <n v="418"/>
  </r>
  <r>
    <x v="0"/>
    <x v="1"/>
    <x v="5"/>
    <n v="43"/>
  </r>
  <r>
    <x v="0"/>
    <x v="2"/>
    <x v="2"/>
    <n v="2"/>
  </r>
  <r>
    <x v="0"/>
    <x v="2"/>
    <x v="3"/>
    <n v="10"/>
  </r>
  <r>
    <x v="0"/>
    <x v="2"/>
    <x v="4"/>
    <n v="51"/>
  </r>
  <r>
    <x v="0"/>
    <x v="2"/>
    <x v="5"/>
    <n v="2"/>
  </r>
  <r>
    <x v="0"/>
    <x v="3"/>
    <x v="3"/>
    <n v="18"/>
  </r>
  <r>
    <x v="0"/>
    <x v="3"/>
    <x v="4"/>
    <n v="36"/>
  </r>
  <r>
    <x v="0"/>
    <x v="3"/>
    <x v="5"/>
    <n v="8"/>
  </r>
  <r>
    <x v="1"/>
    <x v="0"/>
    <x v="0"/>
    <n v="602"/>
  </r>
  <r>
    <x v="1"/>
    <x v="0"/>
    <x v="1"/>
    <n v="39"/>
  </r>
  <r>
    <x v="1"/>
    <x v="1"/>
    <x v="2"/>
    <n v="25"/>
  </r>
  <r>
    <x v="1"/>
    <x v="1"/>
    <x v="1"/>
    <n v="95"/>
  </r>
  <r>
    <x v="1"/>
    <x v="1"/>
    <x v="3"/>
    <n v="147"/>
  </r>
  <r>
    <x v="1"/>
    <x v="1"/>
    <x v="4"/>
    <n v="417"/>
  </r>
  <r>
    <x v="1"/>
    <x v="1"/>
    <x v="5"/>
    <n v="43"/>
  </r>
  <r>
    <x v="1"/>
    <x v="2"/>
    <x v="2"/>
    <n v="3"/>
  </r>
  <r>
    <x v="1"/>
    <x v="2"/>
    <x v="3"/>
    <n v="11"/>
  </r>
  <r>
    <x v="1"/>
    <x v="2"/>
    <x v="4"/>
    <n v="59"/>
  </r>
  <r>
    <x v="1"/>
    <x v="2"/>
    <x v="5"/>
    <n v="1"/>
  </r>
  <r>
    <x v="1"/>
    <x v="3"/>
    <x v="3"/>
    <n v="24"/>
  </r>
  <r>
    <x v="1"/>
    <x v="3"/>
    <x v="4"/>
    <n v="30"/>
  </r>
  <r>
    <x v="1"/>
    <x v="3"/>
    <x v="5"/>
    <n v="10"/>
  </r>
  <r>
    <x v="2"/>
    <x v="0"/>
    <x v="0"/>
    <n v="509"/>
  </r>
  <r>
    <x v="2"/>
    <x v="0"/>
    <x v="1"/>
    <n v="23"/>
  </r>
  <r>
    <x v="2"/>
    <x v="1"/>
    <x v="2"/>
    <n v="28"/>
  </r>
  <r>
    <x v="2"/>
    <x v="1"/>
    <x v="1"/>
    <n v="198"/>
  </r>
  <r>
    <x v="2"/>
    <x v="1"/>
    <x v="3"/>
    <n v="165"/>
  </r>
  <r>
    <x v="2"/>
    <x v="1"/>
    <x v="4"/>
    <n v="431"/>
  </r>
  <r>
    <x v="2"/>
    <x v="1"/>
    <x v="5"/>
    <n v="42"/>
  </r>
  <r>
    <x v="2"/>
    <x v="2"/>
    <x v="2"/>
    <n v="4"/>
  </r>
  <r>
    <x v="2"/>
    <x v="2"/>
    <x v="3"/>
    <n v="16"/>
  </r>
  <r>
    <x v="2"/>
    <x v="2"/>
    <x v="4"/>
    <n v="69"/>
  </r>
  <r>
    <x v="2"/>
    <x v="2"/>
    <x v="5"/>
    <n v="1"/>
  </r>
  <r>
    <x v="2"/>
    <x v="3"/>
    <x v="3"/>
    <n v="22"/>
  </r>
  <r>
    <x v="2"/>
    <x v="3"/>
    <x v="4"/>
    <n v="33"/>
  </r>
  <r>
    <x v="2"/>
    <x v="3"/>
    <x v="5"/>
    <n v="10"/>
  </r>
  <r>
    <x v="3"/>
    <x v="0"/>
    <x v="0"/>
    <n v="443"/>
  </r>
  <r>
    <x v="3"/>
    <x v="0"/>
    <x v="1"/>
    <n v="27"/>
  </r>
  <r>
    <x v="3"/>
    <x v="1"/>
    <x v="2"/>
    <n v="26"/>
  </r>
  <r>
    <x v="3"/>
    <x v="1"/>
    <x v="1"/>
    <n v="285"/>
  </r>
  <r>
    <x v="3"/>
    <x v="1"/>
    <x v="3"/>
    <n v="169"/>
  </r>
  <r>
    <x v="3"/>
    <x v="1"/>
    <x v="4"/>
    <n v="421"/>
  </r>
  <r>
    <x v="3"/>
    <x v="1"/>
    <x v="5"/>
    <n v="39"/>
  </r>
  <r>
    <x v="3"/>
    <x v="2"/>
    <x v="2"/>
    <n v="3"/>
  </r>
  <r>
    <x v="3"/>
    <x v="2"/>
    <x v="3"/>
    <n v="13"/>
  </r>
  <r>
    <x v="3"/>
    <x v="2"/>
    <x v="4"/>
    <n v="70"/>
  </r>
  <r>
    <x v="3"/>
    <x v="3"/>
    <x v="3"/>
    <n v="21"/>
  </r>
  <r>
    <x v="3"/>
    <x v="3"/>
    <x v="4"/>
    <n v="43"/>
  </r>
  <r>
    <x v="3"/>
    <x v="3"/>
    <x v="5"/>
    <n v="7"/>
  </r>
</pivotCacheRecords>
</file>

<file path=xl/pivotCache/pivotCacheRecords34.xml><?xml version="1.0" encoding="utf-8"?>
<pivotCacheRecords xmlns="http://schemas.openxmlformats.org/spreadsheetml/2006/main" xmlns:r="http://schemas.openxmlformats.org/officeDocument/2006/relationships" count="123">
  <r>
    <x v="0"/>
    <x v="0"/>
    <x v="0"/>
    <x v="0"/>
    <n v="5"/>
  </r>
  <r>
    <x v="0"/>
    <x v="0"/>
    <x v="1"/>
    <x v="0"/>
    <n v="2"/>
  </r>
  <r>
    <x v="1"/>
    <x v="0"/>
    <x v="2"/>
    <x v="1"/>
    <n v="186"/>
  </r>
  <r>
    <x v="1"/>
    <x v="0"/>
    <x v="3"/>
    <x v="2"/>
    <n v="36"/>
  </r>
  <r>
    <x v="0"/>
    <x v="0"/>
    <x v="0"/>
    <x v="3"/>
    <n v="182"/>
  </r>
  <r>
    <x v="0"/>
    <x v="0"/>
    <x v="4"/>
    <x v="0"/>
    <n v="4"/>
  </r>
  <r>
    <x v="0"/>
    <x v="0"/>
    <x v="3"/>
    <x v="4"/>
    <n v="321"/>
  </r>
  <r>
    <x v="0"/>
    <x v="0"/>
    <x v="5"/>
    <x v="0"/>
    <n v="2"/>
  </r>
  <r>
    <x v="1"/>
    <x v="0"/>
    <x v="6"/>
    <x v="3"/>
    <n v="2"/>
  </r>
  <r>
    <x v="1"/>
    <x v="0"/>
    <x v="7"/>
    <x v="0"/>
    <n v="98"/>
  </r>
  <r>
    <x v="0"/>
    <x v="0"/>
    <x v="8"/>
    <x v="0"/>
    <n v="2"/>
  </r>
  <r>
    <x v="0"/>
    <x v="0"/>
    <x v="9"/>
    <x v="3"/>
    <n v="77"/>
  </r>
  <r>
    <x v="0"/>
    <x v="0"/>
    <x v="10"/>
    <x v="3"/>
    <n v="82"/>
  </r>
  <r>
    <x v="0"/>
    <x v="0"/>
    <x v="3"/>
    <x v="5"/>
    <n v="2935"/>
  </r>
  <r>
    <x v="1"/>
    <x v="0"/>
    <x v="1"/>
    <x v="0"/>
    <n v="2"/>
  </r>
  <r>
    <x v="1"/>
    <x v="0"/>
    <x v="2"/>
    <x v="0"/>
    <n v="52"/>
  </r>
  <r>
    <x v="1"/>
    <x v="0"/>
    <x v="4"/>
    <x v="3"/>
    <n v="3"/>
  </r>
  <r>
    <x v="1"/>
    <x v="0"/>
    <x v="11"/>
    <x v="3"/>
    <n v="1"/>
  </r>
  <r>
    <x v="1"/>
    <x v="0"/>
    <x v="5"/>
    <x v="0"/>
    <n v="2"/>
  </r>
  <r>
    <x v="0"/>
    <x v="0"/>
    <x v="1"/>
    <x v="3"/>
    <n v="66"/>
  </r>
  <r>
    <x v="0"/>
    <x v="0"/>
    <x v="3"/>
    <x v="0"/>
    <n v="3101"/>
  </r>
  <r>
    <x v="0"/>
    <x v="0"/>
    <x v="7"/>
    <x v="3"/>
    <n v="58"/>
  </r>
  <r>
    <x v="1"/>
    <x v="0"/>
    <x v="0"/>
    <x v="0"/>
    <n v="5"/>
  </r>
  <r>
    <x v="1"/>
    <x v="0"/>
    <x v="12"/>
    <x v="3"/>
    <n v="68"/>
  </r>
  <r>
    <x v="1"/>
    <x v="0"/>
    <x v="2"/>
    <x v="3"/>
    <n v="77"/>
  </r>
  <r>
    <x v="1"/>
    <x v="0"/>
    <x v="3"/>
    <x v="3"/>
    <n v="96"/>
  </r>
  <r>
    <x v="1"/>
    <x v="0"/>
    <x v="11"/>
    <x v="0"/>
    <n v="5"/>
  </r>
  <r>
    <x v="1"/>
    <x v="0"/>
    <x v="6"/>
    <x v="0"/>
    <n v="53"/>
  </r>
  <r>
    <x v="0"/>
    <x v="0"/>
    <x v="12"/>
    <x v="3"/>
    <n v="67"/>
  </r>
  <r>
    <x v="0"/>
    <x v="0"/>
    <x v="8"/>
    <x v="3"/>
    <n v="56"/>
  </r>
  <r>
    <x v="0"/>
    <x v="0"/>
    <x v="2"/>
    <x v="1"/>
    <n v="197"/>
  </r>
  <r>
    <x v="1"/>
    <x v="0"/>
    <x v="1"/>
    <x v="3"/>
    <n v="71"/>
  </r>
  <r>
    <x v="1"/>
    <x v="0"/>
    <x v="10"/>
    <x v="0"/>
    <n v="51"/>
  </r>
  <r>
    <x v="1"/>
    <x v="0"/>
    <x v="3"/>
    <x v="5"/>
    <n v="2937"/>
  </r>
  <r>
    <x v="1"/>
    <x v="0"/>
    <x v="3"/>
    <x v="4"/>
    <n v="315"/>
  </r>
  <r>
    <x v="1"/>
    <x v="0"/>
    <x v="5"/>
    <x v="3"/>
    <n v="61"/>
  </r>
  <r>
    <x v="0"/>
    <x v="0"/>
    <x v="10"/>
    <x v="0"/>
    <n v="200"/>
  </r>
  <r>
    <x v="0"/>
    <x v="0"/>
    <x v="4"/>
    <x v="3"/>
    <n v="3"/>
  </r>
  <r>
    <x v="0"/>
    <x v="0"/>
    <x v="3"/>
    <x v="2"/>
    <n v="18"/>
  </r>
  <r>
    <x v="0"/>
    <x v="0"/>
    <x v="3"/>
    <x v="3"/>
    <n v="26"/>
  </r>
  <r>
    <x v="0"/>
    <x v="0"/>
    <x v="7"/>
    <x v="0"/>
    <n v="203"/>
  </r>
  <r>
    <x v="1"/>
    <x v="0"/>
    <x v="0"/>
    <x v="3"/>
    <n v="185"/>
  </r>
  <r>
    <x v="1"/>
    <x v="0"/>
    <x v="3"/>
    <x v="0"/>
    <n v="3358"/>
  </r>
  <r>
    <x v="0"/>
    <x v="0"/>
    <x v="13"/>
    <x v="0"/>
    <n v="3"/>
  </r>
  <r>
    <x v="0"/>
    <x v="0"/>
    <x v="2"/>
    <x v="0"/>
    <n v="45"/>
  </r>
  <r>
    <x v="0"/>
    <x v="0"/>
    <x v="11"/>
    <x v="0"/>
    <n v="5"/>
  </r>
  <r>
    <x v="0"/>
    <x v="0"/>
    <x v="6"/>
    <x v="3"/>
    <n v="1"/>
  </r>
  <r>
    <x v="0"/>
    <x v="0"/>
    <x v="6"/>
    <x v="0"/>
    <n v="65"/>
  </r>
  <r>
    <x v="1"/>
    <x v="0"/>
    <x v="14"/>
    <x v="3"/>
    <n v="17"/>
  </r>
  <r>
    <x v="1"/>
    <x v="0"/>
    <x v="15"/>
    <x v="3"/>
    <n v="95"/>
  </r>
  <r>
    <x v="1"/>
    <x v="0"/>
    <x v="6"/>
    <x v="1"/>
    <n v="2"/>
  </r>
  <r>
    <x v="0"/>
    <x v="0"/>
    <x v="13"/>
    <x v="3"/>
    <n v="46"/>
  </r>
  <r>
    <x v="0"/>
    <x v="0"/>
    <x v="2"/>
    <x v="3"/>
    <n v="73"/>
  </r>
  <r>
    <x v="0"/>
    <x v="0"/>
    <x v="5"/>
    <x v="3"/>
    <n v="55"/>
  </r>
  <r>
    <x v="0"/>
    <x v="0"/>
    <x v="6"/>
    <x v="1"/>
    <n v="10"/>
  </r>
  <r>
    <x v="1"/>
    <x v="0"/>
    <x v="14"/>
    <x v="0"/>
    <n v="2"/>
  </r>
  <r>
    <x v="1"/>
    <x v="0"/>
    <x v="9"/>
    <x v="3"/>
    <n v="73"/>
  </r>
  <r>
    <x v="1"/>
    <x v="0"/>
    <x v="15"/>
    <x v="0"/>
    <n v="2"/>
  </r>
  <r>
    <x v="1"/>
    <x v="0"/>
    <x v="10"/>
    <x v="3"/>
    <n v="17"/>
  </r>
  <r>
    <x v="1"/>
    <x v="0"/>
    <x v="4"/>
    <x v="0"/>
    <n v="6"/>
  </r>
  <r>
    <x v="1"/>
    <x v="0"/>
    <x v="7"/>
    <x v="3"/>
    <n v="52"/>
  </r>
  <r>
    <x v="0"/>
    <x v="1"/>
    <x v="0"/>
    <x v="3"/>
    <n v="178.47000000000003"/>
  </r>
  <r>
    <x v="0"/>
    <x v="1"/>
    <x v="4"/>
    <x v="0"/>
    <n v="4"/>
  </r>
  <r>
    <x v="0"/>
    <x v="1"/>
    <x v="3"/>
    <x v="4"/>
    <n v="0"/>
  </r>
  <r>
    <x v="0"/>
    <x v="1"/>
    <x v="5"/>
    <x v="0"/>
    <n v="2"/>
  </r>
  <r>
    <x v="1"/>
    <x v="1"/>
    <x v="6"/>
    <x v="3"/>
    <n v="2"/>
  </r>
  <r>
    <x v="1"/>
    <x v="1"/>
    <x v="7"/>
    <x v="0"/>
    <n v="98"/>
  </r>
  <r>
    <x v="0"/>
    <x v="1"/>
    <x v="0"/>
    <x v="0"/>
    <n v="5"/>
  </r>
  <r>
    <x v="0"/>
    <x v="1"/>
    <x v="1"/>
    <x v="0"/>
    <n v="2"/>
  </r>
  <r>
    <x v="1"/>
    <x v="1"/>
    <x v="2"/>
    <x v="1"/>
    <n v="181.83"/>
  </r>
  <r>
    <x v="1"/>
    <x v="1"/>
    <x v="3"/>
    <x v="2"/>
    <n v="36"/>
  </r>
  <r>
    <x v="0"/>
    <x v="1"/>
    <x v="13"/>
    <x v="0"/>
    <n v="3"/>
  </r>
  <r>
    <x v="0"/>
    <x v="1"/>
    <x v="2"/>
    <x v="0"/>
    <n v="45"/>
  </r>
  <r>
    <x v="0"/>
    <x v="1"/>
    <x v="11"/>
    <x v="0"/>
    <n v="5"/>
  </r>
  <r>
    <x v="0"/>
    <x v="1"/>
    <x v="6"/>
    <x v="3"/>
    <n v="1"/>
  </r>
  <r>
    <x v="0"/>
    <x v="1"/>
    <x v="6"/>
    <x v="0"/>
    <n v="65"/>
  </r>
  <r>
    <x v="1"/>
    <x v="1"/>
    <x v="14"/>
    <x v="3"/>
    <n v="16.86"/>
  </r>
  <r>
    <x v="1"/>
    <x v="1"/>
    <x v="15"/>
    <x v="3"/>
    <n v="90.619999999999976"/>
  </r>
  <r>
    <x v="1"/>
    <x v="1"/>
    <x v="6"/>
    <x v="1"/>
    <n v="2"/>
  </r>
  <r>
    <x v="0"/>
    <x v="1"/>
    <x v="10"/>
    <x v="0"/>
    <n v="198.93"/>
  </r>
  <r>
    <x v="0"/>
    <x v="1"/>
    <x v="4"/>
    <x v="3"/>
    <n v="3"/>
  </r>
  <r>
    <x v="0"/>
    <x v="1"/>
    <x v="3"/>
    <x v="2"/>
    <n v="18"/>
  </r>
  <r>
    <x v="0"/>
    <x v="1"/>
    <x v="3"/>
    <x v="3"/>
    <n v="15.34"/>
  </r>
  <r>
    <x v="0"/>
    <x v="1"/>
    <x v="7"/>
    <x v="0"/>
    <n v="203"/>
  </r>
  <r>
    <x v="1"/>
    <x v="1"/>
    <x v="0"/>
    <x v="3"/>
    <n v="182.2"/>
  </r>
  <r>
    <x v="1"/>
    <x v="1"/>
    <x v="3"/>
    <x v="0"/>
    <n v="3355.93"/>
  </r>
  <r>
    <x v="0"/>
    <x v="1"/>
    <x v="13"/>
    <x v="3"/>
    <n v="42.75"/>
  </r>
  <r>
    <x v="0"/>
    <x v="1"/>
    <x v="2"/>
    <x v="3"/>
    <n v="68.5"/>
  </r>
  <r>
    <x v="0"/>
    <x v="1"/>
    <x v="5"/>
    <x v="3"/>
    <n v="53.45"/>
  </r>
  <r>
    <x v="0"/>
    <x v="1"/>
    <x v="6"/>
    <x v="1"/>
    <n v="10"/>
  </r>
  <r>
    <x v="1"/>
    <x v="1"/>
    <x v="14"/>
    <x v="0"/>
    <n v="2"/>
  </r>
  <r>
    <x v="1"/>
    <x v="1"/>
    <x v="9"/>
    <x v="3"/>
    <n v="71.489999999999995"/>
  </r>
  <r>
    <x v="1"/>
    <x v="1"/>
    <x v="15"/>
    <x v="0"/>
    <n v="2"/>
  </r>
  <r>
    <x v="1"/>
    <x v="1"/>
    <x v="10"/>
    <x v="3"/>
    <n v="16.689999999999998"/>
  </r>
  <r>
    <x v="1"/>
    <x v="1"/>
    <x v="4"/>
    <x v="0"/>
    <n v="6"/>
  </r>
  <r>
    <x v="1"/>
    <x v="1"/>
    <x v="7"/>
    <x v="3"/>
    <n v="46.81"/>
  </r>
  <r>
    <x v="0"/>
    <x v="1"/>
    <x v="1"/>
    <x v="3"/>
    <n v="58.509999999999991"/>
  </r>
  <r>
    <x v="0"/>
    <x v="1"/>
    <x v="3"/>
    <x v="0"/>
    <n v="3101"/>
  </r>
  <r>
    <x v="0"/>
    <x v="1"/>
    <x v="7"/>
    <x v="3"/>
    <n v="53.36"/>
  </r>
  <r>
    <x v="1"/>
    <x v="1"/>
    <x v="0"/>
    <x v="0"/>
    <n v="5"/>
  </r>
  <r>
    <x v="1"/>
    <x v="1"/>
    <x v="12"/>
    <x v="3"/>
    <n v="62.3"/>
  </r>
  <r>
    <x v="1"/>
    <x v="1"/>
    <x v="2"/>
    <x v="3"/>
    <n v="72.069999999999993"/>
  </r>
  <r>
    <x v="1"/>
    <x v="1"/>
    <x v="3"/>
    <x v="3"/>
    <n v="78.53"/>
  </r>
  <r>
    <x v="1"/>
    <x v="1"/>
    <x v="11"/>
    <x v="0"/>
    <n v="5"/>
  </r>
  <r>
    <x v="1"/>
    <x v="1"/>
    <x v="6"/>
    <x v="0"/>
    <n v="53"/>
  </r>
  <r>
    <x v="0"/>
    <x v="1"/>
    <x v="12"/>
    <x v="3"/>
    <n v="63.550000000000004"/>
  </r>
  <r>
    <x v="0"/>
    <x v="1"/>
    <x v="8"/>
    <x v="3"/>
    <n v="52.920000000000009"/>
  </r>
  <r>
    <x v="0"/>
    <x v="1"/>
    <x v="2"/>
    <x v="1"/>
    <n v="192.33"/>
  </r>
  <r>
    <x v="1"/>
    <x v="1"/>
    <x v="1"/>
    <x v="3"/>
    <n v="63.31"/>
  </r>
  <r>
    <x v="1"/>
    <x v="1"/>
    <x v="10"/>
    <x v="0"/>
    <n v="51"/>
  </r>
  <r>
    <x v="1"/>
    <x v="1"/>
    <x v="3"/>
    <x v="5"/>
    <n v="2551.73"/>
  </r>
  <r>
    <x v="1"/>
    <x v="1"/>
    <x v="3"/>
    <x v="4"/>
    <n v="0"/>
  </r>
  <r>
    <x v="1"/>
    <x v="1"/>
    <x v="5"/>
    <x v="3"/>
    <n v="58.52"/>
  </r>
  <r>
    <x v="0"/>
    <x v="1"/>
    <x v="8"/>
    <x v="0"/>
    <n v="2"/>
  </r>
  <r>
    <x v="0"/>
    <x v="1"/>
    <x v="9"/>
    <x v="3"/>
    <n v="76"/>
  </r>
  <r>
    <x v="0"/>
    <x v="1"/>
    <x v="10"/>
    <x v="3"/>
    <n v="78.709999999999994"/>
  </r>
  <r>
    <x v="0"/>
    <x v="1"/>
    <x v="3"/>
    <x v="5"/>
    <n v="2583.98"/>
  </r>
  <r>
    <x v="1"/>
    <x v="1"/>
    <x v="1"/>
    <x v="0"/>
    <n v="2"/>
  </r>
  <r>
    <x v="1"/>
    <x v="1"/>
    <x v="2"/>
    <x v="0"/>
    <n v="52"/>
  </r>
  <r>
    <x v="1"/>
    <x v="1"/>
    <x v="4"/>
    <x v="3"/>
    <n v="3"/>
  </r>
  <r>
    <x v="1"/>
    <x v="1"/>
    <x v="11"/>
    <x v="3"/>
    <n v="1"/>
  </r>
  <r>
    <x v="1"/>
    <x v="1"/>
    <x v="5"/>
    <x v="0"/>
    <n v="2"/>
  </r>
  <r>
    <x v="2"/>
    <x v="2"/>
    <x v="16"/>
    <x v="6"/>
    <m/>
  </r>
</pivotCacheRecords>
</file>

<file path=xl/pivotCache/pivotCacheRecords35.xml><?xml version="1.0" encoding="utf-8"?>
<pivotCacheRecords xmlns="http://schemas.openxmlformats.org/spreadsheetml/2006/main" xmlns:r="http://schemas.openxmlformats.org/officeDocument/2006/relationships" count="30">
  <r>
    <x v="0"/>
    <x v="0"/>
    <n v="8020"/>
    <n v="1075"/>
    <n v="13.4"/>
  </r>
  <r>
    <x v="0"/>
    <x v="1"/>
    <n v="15848"/>
    <n v="2785"/>
    <n v="17.57"/>
  </r>
  <r>
    <x v="0"/>
    <x v="2"/>
    <n v="101"/>
    <n v="17"/>
    <n v="16.829999999999998"/>
  </r>
  <r>
    <x v="0"/>
    <x v="3"/>
    <n v="5400"/>
    <n v="1804"/>
    <n v="33.409999999999997"/>
  </r>
  <r>
    <x v="0"/>
    <x v="4"/>
    <n v="37461"/>
    <n v="20582"/>
    <n v="54.94"/>
  </r>
  <r>
    <x v="0"/>
    <x v="5"/>
    <n v="4887"/>
    <n v="2075"/>
    <n v="42.46"/>
  </r>
  <r>
    <x v="1"/>
    <x v="0"/>
    <n v="7448"/>
    <n v="911"/>
    <n v="12.23"/>
  </r>
  <r>
    <x v="1"/>
    <x v="1"/>
    <n v="15101"/>
    <n v="2900"/>
    <n v="19.2"/>
  </r>
  <r>
    <x v="1"/>
    <x v="2"/>
    <n v="103"/>
    <n v="29"/>
    <n v="28.16"/>
  </r>
  <r>
    <x v="1"/>
    <x v="3"/>
    <n v="4535"/>
    <n v="1743"/>
    <n v="38.43"/>
  </r>
  <r>
    <x v="1"/>
    <x v="4"/>
    <n v="39726"/>
    <n v="21875"/>
    <n v="55.06"/>
  </r>
  <r>
    <x v="1"/>
    <x v="5"/>
    <n v="3888"/>
    <n v="1558"/>
    <n v="40.07"/>
  </r>
  <r>
    <x v="2"/>
    <x v="0"/>
    <n v="7742"/>
    <n v="994"/>
    <n v="12.84"/>
  </r>
  <r>
    <x v="2"/>
    <x v="1"/>
    <n v="14796"/>
    <n v="2507"/>
    <n v="16.940000000000001"/>
  </r>
  <r>
    <x v="2"/>
    <x v="2"/>
    <n v="107"/>
    <n v="34"/>
    <n v="31.78"/>
  </r>
  <r>
    <x v="2"/>
    <x v="3"/>
    <n v="5074"/>
    <n v="1823"/>
    <n v="35.93"/>
  </r>
  <r>
    <x v="2"/>
    <x v="4"/>
    <n v="38345"/>
    <n v="21072"/>
    <n v="54.95"/>
  </r>
  <r>
    <x v="2"/>
    <x v="5"/>
    <n v="3767"/>
    <n v="1324"/>
    <n v="35.15"/>
  </r>
  <r>
    <x v="3"/>
    <x v="0"/>
    <n v="9727"/>
    <n v="953"/>
    <n v="9.8000000000000007"/>
  </r>
  <r>
    <x v="3"/>
    <x v="1"/>
    <n v="15332"/>
    <n v="2303"/>
    <n v="15.02"/>
  </r>
  <r>
    <x v="3"/>
    <x v="2"/>
    <n v="622"/>
    <n v="115"/>
    <n v="18.489999999999998"/>
  </r>
  <r>
    <x v="3"/>
    <x v="3"/>
    <n v="4289"/>
    <n v="1374"/>
    <n v="32.04"/>
  </r>
  <r>
    <x v="3"/>
    <x v="4"/>
    <n v="35339"/>
    <n v="18512"/>
    <n v="52.38"/>
  </r>
  <r>
    <x v="3"/>
    <x v="5"/>
    <n v="3893"/>
    <n v="1205"/>
    <n v="30.95"/>
  </r>
  <r>
    <x v="4"/>
    <x v="0"/>
    <n v="10039"/>
    <n v="792"/>
    <n v="7.89"/>
  </r>
  <r>
    <x v="4"/>
    <x v="1"/>
    <n v="15694"/>
    <n v="2054"/>
    <n v="13.09"/>
  </r>
  <r>
    <x v="4"/>
    <x v="2"/>
    <n v="641"/>
    <n v="83"/>
    <n v="12.95"/>
  </r>
  <r>
    <x v="4"/>
    <x v="3"/>
    <n v="4004"/>
    <n v="1339"/>
    <n v="33.44"/>
  </r>
  <r>
    <x v="4"/>
    <x v="4"/>
    <n v="34625"/>
    <n v="16995"/>
    <n v="49.08"/>
  </r>
  <r>
    <x v="4"/>
    <x v="5"/>
    <n v="4224"/>
    <n v="1024"/>
    <n v="24.24"/>
  </r>
</pivotCacheRecords>
</file>

<file path=xl/pivotCache/pivotCacheRecords36.xml><?xml version="1.0" encoding="utf-8"?>
<pivotCacheRecords xmlns="http://schemas.openxmlformats.org/spreadsheetml/2006/main" xmlns:r="http://schemas.openxmlformats.org/officeDocument/2006/relationships" count="30">
  <r>
    <x v="0"/>
    <x v="0"/>
    <n v="17883"/>
    <n v="5932"/>
    <n v="33.200000000000003"/>
    <n v="1.1299999999999999"/>
    <n v="525964"/>
  </r>
  <r>
    <x v="1"/>
    <x v="1"/>
    <n v="12512"/>
    <n v="5629"/>
    <n v="45"/>
    <n v="1.17"/>
    <n v="479897"/>
  </r>
  <r>
    <x v="1"/>
    <x v="2"/>
    <n v="9641"/>
    <n v="5067"/>
    <n v="52.6"/>
    <n v="1.1100000000000001"/>
    <n v="455604"/>
  </r>
  <r>
    <x v="1"/>
    <x v="3"/>
    <n v="16801"/>
    <n v="6558"/>
    <n v="39"/>
    <n v="1.29"/>
    <n v="509500"/>
  </r>
  <r>
    <x v="1"/>
    <x v="4"/>
    <n v="14140"/>
    <n v="5955"/>
    <n v="42.1"/>
    <n v="1.2"/>
    <n v="494416"/>
  </r>
  <r>
    <x v="2"/>
    <x v="0"/>
    <n v="19687"/>
    <n v="4672"/>
    <n v="23.7"/>
    <n v="0.87"/>
    <n v="536037"/>
  </r>
  <r>
    <x v="2"/>
    <x v="1"/>
    <n v="11357"/>
    <n v="4211"/>
    <n v="37.1"/>
    <n v="0.84"/>
    <n v="501595"/>
  </r>
  <r>
    <x v="2"/>
    <x v="2"/>
    <n v="8740"/>
    <n v="3807"/>
    <n v="43.6"/>
    <n v="0.82"/>
    <n v="467052"/>
  </r>
  <r>
    <x v="0"/>
    <x v="1"/>
    <n v="10359"/>
    <n v="4909"/>
    <n v="47.4"/>
    <n v="1.05"/>
    <n v="467642"/>
  </r>
  <r>
    <x v="0"/>
    <x v="2"/>
    <n v="8715"/>
    <n v="4570"/>
    <n v="52.4"/>
    <n v="1.02"/>
    <n v="449892"/>
  </r>
  <r>
    <x v="1"/>
    <x v="0"/>
    <n v="17707"/>
    <n v="5807"/>
    <n v="32.799999999999997"/>
    <n v="1.0900000000000001"/>
    <n v="530637"/>
  </r>
  <r>
    <x v="2"/>
    <x v="3"/>
    <n v="16058"/>
    <n v="5074"/>
    <n v="31.6"/>
    <n v="0.98"/>
    <n v="518089"/>
  </r>
  <r>
    <x v="2"/>
    <x v="4"/>
    <n v="13385"/>
    <n v="4523"/>
    <n v="33.799999999999997"/>
    <n v="0.9"/>
    <n v="505001"/>
  </r>
  <r>
    <x v="0"/>
    <x v="3"/>
    <n v="15938"/>
    <n v="6245"/>
    <n v="39.200000000000003"/>
    <n v="1.24"/>
    <n v="504692"/>
  </r>
  <r>
    <x v="3"/>
    <x v="3"/>
    <n v="16350"/>
    <n v="6276"/>
    <n v="38.4"/>
    <n v="1.22"/>
    <n v="512529"/>
  </r>
  <r>
    <x v="3"/>
    <x v="4"/>
    <n v="13755"/>
    <n v="5701"/>
    <n v="41.4"/>
    <n v="1.1399999999999999"/>
    <n v="498164"/>
  </r>
  <r>
    <x v="4"/>
    <x v="0"/>
    <n v="19491"/>
    <n v="5167"/>
    <n v="26.5"/>
    <n v="0.97"/>
    <n v="534275"/>
  </r>
  <r>
    <x v="5"/>
    <x v="0"/>
    <n v="18993"/>
    <n v="5981"/>
    <n v="31.5"/>
    <n v="1.1299999999999999"/>
    <n v="528323"/>
  </r>
  <r>
    <x v="5"/>
    <x v="1"/>
    <n v="11858"/>
    <n v="5342"/>
    <n v="45"/>
    <n v="1.1299999999999999"/>
    <n v="472964"/>
  </r>
  <r>
    <x v="5"/>
    <x v="2"/>
    <n v="9294"/>
    <n v="4664"/>
    <n v="50.2"/>
    <n v="1.03"/>
    <n v="453045"/>
  </r>
  <r>
    <x v="5"/>
    <x v="4"/>
    <n v="14153"/>
    <n v="5846"/>
    <n v="41.3"/>
    <n v="1.19"/>
    <n v="490270"/>
  </r>
  <r>
    <x v="4"/>
    <x v="1"/>
    <n v="10933"/>
    <n v="4486"/>
    <n v="41"/>
    <n v="0.91"/>
    <n v="493970"/>
  </r>
  <r>
    <x v="4"/>
    <x v="2"/>
    <n v="8866"/>
    <n v="4192"/>
    <n v="47.3"/>
    <n v="0.9"/>
    <n v="463248"/>
  </r>
  <r>
    <x v="0"/>
    <x v="4"/>
    <n v="12820"/>
    <n v="5330"/>
    <n v="41.6"/>
    <n v="1.0900000000000001"/>
    <n v="488191"/>
  </r>
  <r>
    <x v="3"/>
    <x v="1"/>
    <n v="11983"/>
    <n v="5372"/>
    <n v="44.8"/>
    <n v="1.1000000000000001"/>
    <n v="487395"/>
  </r>
  <r>
    <x v="3"/>
    <x v="2"/>
    <n v="9230"/>
    <n v="4825"/>
    <n v="52.3"/>
    <n v="1.05"/>
    <n v="459499"/>
  </r>
  <r>
    <x v="5"/>
    <x v="3"/>
    <n v="17419"/>
    <n v="6505"/>
    <n v="37.299999999999997"/>
    <n v="1.28"/>
    <n v="506910"/>
  </r>
  <r>
    <x v="3"/>
    <x v="0"/>
    <n v="18513"/>
    <n v="5580"/>
    <n v="30.1"/>
    <n v="1.05"/>
    <n v="532256"/>
  </r>
  <r>
    <x v="4"/>
    <x v="3"/>
    <n v="16489"/>
    <n v="5592"/>
    <n v="33.9"/>
    <n v="1.0900000000000001"/>
    <n v="514316"/>
  </r>
  <r>
    <x v="4"/>
    <x v="4"/>
    <n v="13423"/>
    <n v="5025"/>
    <n v="37.4"/>
    <n v="1"/>
    <n v="500858"/>
  </r>
</pivotCacheRecords>
</file>

<file path=xl/pivotCache/pivotCacheRecords37.xml><?xml version="1.0" encoding="utf-8"?>
<pivotCacheRecords xmlns="http://schemas.openxmlformats.org/spreadsheetml/2006/main" xmlns:r="http://schemas.openxmlformats.org/officeDocument/2006/relationships" count="30">
  <r>
    <x v="0"/>
    <x v="0"/>
    <n v="5312"/>
    <n v="2915"/>
    <n v="54.9"/>
    <n v="0.55000000000000004"/>
    <n v="525964"/>
    <n v="1.0099550539580655"/>
  </r>
  <r>
    <x v="1"/>
    <x v="1"/>
    <n v="8894"/>
    <n v="4750"/>
    <n v="53.4"/>
    <n v="0.99"/>
    <n v="479897"/>
    <n v="1.8533143570391146"/>
  </r>
  <r>
    <x v="1"/>
    <x v="2"/>
    <n v="7902"/>
    <n v="4428"/>
    <n v="56"/>
    <n v="0.97"/>
    <n v="455604"/>
    <n v="1.7344009271209209"/>
  </r>
  <r>
    <x v="1"/>
    <x v="3"/>
    <n v="8378"/>
    <n v="4745"/>
    <n v="56.6"/>
    <n v="0.93"/>
    <n v="509500"/>
    <n v="1.6443572129538766"/>
  </r>
  <r>
    <x v="1"/>
    <x v="4"/>
    <n v="8564"/>
    <n v="4676"/>
    <n v="54.6"/>
    <n v="0.95"/>
    <n v="494416"/>
    <n v="1.732144590789942"/>
  </r>
  <r>
    <x v="2"/>
    <x v="0"/>
    <n v="5605"/>
    <n v="2755"/>
    <n v="49.2"/>
    <n v="0.51"/>
    <n v="536037"/>
    <n v="1.0456367750733624"/>
  </r>
  <r>
    <x v="2"/>
    <x v="1"/>
    <n v="7627"/>
    <n v="3533"/>
    <n v="46.3"/>
    <n v="0.7"/>
    <n v="501595"/>
    <n v="1.5205494472632304"/>
  </r>
  <r>
    <x v="2"/>
    <x v="2"/>
    <n v="6942"/>
    <n v="3403"/>
    <n v="49"/>
    <n v="0.73"/>
    <n v="467052"/>
    <n v="1.4863441329873333"/>
  </r>
  <r>
    <x v="0"/>
    <x v="4"/>
    <n v="7002"/>
    <n v="3879"/>
    <n v="55.4"/>
    <n v="0.79"/>
    <n v="488191"/>
    <n v="1.4342746998613247"/>
  </r>
  <r>
    <x v="3"/>
    <x v="1"/>
    <n v="8477"/>
    <n v="4511"/>
    <n v="53.2"/>
    <n v="0.93"/>
    <n v="487395"/>
    <n v="1.7392464017891032"/>
  </r>
  <r>
    <x v="3"/>
    <x v="2"/>
    <n v="7497"/>
    <n v="4265"/>
    <n v="56.9"/>
    <n v="0.93"/>
    <n v="459499"/>
    <n v="1.631559589901175"/>
  </r>
  <r>
    <x v="0"/>
    <x v="1"/>
    <n v="7028"/>
    <n v="3984"/>
    <n v="56.7"/>
    <n v="0.85"/>
    <n v="467642"/>
    <n v="1.5028590246385054"/>
  </r>
  <r>
    <x v="0"/>
    <x v="2"/>
    <n v="6863"/>
    <n v="3917"/>
    <n v="57.1"/>
    <n v="0.87"/>
    <n v="449892"/>
    <n v="1.525477225645266"/>
  </r>
  <r>
    <x v="1"/>
    <x v="0"/>
    <n v="5988"/>
    <n v="3276"/>
    <n v="54.7"/>
    <n v="0.62"/>
    <n v="530637"/>
    <n v="1.1284550455396063"/>
  </r>
  <r>
    <x v="2"/>
    <x v="3"/>
    <n v="7149"/>
    <n v="3748"/>
    <n v="52.4"/>
    <n v="0.72"/>
    <n v="518089"/>
    <n v="1.3798787467018216"/>
  </r>
  <r>
    <x v="2"/>
    <x v="4"/>
    <n v="7302"/>
    <n v="3556"/>
    <n v="48.7"/>
    <n v="0.7"/>
    <n v="505001"/>
    <n v="1.4459377308163748"/>
  </r>
  <r>
    <x v="0"/>
    <x v="3"/>
    <n v="7233"/>
    <n v="4167"/>
    <n v="57.6"/>
    <n v="0.83"/>
    <n v="504692"/>
    <n v="1.433151308124559"/>
  </r>
  <r>
    <x v="3"/>
    <x v="3"/>
    <n v="8142"/>
    <n v="4633"/>
    <n v="56.9"/>
    <n v="0.9"/>
    <n v="512529"/>
    <n v="1.58859303571115"/>
  </r>
  <r>
    <x v="3"/>
    <x v="4"/>
    <n v="8218"/>
    <n v="4493"/>
    <n v="54.7"/>
    <n v="0.9"/>
    <n v="498164"/>
    <n v="1.6496575424960456"/>
  </r>
  <r>
    <x v="4"/>
    <x v="0"/>
    <n v="5681"/>
    <n v="2968"/>
    <n v="52.2"/>
    <n v="0.56000000000000005"/>
    <n v="534275"/>
    <n v="1.0633100931168407"/>
  </r>
  <r>
    <x v="5"/>
    <x v="0"/>
    <n v="5853"/>
    <n v="3157"/>
    <n v="53.9"/>
    <n v="0.6"/>
    <n v="528323"/>
    <n v="1.1078450114797198"/>
  </r>
  <r>
    <x v="5"/>
    <x v="1"/>
    <n v="8176"/>
    <n v="4368"/>
    <n v="53.4"/>
    <n v="0.92"/>
    <n v="472964"/>
    <n v="1.7286727953924612"/>
  </r>
  <r>
    <x v="5"/>
    <x v="2"/>
    <n v="7333"/>
    <n v="4100"/>
    <n v="55.9"/>
    <n v="0.9"/>
    <n v="453045"/>
    <n v="1.6186030085311613"/>
  </r>
  <r>
    <x v="5"/>
    <x v="3"/>
    <n v="8111"/>
    <n v="4507"/>
    <n v="55.6"/>
    <n v="0.89"/>
    <n v="506910"/>
    <n v="1.60008680041822"/>
  </r>
  <r>
    <x v="3"/>
    <x v="0"/>
    <n v="6011"/>
    <n v="3170"/>
    <n v="52.7"/>
    <n v="0.6"/>
    <n v="532256"/>
    <n v="1.1293437744243371"/>
  </r>
  <r>
    <x v="4"/>
    <x v="3"/>
    <n v="7502"/>
    <n v="4073"/>
    <n v="54.3"/>
    <n v="0.79"/>
    <n v="514316"/>
    <n v="1.4586363247497647"/>
  </r>
  <r>
    <x v="4"/>
    <x v="4"/>
    <n v="7665"/>
    <n v="3983"/>
    <n v="52"/>
    <n v="0.8"/>
    <n v="500858"/>
    <n v="1.5303738784246232"/>
  </r>
  <r>
    <x v="5"/>
    <x v="4"/>
    <n v="7988"/>
    <n v="4450"/>
    <n v="55.7"/>
    <n v="0.91"/>
    <n v="490270"/>
    <n v="1.629306300609868"/>
  </r>
  <r>
    <x v="4"/>
    <x v="1"/>
    <n v="7416"/>
    <n v="3798"/>
    <n v="51.2"/>
    <n v="0.77"/>
    <n v="493970"/>
    <n v="1.5013057473125897"/>
  </r>
  <r>
    <x v="4"/>
    <x v="2"/>
    <n v="7075"/>
    <n v="3690"/>
    <n v="52.2"/>
    <n v="0.8"/>
    <n v="463248"/>
    <n v="1.527259696749905"/>
  </r>
</pivotCacheRecords>
</file>

<file path=xl/pivotCache/pivotCacheRecords38.xml><?xml version="1.0" encoding="utf-8"?>
<pivotCacheRecords xmlns="http://schemas.openxmlformats.org/spreadsheetml/2006/main" xmlns:r="http://schemas.openxmlformats.org/officeDocument/2006/relationships" count="136">
  <r>
    <x v="0"/>
    <x v="0"/>
    <s v="S12000033"/>
    <n v="30"/>
    <n v="2"/>
    <n v="2"/>
    <m/>
    <n v="16"/>
    <n v="10"/>
    <m/>
  </r>
  <r>
    <x v="0"/>
    <x v="1"/>
    <s v="S12000034"/>
    <n v="72"/>
    <m/>
    <n v="8"/>
    <m/>
    <n v="62"/>
    <n v="2"/>
    <m/>
  </r>
  <r>
    <x v="0"/>
    <x v="2"/>
    <s v="S12000041"/>
    <n v="24"/>
    <m/>
    <m/>
    <m/>
    <n v="22"/>
    <n v="2"/>
    <m/>
  </r>
  <r>
    <x v="0"/>
    <x v="3"/>
    <s v="S12000035"/>
    <n v="94"/>
    <n v="2"/>
    <n v="8"/>
    <m/>
    <n v="42"/>
    <m/>
    <n v="42"/>
  </r>
  <r>
    <x v="0"/>
    <x v="4"/>
    <s v="S12000036"/>
    <n v="50"/>
    <n v="10"/>
    <n v="4"/>
    <m/>
    <n v="24"/>
    <n v="12"/>
    <m/>
  </r>
  <r>
    <x v="0"/>
    <x v="5"/>
    <s v="S12000005"/>
    <n v="6"/>
    <m/>
    <m/>
    <n v="2"/>
    <n v="4"/>
    <m/>
    <m/>
  </r>
  <r>
    <x v="0"/>
    <x v="6"/>
    <s v="S12000006"/>
    <n v="58"/>
    <n v="2"/>
    <n v="10"/>
    <n v="6"/>
    <n v="40"/>
    <m/>
    <m/>
  </r>
  <r>
    <x v="0"/>
    <x v="7"/>
    <s v="S12000042"/>
    <n v="50"/>
    <n v="2"/>
    <n v="4"/>
    <m/>
    <n v="26"/>
    <n v="18"/>
    <m/>
  </r>
  <r>
    <x v="0"/>
    <x v="8"/>
    <s v="S12000008"/>
    <n v="22"/>
    <n v="2"/>
    <m/>
    <m/>
    <n v="18"/>
    <n v="2"/>
    <m/>
  </r>
  <r>
    <x v="0"/>
    <x v="9"/>
    <s v="S12000045"/>
    <n v="10"/>
    <m/>
    <m/>
    <m/>
    <n v="6"/>
    <n v="4"/>
    <m/>
  </r>
  <r>
    <x v="0"/>
    <x v="10"/>
    <s v="S12000010"/>
    <n v="14"/>
    <m/>
    <m/>
    <m/>
    <n v="14"/>
    <m/>
    <m/>
  </r>
  <r>
    <x v="0"/>
    <x v="11"/>
    <s v="S12000011"/>
    <n v="4"/>
    <m/>
    <m/>
    <m/>
    <n v="4"/>
    <m/>
    <m/>
  </r>
  <r>
    <x v="0"/>
    <x v="12"/>
    <s v="S12000014"/>
    <n v="28"/>
    <n v="2"/>
    <n v="8"/>
    <m/>
    <n v="14"/>
    <n v="4"/>
    <m/>
  </r>
  <r>
    <x v="0"/>
    <x v="13"/>
    <s v="S12000047"/>
    <n v="56"/>
    <n v="4"/>
    <n v="12"/>
    <n v="2"/>
    <n v="34"/>
    <n v="4"/>
    <m/>
  </r>
  <r>
    <x v="0"/>
    <x v="14"/>
    <s v="S12000046"/>
    <n v="27"/>
    <n v="3"/>
    <n v="3"/>
    <n v="3"/>
    <n v="18"/>
    <m/>
    <m/>
  </r>
  <r>
    <x v="0"/>
    <x v="14"/>
    <s v="S12000049"/>
    <n v="27"/>
    <n v="3"/>
    <n v="3"/>
    <n v="3"/>
    <n v="18"/>
    <m/>
    <m/>
  </r>
  <r>
    <x v="0"/>
    <x v="15"/>
    <s v="S12000017"/>
    <n v="166"/>
    <n v="2"/>
    <n v="22"/>
    <n v="2"/>
    <n v="134"/>
    <n v="6"/>
    <m/>
  </r>
  <r>
    <x v="0"/>
    <x v="16"/>
    <s v="S12000018"/>
    <n v="16"/>
    <n v="2"/>
    <n v="2"/>
    <m/>
    <n v="12"/>
    <m/>
    <m/>
  </r>
  <r>
    <x v="0"/>
    <x v="17"/>
    <s v="S12000019"/>
    <n v="10"/>
    <m/>
    <n v="4"/>
    <m/>
    <n v="6"/>
    <m/>
    <m/>
  </r>
  <r>
    <x v="0"/>
    <x v="18"/>
    <s v="S12000020"/>
    <n v="38"/>
    <m/>
    <n v="8"/>
    <m/>
    <n v="26"/>
    <m/>
    <n v="4"/>
  </r>
  <r>
    <x v="0"/>
    <x v="19"/>
    <s v="S12000013"/>
    <n v="34"/>
    <m/>
    <m/>
    <m/>
    <n v="32"/>
    <m/>
    <n v="2"/>
  </r>
  <r>
    <x v="0"/>
    <x v="20"/>
    <s v="S12000021"/>
    <n v="40"/>
    <m/>
    <n v="4"/>
    <m/>
    <n v="28"/>
    <n v="2"/>
    <n v="6"/>
  </r>
  <r>
    <x v="0"/>
    <x v="21"/>
    <s v="S12000044"/>
    <n v="16"/>
    <n v="2"/>
    <n v="2"/>
    <n v="1"/>
    <n v="8"/>
    <n v="3"/>
    <m/>
  </r>
  <r>
    <x v="0"/>
    <x v="21"/>
    <s v="S12000050"/>
    <n v="16"/>
    <n v="2"/>
    <n v="2"/>
    <n v="1"/>
    <n v="8"/>
    <n v="3"/>
    <m/>
  </r>
  <r>
    <x v="0"/>
    <x v="22"/>
    <s v="S12000023"/>
    <n v="30"/>
    <m/>
    <m/>
    <m/>
    <n v="28"/>
    <m/>
    <n v="2"/>
  </r>
  <r>
    <x v="0"/>
    <x v="23"/>
    <s v="S12000024"/>
    <n v="48"/>
    <n v="2"/>
    <n v="2"/>
    <n v="2"/>
    <n v="32"/>
    <n v="4"/>
    <n v="6"/>
  </r>
  <r>
    <x v="0"/>
    <x v="24"/>
    <s v="S12000038"/>
    <n v="16"/>
    <n v="4"/>
    <n v="4"/>
    <m/>
    <n v="8"/>
    <m/>
    <m/>
  </r>
  <r>
    <x v="0"/>
    <x v="25"/>
    <s v="S12000026"/>
    <n v="42"/>
    <m/>
    <n v="4"/>
    <n v="2"/>
    <n v="32"/>
    <n v="4"/>
    <m/>
  </r>
  <r>
    <x v="0"/>
    <x v="26"/>
    <s v="S12000027"/>
    <n v="34"/>
    <m/>
    <m/>
    <m/>
    <n v="32"/>
    <m/>
    <n v="2"/>
  </r>
  <r>
    <x v="0"/>
    <x v="27"/>
    <s v="S12000028"/>
    <n v="18"/>
    <n v="2"/>
    <m/>
    <n v="2"/>
    <n v="14"/>
    <m/>
    <m/>
  </r>
  <r>
    <x v="0"/>
    <x v="28"/>
    <s v="S12000029"/>
    <n v="46"/>
    <n v="2"/>
    <n v="10"/>
    <n v="4"/>
    <n v="28"/>
    <n v="2"/>
    <m/>
  </r>
  <r>
    <x v="0"/>
    <x v="29"/>
    <s v="S12000030"/>
    <n v="32"/>
    <m/>
    <n v="6"/>
    <n v="2"/>
    <n v="20"/>
    <m/>
    <n v="4"/>
  </r>
  <r>
    <x v="0"/>
    <x v="30"/>
    <s v="S12000039"/>
    <n v="14"/>
    <n v="2"/>
    <n v="2"/>
    <m/>
    <n v="8"/>
    <n v="2"/>
    <m/>
  </r>
  <r>
    <x v="0"/>
    <x v="31"/>
    <s v="S12000040"/>
    <n v="24"/>
    <m/>
    <n v="2"/>
    <n v="2"/>
    <n v="18"/>
    <n v="2"/>
    <m/>
  </r>
  <r>
    <x v="1"/>
    <x v="0"/>
    <s v="S12000033"/>
    <n v="36"/>
    <n v="2"/>
    <n v="6"/>
    <m/>
    <n v="16"/>
    <n v="12"/>
    <m/>
  </r>
  <r>
    <x v="1"/>
    <x v="1"/>
    <s v="S12000034"/>
    <n v="74"/>
    <m/>
    <n v="10"/>
    <m/>
    <n v="62"/>
    <n v="2"/>
    <m/>
  </r>
  <r>
    <x v="1"/>
    <x v="2"/>
    <s v="S12000041"/>
    <n v="24"/>
    <m/>
    <m/>
    <m/>
    <n v="22"/>
    <n v="2"/>
    <m/>
  </r>
  <r>
    <x v="1"/>
    <x v="3"/>
    <s v="S12000035"/>
    <n v="96"/>
    <n v="2"/>
    <n v="8"/>
    <n v="2"/>
    <n v="42"/>
    <m/>
    <n v="42"/>
  </r>
  <r>
    <x v="1"/>
    <x v="4"/>
    <s v="S12000036"/>
    <n v="42"/>
    <n v="6"/>
    <n v="2"/>
    <m/>
    <n v="24"/>
    <n v="10"/>
    <m/>
  </r>
  <r>
    <x v="1"/>
    <x v="5"/>
    <s v="S12000005"/>
    <n v="10"/>
    <m/>
    <n v="2"/>
    <n v="2"/>
    <n v="6"/>
    <m/>
    <m/>
  </r>
  <r>
    <x v="1"/>
    <x v="6"/>
    <s v="S12000006"/>
    <n v="58"/>
    <n v="2"/>
    <n v="6"/>
    <n v="8"/>
    <n v="40"/>
    <m/>
    <n v="2"/>
  </r>
  <r>
    <x v="1"/>
    <x v="7"/>
    <s v="S12000042"/>
    <n v="44"/>
    <n v="2"/>
    <n v="4"/>
    <n v="2"/>
    <n v="16"/>
    <n v="20"/>
    <m/>
  </r>
  <r>
    <x v="1"/>
    <x v="8"/>
    <s v="S12000008"/>
    <n v="22"/>
    <n v="2"/>
    <m/>
    <m/>
    <n v="18"/>
    <n v="2"/>
    <m/>
  </r>
  <r>
    <x v="1"/>
    <x v="9"/>
    <s v="S12000045"/>
    <n v="10"/>
    <m/>
    <m/>
    <m/>
    <n v="6"/>
    <n v="4"/>
    <m/>
  </r>
  <r>
    <x v="1"/>
    <x v="10"/>
    <s v="S12000010"/>
    <n v="16"/>
    <m/>
    <m/>
    <m/>
    <n v="16"/>
    <m/>
    <m/>
  </r>
  <r>
    <x v="1"/>
    <x v="11"/>
    <s v="S12000011"/>
    <n v="4"/>
    <m/>
    <m/>
    <m/>
    <n v="4"/>
    <m/>
    <m/>
  </r>
  <r>
    <x v="1"/>
    <x v="12"/>
    <s v="S12000014"/>
    <n v="32"/>
    <n v="2"/>
    <n v="8"/>
    <m/>
    <n v="18"/>
    <n v="4"/>
    <m/>
  </r>
  <r>
    <x v="1"/>
    <x v="13"/>
    <s v="S12000047"/>
    <n v="60"/>
    <n v="4"/>
    <n v="10"/>
    <n v="2"/>
    <n v="40"/>
    <n v="4"/>
    <m/>
  </r>
  <r>
    <x v="1"/>
    <x v="14"/>
    <s v="S12000046"/>
    <n v="28"/>
    <n v="4"/>
    <n v="3"/>
    <n v="3"/>
    <n v="18"/>
    <m/>
    <m/>
  </r>
  <r>
    <x v="1"/>
    <x v="14"/>
    <s v="S12000049"/>
    <n v="28"/>
    <n v="4"/>
    <n v="3"/>
    <n v="3"/>
    <n v="18"/>
    <m/>
    <m/>
  </r>
  <r>
    <x v="1"/>
    <x v="15"/>
    <s v="S12000017"/>
    <n v="160"/>
    <n v="2"/>
    <n v="8"/>
    <n v="2"/>
    <n v="128"/>
    <n v="6"/>
    <n v="14"/>
  </r>
  <r>
    <x v="1"/>
    <x v="16"/>
    <s v="S12000018"/>
    <n v="14"/>
    <n v="2"/>
    <m/>
    <m/>
    <n v="12"/>
    <m/>
    <m/>
  </r>
  <r>
    <x v="1"/>
    <x v="17"/>
    <s v="S12000019"/>
    <n v="6"/>
    <m/>
    <n v="2"/>
    <m/>
    <n v="4"/>
    <m/>
    <m/>
  </r>
  <r>
    <x v="1"/>
    <x v="18"/>
    <s v="S12000020"/>
    <n v="38"/>
    <m/>
    <n v="6"/>
    <m/>
    <n v="26"/>
    <n v="2"/>
    <n v="4"/>
  </r>
  <r>
    <x v="1"/>
    <x v="19"/>
    <s v="S12000013"/>
    <n v="34"/>
    <m/>
    <m/>
    <m/>
    <n v="32"/>
    <m/>
    <n v="2"/>
  </r>
  <r>
    <x v="1"/>
    <x v="20"/>
    <s v="S12000021"/>
    <n v="40"/>
    <m/>
    <n v="4"/>
    <m/>
    <n v="30"/>
    <n v="2"/>
    <n v="4"/>
  </r>
  <r>
    <x v="1"/>
    <x v="21"/>
    <s v="S12000044"/>
    <n v="18"/>
    <n v="2"/>
    <n v="3"/>
    <n v="1"/>
    <n v="8"/>
    <n v="4"/>
    <m/>
  </r>
  <r>
    <x v="1"/>
    <x v="21"/>
    <s v="S12000050"/>
    <n v="18"/>
    <n v="2"/>
    <n v="3"/>
    <n v="1"/>
    <n v="8"/>
    <n v="4"/>
    <m/>
  </r>
  <r>
    <x v="1"/>
    <x v="22"/>
    <s v="S12000023"/>
    <n v="32"/>
    <m/>
    <m/>
    <m/>
    <n v="30"/>
    <m/>
    <n v="2"/>
  </r>
  <r>
    <x v="1"/>
    <x v="23"/>
    <s v="S12000024"/>
    <n v="44"/>
    <n v="2"/>
    <m/>
    <n v="2"/>
    <n v="32"/>
    <n v="2"/>
    <n v="6"/>
  </r>
  <r>
    <x v="1"/>
    <x v="24"/>
    <s v="S12000038"/>
    <n v="18"/>
    <n v="4"/>
    <n v="6"/>
    <m/>
    <n v="8"/>
    <m/>
    <m/>
  </r>
  <r>
    <x v="1"/>
    <x v="25"/>
    <s v="S12000026"/>
    <n v="38"/>
    <m/>
    <n v="2"/>
    <n v="2"/>
    <n v="34"/>
    <m/>
    <m/>
  </r>
  <r>
    <x v="1"/>
    <x v="26"/>
    <s v="S12000027"/>
    <n v="36"/>
    <m/>
    <n v="2"/>
    <m/>
    <n v="32"/>
    <m/>
    <n v="2"/>
  </r>
  <r>
    <x v="1"/>
    <x v="27"/>
    <s v="S12000028"/>
    <n v="18"/>
    <n v="2"/>
    <m/>
    <n v="2"/>
    <n v="14"/>
    <m/>
    <m/>
  </r>
  <r>
    <x v="1"/>
    <x v="28"/>
    <s v="S12000029"/>
    <n v="46"/>
    <n v="2"/>
    <n v="10"/>
    <n v="4"/>
    <n v="28"/>
    <n v="2"/>
    <m/>
  </r>
  <r>
    <x v="1"/>
    <x v="29"/>
    <s v="S12000030"/>
    <n v="30"/>
    <m/>
    <n v="6"/>
    <n v="2"/>
    <n v="18"/>
    <m/>
    <n v="4"/>
  </r>
  <r>
    <x v="1"/>
    <x v="30"/>
    <s v="S12000039"/>
    <n v="14"/>
    <n v="2"/>
    <n v="2"/>
    <m/>
    <n v="8"/>
    <n v="2"/>
    <m/>
  </r>
  <r>
    <x v="1"/>
    <x v="31"/>
    <s v="S12000040"/>
    <n v="22"/>
    <m/>
    <n v="2"/>
    <n v="2"/>
    <n v="16"/>
    <n v="2"/>
    <m/>
  </r>
  <r>
    <x v="2"/>
    <x v="0"/>
    <s v="S12000033"/>
    <n v="38"/>
    <n v="4"/>
    <n v="4"/>
    <n v="2"/>
    <n v="16"/>
    <n v="12"/>
    <m/>
  </r>
  <r>
    <x v="2"/>
    <x v="1"/>
    <s v="S12000034"/>
    <n v="74"/>
    <m/>
    <n v="10"/>
    <m/>
    <n v="62"/>
    <n v="2"/>
    <m/>
  </r>
  <r>
    <x v="2"/>
    <x v="2"/>
    <s v="S12000041"/>
    <n v="26"/>
    <m/>
    <n v="2"/>
    <m/>
    <n v="22"/>
    <n v="2"/>
    <m/>
  </r>
  <r>
    <x v="2"/>
    <x v="3"/>
    <s v="S12000035"/>
    <n v="102"/>
    <n v="2"/>
    <n v="8"/>
    <n v="2"/>
    <n v="50"/>
    <m/>
    <n v="40"/>
  </r>
  <r>
    <x v="2"/>
    <x v="4"/>
    <s v="S12000036"/>
    <n v="50"/>
    <n v="8"/>
    <n v="2"/>
    <n v="4"/>
    <n v="24"/>
    <n v="12"/>
    <m/>
  </r>
  <r>
    <x v="2"/>
    <x v="5"/>
    <s v="S12000005"/>
    <n v="10"/>
    <m/>
    <n v="2"/>
    <n v="2"/>
    <n v="6"/>
    <m/>
    <m/>
  </r>
  <r>
    <x v="2"/>
    <x v="6"/>
    <s v="S12000006"/>
    <n v="60"/>
    <n v="2"/>
    <n v="8"/>
    <n v="6"/>
    <n v="44"/>
    <m/>
    <m/>
  </r>
  <r>
    <x v="2"/>
    <x v="7"/>
    <s v="S12000042"/>
    <n v="40"/>
    <n v="4"/>
    <n v="4"/>
    <n v="2"/>
    <n v="14"/>
    <n v="16"/>
    <m/>
  </r>
  <r>
    <x v="2"/>
    <x v="8"/>
    <s v="S12000008"/>
    <n v="22"/>
    <n v="2"/>
    <m/>
    <m/>
    <n v="18"/>
    <n v="2"/>
    <m/>
  </r>
  <r>
    <x v="2"/>
    <x v="9"/>
    <s v="S12000045"/>
    <n v="10"/>
    <m/>
    <m/>
    <m/>
    <n v="6"/>
    <n v="4"/>
    <m/>
  </r>
  <r>
    <x v="2"/>
    <x v="10"/>
    <s v="S12000010"/>
    <n v="18"/>
    <m/>
    <m/>
    <m/>
    <n v="18"/>
    <m/>
    <m/>
  </r>
  <r>
    <x v="2"/>
    <x v="11"/>
    <s v="S12000011"/>
    <n v="4"/>
    <m/>
    <m/>
    <m/>
    <n v="4"/>
    <m/>
    <m/>
  </r>
  <r>
    <x v="2"/>
    <x v="12"/>
    <s v="S12000014"/>
    <n v="34"/>
    <n v="2"/>
    <n v="8"/>
    <m/>
    <n v="20"/>
    <n v="4"/>
    <m/>
  </r>
  <r>
    <x v="2"/>
    <x v="13"/>
    <s v="S12000047"/>
    <n v="62"/>
    <n v="4"/>
    <n v="10"/>
    <n v="2"/>
    <n v="42"/>
    <n v="4"/>
    <m/>
  </r>
  <r>
    <x v="2"/>
    <x v="14"/>
    <s v="S12000046"/>
    <n v="28"/>
    <n v="4"/>
    <n v="3"/>
    <n v="3"/>
    <n v="18"/>
    <m/>
    <m/>
  </r>
  <r>
    <x v="2"/>
    <x v="14"/>
    <s v="S12000049"/>
    <n v="28"/>
    <n v="4"/>
    <n v="3"/>
    <n v="3"/>
    <n v="18"/>
    <m/>
    <m/>
  </r>
  <r>
    <x v="2"/>
    <x v="15"/>
    <s v="S12000017"/>
    <n v="176"/>
    <n v="2"/>
    <n v="10"/>
    <n v="4"/>
    <n v="136"/>
    <n v="8"/>
    <n v="16"/>
  </r>
  <r>
    <x v="2"/>
    <x v="16"/>
    <s v="S12000018"/>
    <n v="16"/>
    <n v="2"/>
    <m/>
    <m/>
    <n v="14"/>
    <m/>
    <m/>
  </r>
  <r>
    <x v="2"/>
    <x v="17"/>
    <s v="S12000019"/>
    <n v="6"/>
    <m/>
    <n v="2"/>
    <m/>
    <n v="4"/>
    <m/>
    <m/>
  </r>
  <r>
    <x v="2"/>
    <x v="18"/>
    <s v="S12000020"/>
    <n v="38"/>
    <m/>
    <n v="6"/>
    <m/>
    <n v="26"/>
    <n v="2"/>
    <n v="4"/>
  </r>
  <r>
    <x v="2"/>
    <x v="19"/>
    <s v="S12000013"/>
    <n v="36"/>
    <m/>
    <m/>
    <m/>
    <n v="34"/>
    <m/>
    <n v="2"/>
  </r>
  <r>
    <x v="2"/>
    <x v="20"/>
    <s v="S12000021"/>
    <n v="40"/>
    <m/>
    <n v="4"/>
    <m/>
    <n v="32"/>
    <n v="2"/>
    <n v="2"/>
  </r>
  <r>
    <x v="2"/>
    <x v="21"/>
    <s v="S12000044"/>
    <n v="15"/>
    <n v="2"/>
    <n v="2"/>
    <n v="1"/>
    <n v="8"/>
    <n v="2"/>
    <m/>
  </r>
  <r>
    <x v="2"/>
    <x v="21"/>
    <s v="S12000050"/>
    <n v="15"/>
    <n v="2"/>
    <n v="2"/>
    <n v="1"/>
    <n v="8"/>
    <n v="2"/>
    <m/>
  </r>
  <r>
    <x v="2"/>
    <x v="22"/>
    <s v="S12000023"/>
    <n v="30"/>
    <m/>
    <m/>
    <m/>
    <n v="28"/>
    <m/>
    <n v="2"/>
  </r>
  <r>
    <x v="2"/>
    <x v="23"/>
    <s v="S12000024"/>
    <n v="46"/>
    <n v="2"/>
    <m/>
    <n v="2"/>
    <n v="32"/>
    <n v="4"/>
    <n v="6"/>
  </r>
  <r>
    <x v="2"/>
    <x v="24"/>
    <s v="S12000038"/>
    <n v="20"/>
    <n v="4"/>
    <n v="8"/>
    <m/>
    <n v="8"/>
    <m/>
    <m/>
  </r>
  <r>
    <x v="2"/>
    <x v="25"/>
    <s v="S12000026"/>
    <n v="40"/>
    <m/>
    <n v="2"/>
    <n v="4"/>
    <n v="34"/>
    <m/>
    <m/>
  </r>
  <r>
    <x v="2"/>
    <x v="26"/>
    <s v="S12000027"/>
    <n v="36"/>
    <m/>
    <n v="2"/>
    <m/>
    <n v="32"/>
    <m/>
    <n v="2"/>
  </r>
  <r>
    <x v="2"/>
    <x v="27"/>
    <s v="S12000028"/>
    <n v="18"/>
    <n v="2"/>
    <m/>
    <n v="2"/>
    <n v="14"/>
    <m/>
    <m/>
  </r>
  <r>
    <x v="2"/>
    <x v="28"/>
    <s v="S12000029"/>
    <n v="48"/>
    <n v="2"/>
    <n v="12"/>
    <n v="4"/>
    <n v="28"/>
    <n v="2"/>
    <m/>
  </r>
  <r>
    <x v="2"/>
    <x v="29"/>
    <s v="S12000030"/>
    <n v="30"/>
    <m/>
    <n v="6"/>
    <n v="2"/>
    <n v="18"/>
    <m/>
    <n v="4"/>
  </r>
  <r>
    <x v="2"/>
    <x v="30"/>
    <s v="S12000039"/>
    <n v="14"/>
    <n v="2"/>
    <n v="2"/>
    <m/>
    <n v="8"/>
    <n v="2"/>
    <m/>
  </r>
  <r>
    <x v="2"/>
    <x v="31"/>
    <s v="S12000040"/>
    <n v="24"/>
    <m/>
    <n v="2"/>
    <n v="4"/>
    <n v="16"/>
    <n v="2"/>
    <m/>
  </r>
  <r>
    <x v="3"/>
    <x v="0"/>
    <s v="S12000033"/>
    <n v="42"/>
    <n v="2"/>
    <n v="8"/>
    <n v="2"/>
    <n v="18"/>
    <n v="12"/>
    <m/>
  </r>
  <r>
    <x v="3"/>
    <x v="1"/>
    <s v="S12000034"/>
    <n v="76"/>
    <m/>
    <n v="10"/>
    <n v="2"/>
    <n v="62"/>
    <n v="2"/>
    <m/>
  </r>
  <r>
    <x v="3"/>
    <x v="2"/>
    <s v="S12000041"/>
    <n v="26"/>
    <m/>
    <n v="2"/>
    <m/>
    <n v="22"/>
    <n v="2"/>
    <m/>
  </r>
  <r>
    <x v="3"/>
    <x v="3"/>
    <s v="S12000035"/>
    <n v="94"/>
    <n v="2"/>
    <n v="8"/>
    <n v="2"/>
    <n v="48"/>
    <m/>
    <n v="34"/>
  </r>
  <r>
    <x v="3"/>
    <x v="4"/>
    <s v="S12000036"/>
    <n v="50"/>
    <n v="6"/>
    <n v="6"/>
    <n v="4"/>
    <n v="24"/>
    <n v="10"/>
    <m/>
  </r>
  <r>
    <x v="3"/>
    <x v="5"/>
    <s v="S12000005"/>
    <n v="8"/>
    <m/>
    <n v="2"/>
    <n v="2"/>
    <n v="4"/>
    <m/>
    <m/>
  </r>
  <r>
    <x v="3"/>
    <x v="6"/>
    <s v="S12000006"/>
    <n v="56"/>
    <n v="2"/>
    <n v="6"/>
    <n v="6"/>
    <n v="42"/>
    <m/>
    <m/>
  </r>
  <r>
    <x v="3"/>
    <x v="7"/>
    <s v="S12000042"/>
    <n v="38"/>
    <n v="4"/>
    <n v="4"/>
    <n v="2"/>
    <n v="14"/>
    <n v="14"/>
    <m/>
  </r>
  <r>
    <x v="3"/>
    <x v="8"/>
    <s v="S12000008"/>
    <n v="22"/>
    <n v="2"/>
    <m/>
    <m/>
    <n v="18"/>
    <n v="2"/>
    <m/>
  </r>
  <r>
    <x v="3"/>
    <x v="9"/>
    <s v="S12000045"/>
    <n v="10"/>
    <m/>
    <m/>
    <m/>
    <n v="6"/>
    <n v="4"/>
    <m/>
  </r>
  <r>
    <x v="3"/>
    <x v="10"/>
    <s v="S12000010"/>
    <n v="20"/>
    <m/>
    <n v="2"/>
    <m/>
    <n v="18"/>
    <m/>
    <m/>
  </r>
  <r>
    <x v="3"/>
    <x v="11"/>
    <s v="S12000011"/>
    <n v="4"/>
    <m/>
    <m/>
    <m/>
    <n v="4"/>
    <m/>
    <m/>
  </r>
  <r>
    <x v="3"/>
    <x v="12"/>
    <s v="S12000014"/>
    <n v="36"/>
    <n v="4"/>
    <n v="10"/>
    <m/>
    <n v="18"/>
    <n v="4"/>
    <m/>
  </r>
  <r>
    <x v="3"/>
    <x v="13"/>
    <s v="S12000047"/>
    <n v="60"/>
    <n v="4"/>
    <n v="10"/>
    <n v="4"/>
    <n v="38"/>
    <n v="4"/>
    <m/>
  </r>
  <r>
    <x v="3"/>
    <x v="14"/>
    <s v="S12000046"/>
    <n v="28"/>
    <n v="3"/>
    <n v="3"/>
    <n v="3"/>
    <n v="19"/>
    <m/>
    <m/>
  </r>
  <r>
    <x v="3"/>
    <x v="14"/>
    <s v="S12000049"/>
    <n v="28"/>
    <n v="3"/>
    <n v="3"/>
    <n v="3"/>
    <n v="19"/>
    <m/>
    <m/>
  </r>
  <r>
    <x v="3"/>
    <x v="15"/>
    <s v="S12000017"/>
    <n v="166"/>
    <n v="4"/>
    <n v="4"/>
    <n v="6"/>
    <n v="130"/>
    <n v="6"/>
    <n v="16"/>
  </r>
  <r>
    <x v="3"/>
    <x v="16"/>
    <s v="S12000018"/>
    <n v="14"/>
    <n v="2"/>
    <m/>
    <m/>
    <n v="12"/>
    <m/>
    <m/>
  </r>
  <r>
    <x v="3"/>
    <x v="17"/>
    <s v="S12000019"/>
    <n v="6"/>
    <m/>
    <n v="2"/>
    <m/>
    <n v="4"/>
    <m/>
    <m/>
  </r>
  <r>
    <x v="3"/>
    <x v="18"/>
    <s v="S12000020"/>
    <n v="40"/>
    <m/>
    <n v="6"/>
    <n v="2"/>
    <n v="26"/>
    <n v="2"/>
    <n v="4"/>
  </r>
  <r>
    <x v="3"/>
    <x v="19"/>
    <s v="S12000013"/>
    <n v="34"/>
    <m/>
    <m/>
    <m/>
    <n v="32"/>
    <m/>
    <n v="2"/>
  </r>
  <r>
    <x v="3"/>
    <x v="20"/>
    <s v="S12000021"/>
    <n v="40"/>
    <m/>
    <n v="4"/>
    <m/>
    <n v="32"/>
    <n v="2"/>
    <n v="2"/>
  </r>
  <r>
    <x v="3"/>
    <x v="21"/>
    <s v="S12000044"/>
    <n v="15"/>
    <n v="1"/>
    <n v="3"/>
    <n v="1"/>
    <n v="8"/>
    <n v="2"/>
    <m/>
  </r>
  <r>
    <x v="3"/>
    <x v="21"/>
    <s v="S12000050"/>
    <n v="15"/>
    <n v="1"/>
    <n v="3"/>
    <n v="1"/>
    <n v="8"/>
    <n v="2"/>
    <m/>
  </r>
  <r>
    <x v="3"/>
    <x v="22"/>
    <s v="S12000023"/>
    <n v="34"/>
    <m/>
    <m/>
    <m/>
    <n v="32"/>
    <m/>
    <n v="2"/>
  </r>
  <r>
    <x v="3"/>
    <x v="23"/>
    <s v="S12000024"/>
    <n v="46"/>
    <n v="2"/>
    <m/>
    <n v="2"/>
    <n v="30"/>
    <n v="6"/>
    <n v="6"/>
  </r>
  <r>
    <x v="3"/>
    <x v="24"/>
    <s v="S12000038"/>
    <n v="18"/>
    <n v="4"/>
    <n v="6"/>
    <m/>
    <n v="8"/>
    <m/>
    <m/>
  </r>
  <r>
    <x v="3"/>
    <x v="25"/>
    <s v="S12000026"/>
    <n v="40"/>
    <m/>
    <n v="2"/>
    <n v="4"/>
    <n v="34"/>
    <m/>
    <m/>
  </r>
  <r>
    <x v="3"/>
    <x v="26"/>
    <s v="S12000027"/>
    <n v="32"/>
    <m/>
    <n v="2"/>
    <m/>
    <n v="28"/>
    <m/>
    <n v="2"/>
  </r>
  <r>
    <x v="3"/>
    <x v="27"/>
    <s v="S12000028"/>
    <n v="18"/>
    <n v="2"/>
    <m/>
    <n v="2"/>
    <n v="14"/>
    <m/>
    <m/>
  </r>
  <r>
    <x v="3"/>
    <x v="28"/>
    <s v="S12000029"/>
    <n v="46"/>
    <n v="2"/>
    <n v="10"/>
    <n v="4"/>
    <n v="28"/>
    <n v="2"/>
    <m/>
  </r>
  <r>
    <x v="3"/>
    <x v="29"/>
    <s v="S12000030"/>
    <n v="32"/>
    <m/>
    <n v="6"/>
    <n v="4"/>
    <n v="18"/>
    <m/>
    <n v="4"/>
  </r>
  <r>
    <x v="3"/>
    <x v="30"/>
    <s v="S12000039"/>
    <n v="14"/>
    <n v="2"/>
    <n v="2"/>
    <m/>
    <n v="8"/>
    <n v="2"/>
    <m/>
  </r>
  <r>
    <x v="3"/>
    <x v="31"/>
    <s v="S12000040"/>
    <n v="20"/>
    <m/>
    <n v="2"/>
    <n v="2"/>
    <n v="16"/>
    <m/>
    <m/>
  </r>
</pivotCacheRecords>
</file>

<file path=xl/pivotCache/pivotCacheRecords39.xml><?xml version="1.0" encoding="utf-8"?>
<pivotCacheRecords xmlns="http://schemas.openxmlformats.org/spreadsheetml/2006/main" xmlns:r="http://schemas.openxmlformats.org/officeDocument/2006/relationships" count="32">
  <r>
    <x v="0"/>
    <x v="0"/>
    <x v="0"/>
    <n v="1.6"/>
  </r>
  <r>
    <x v="0"/>
    <x v="0"/>
    <x v="1"/>
    <n v="0.9"/>
  </r>
  <r>
    <x v="1"/>
    <x v="0"/>
    <x v="0"/>
    <n v="2.2000000000000002"/>
  </r>
  <r>
    <x v="2"/>
    <x v="0"/>
    <x v="0"/>
    <n v="1"/>
  </r>
  <r>
    <x v="2"/>
    <x v="0"/>
    <x v="1"/>
    <n v="0.5"/>
  </r>
  <r>
    <x v="3"/>
    <x v="0"/>
    <x v="0"/>
    <n v="1.1000000000000001"/>
  </r>
  <r>
    <x v="3"/>
    <x v="0"/>
    <x v="1"/>
    <n v="0.5"/>
  </r>
  <r>
    <x v="4"/>
    <x v="1"/>
    <x v="0"/>
    <n v="62.1"/>
  </r>
  <r>
    <x v="0"/>
    <x v="1"/>
    <x v="0"/>
    <n v="44.5"/>
  </r>
  <r>
    <x v="0"/>
    <x v="1"/>
    <x v="1"/>
    <n v="88.3"/>
  </r>
  <r>
    <x v="1"/>
    <x v="1"/>
    <x v="0"/>
    <n v="43.5"/>
  </r>
  <r>
    <x v="1"/>
    <x v="1"/>
    <x v="1"/>
    <n v="62.7"/>
  </r>
  <r>
    <x v="2"/>
    <x v="1"/>
    <x v="0"/>
    <n v="52.4"/>
  </r>
  <r>
    <x v="2"/>
    <x v="1"/>
    <x v="1"/>
    <n v="84"/>
  </r>
  <r>
    <x v="3"/>
    <x v="1"/>
    <x v="0"/>
    <n v="50.4"/>
  </r>
  <r>
    <x v="3"/>
    <x v="1"/>
    <x v="1"/>
    <n v="83.4"/>
  </r>
  <r>
    <x v="5"/>
    <x v="1"/>
    <x v="0"/>
    <n v="100"/>
  </r>
  <r>
    <x v="5"/>
    <x v="1"/>
    <x v="1"/>
    <n v="95.2"/>
  </r>
  <r>
    <x v="6"/>
    <x v="1"/>
    <x v="0"/>
    <n v="59.3"/>
  </r>
  <r>
    <x v="6"/>
    <x v="1"/>
    <x v="1"/>
    <n v="85.7"/>
  </r>
  <r>
    <x v="4"/>
    <x v="2"/>
    <x v="0"/>
    <n v="37.9"/>
  </r>
  <r>
    <x v="0"/>
    <x v="2"/>
    <x v="0"/>
    <n v="53.8"/>
  </r>
  <r>
    <x v="0"/>
    <x v="2"/>
    <x v="1"/>
    <n v="10.8"/>
  </r>
  <r>
    <x v="1"/>
    <x v="2"/>
    <x v="0"/>
    <n v="54.3"/>
  </r>
  <r>
    <x v="1"/>
    <x v="2"/>
    <x v="1"/>
    <n v="37.299999999999997"/>
  </r>
  <r>
    <x v="2"/>
    <x v="2"/>
    <x v="0"/>
    <n v="46.6"/>
  </r>
  <r>
    <x v="2"/>
    <x v="2"/>
    <x v="1"/>
    <n v="15.6"/>
  </r>
  <r>
    <x v="3"/>
    <x v="2"/>
    <x v="0"/>
    <n v="48.6"/>
  </r>
  <r>
    <x v="3"/>
    <x v="2"/>
    <x v="1"/>
    <n v="16.100000000000001"/>
  </r>
  <r>
    <x v="5"/>
    <x v="2"/>
    <x v="1"/>
    <n v="4.8"/>
  </r>
  <r>
    <x v="6"/>
    <x v="2"/>
    <x v="0"/>
    <n v="40.700000000000003"/>
  </r>
  <r>
    <x v="6"/>
    <x v="2"/>
    <x v="1"/>
    <n v="14.3"/>
  </r>
</pivotCacheRecords>
</file>

<file path=xl/pivotCache/pivotCacheRecords4.xml><?xml version="1.0" encoding="utf-8"?>
<pivotCacheRecords xmlns="http://schemas.openxmlformats.org/spreadsheetml/2006/main" xmlns:r="http://schemas.openxmlformats.org/officeDocument/2006/relationships" count="27">
  <r>
    <x v="0"/>
    <x v="0"/>
    <n v="1325"/>
    <n v="26"/>
    <n v="434"/>
    <n v="51"/>
    <n v="814"/>
    <m/>
  </r>
  <r>
    <x v="0"/>
    <x v="1"/>
    <n v="1294"/>
    <n v="22"/>
    <n v="429"/>
    <n v="54"/>
    <n v="789"/>
    <m/>
  </r>
  <r>
    <x v="0"/>
    <x v="2"/>
    <n v="891"/>
    <n v="15"/>
    <n v="272"/>
    <n v="23"/>
    <n v="581"/>
    <m/>
  </r>
  <r>
    <x v="0"/>
    <x v="3"/>
    <n v="893"/>
    <n v="21"/>
    <n v="262"/>
    <n v="25"/>
    <n v="585"/>
    <m/>
  </r>
  <r>
    <x v="0"/>
    <x v="4"/>
    <n v="271"/>
    <n v="16"/>
    <n v="134"/>
    <n v="12"/>
    <n v="109"/>
    <m/>
  </r>
  <r>
    <x v="0"/>
    <x v="5"/>
    <n v="69"/>
    <n v="11"/>
    <n v="47"/>
    <n v="4"/>
    <n v="7"/>
    <m/>
  </r>
  <r>
    <x v="0"/>
    <x v="6"/>
    <n v="1100"/>
    <n v="17"/>
    <n v="572"/>
    <n v="64"/>
    <n v="447"/>
    <m/>
  </r>
  <r>
    <x v="0"/>
    <x v="7"/>
    <n v="30"/>
    <n v="5"/>
    <n v="22"/>
    <n v="2"/>
    <n v="1"/>
    <m/>
  </r>
  <r>
    <x v="0"/>
    <x v="8"/>
    <n v="1057"/>
    <n v="56"/>
    <n v="691"/>
    <n v="97"/>
    <n v="213"/>
    <m/>
  </r>
  <r>
    <x v="1"/>
    <x v="0"/>
    <n v="1584"/>
    <n v="30"/>
    <n v="439"/>
    <n v="47"/>
    <n v="879"/>
    <n v="3"/>
  </r>
  <r>
    <x v="1"/>
    <x v="1"/>
    <n v="1359"/>
    <n v="19"/>
    <n v="401"/>
    <n v="54"/>
    <n v="781"/>
    <n v="4"/>
  </r>
  <r>
    <x v="1"/>
    <x v="2"/>
    <n v="990"/>
    <n v="18"/>
    <n v="291"/>
    <n v="25"/>
    <n v="589"/>
    <n v="3"/>
  </r>
  <r>
    <x v="1"/>
    <x v="3"/>
    <n v="901"/>
    <n v="19"/>
    <n v="246"/>
    <n v="22"/>
    <n v="551"/>
    <n v="2"/>
  </r>
  <r>
    <x v="1"/>
    <x v="4"/>
    <n v="329"/>
    <n v="19"/>
    <n v="155"/>
    <n v="15"/>
    <n v="99"/>
    <n v="3"/>
  </r>
  <r>
    <x v="1"/>
    <x v="5"/>
    <n v="86"/>
    <n v="9"/>
    <n v="52"/>
    <n v="1"/>
    <n v="4"/>
    <n v="1"/>
  </r>
  <r>
    <x v="1"/>
    <x v="6"/>
    <n v="1081"/>
    <n v="27"/>
    <n v="580"/>
    <n v="53"/>
    <n v="325"/>
    <n v="1"/>
  </r>
  <r>
    <x v="1"/>
    <x v="7"/>
    <n v="41"/>
    <n v="4"/>
    <n v="23"/>
    <n v="4"/>
    <n v="3"/>
    <m/>
  </r>
  <r>
    <x v="1"/>
    <x v="8"/>
    <n v="1535"/>
    <n v="62"/>
    <n v="748"/>
    <n v="96"/>
    <n v="406"/>
    <n v="1"/>
  </r>
  <r>
    <x v="2"/>
    <x v="0"/>
    <n v="1408"/>
    <n v="25"/>
    <n v="432"/>
    <n v="41"/>
    <n v="742"/>
    <n v="10"/>
  </r>
  <r>
    <x v="2"/>
    <x v="1"/>
    <n v="1366"/>
    <n v="23"/>
    <n v="395"/>
    <n v="43"/>
    <n v="784"/>
    <n v="5"/>
  </r>
  <r>
    <x v="2"/>
    <x v="2"/>
    <n v="1053"/>
    <n v="15"/>
    <n v="289"/>
    <n v="36"/>
    <n v="641"/>
    <n v="5"/>
  </r>
  <r>
    <x v="2"/>
    <x v="3"/>
    <n v="834"/>
    <n v="15"/>
    <n v="223"/>
    <n v="21"/>
    <n v="516"/>
    <n v="3"/>
  </r>
  <r>
    <x v="2"/>
    <x v="4"/>
    <n v="312"/>
    <n v="20"/>
    <n v="156"/>
    <n v="16"/>
    <n v="78"/>
    <n v="4"/>
  </r>
  <r>
    <x v="2"/>
    <x v="5"/>
    <n v="91"/>
    <n v="3"/>
    <n v="57"/>
    <n v="2"/>
    <n v="5"/>
    <n v="3"/>
  </r>
  <r>
    <x v="2"/>
    <x v="6"/>
    <n v="1068"/>
    <n v="26"/>
    <n v="556"/>
    <n v="55"/>
    <n v="330"/>
    <n v="5"/>
  </r>
  <r>
    <x v="2"/>
    <x v="7"/>
    <n v="52"/>
    <n v="7"/>
    <n v="28"/>
    <n v="4"/>
    <n v="4"/>
    <m/>
  </r>
  <r>
    <x v="2"/>
    <x v="8"/>
    <n v="1746"/>
    <n v="54"/>
    <n v="801"/>
    <n v="97"/>
    <n v="536"/>
    <n v="1"/>
  </r>
</pivotCacheRecords>
</file>

<file path=xl/pivotCache/pivotCacheRecords40.xml><?xml version="1.0" encoding="utf-8"?>
<pivotCacheRecords xmlns="http://schemas.openxmlformats.org/spreadsheetml/2006/main" xmlns:r="http://schemas.openxmlformats.org/officeDocument/2006/relationships" count="18">
  <r>
    <x v="0"/>
    <x v="0"/>
    <x v="0"/>
    <n v="24"/>
  </r>
  <r>
    <x v="0"/>
    <x v="0"/>
    <x v="1"/>
    <n v="38"/>
  </r>
  <r>
    <x v="0"/>
    <x v="0"/>
    <x v="2"/>
    <n v="38"/>
  </r>
  <r>
    <x v="0"/>
    <x v="0"/>
    <x v="3"/>
    <n v="8"/>
  </r>
  <r>
    <x v="0"/>
    <x v="0"/>
    <x v="4"/>
    <n v="14"/>
  </r>
  <r>
    <x v="0"/>
    <x v="1"/>
    <x v="0"/>
    <n v="5"/>
  </r>
  <r>
    <x v="0"/>
    <x v="1"/>
    <x v="1"/>
    <n v="209"/>
  </r>
  <r>
    <x v="0"/>
    <x v="1"/>
    <x v="2"/>
    <n v="54"/>
  </r>
  <r>
    <x v="0"/>
    <x v="1"/>
    <x v="3"/>
    <n v="16"/>
  </r>
  <r>
    <x v="0"/>
    <x v="1"/>
    <x v="4"/>
    <n v="180"/>
  </r>
  <r>
    <x v="1"/>
    <x v="0"/>
    <x v="1"/>
    <n v="23"/>
  </r>
  <r>
    <x v="1"/>
    <x v="0"/>
    <x v="2"/>
    <n v="38"/>
  </r>
  <r>
    <x v="1"/>
    <x v="0"/>
    <x v="3"/>
    <n v="6"/>
  </r>
  <r>
    <x v="1"/>
    <x v="0"/>
    <x v="4"/>
    <n v="21"/>
  </r>
  <r>
    <x v="1"/>
    <x v="1"/>
    <x v="1"/>
    <n v="200"/>
  </r>
  <r>
    <x v="1"/>
    <x v="1"/>
    <x v="2"/>
    <n v="29"/>
  </r>
  <r>
    <x v="1"/>
    <x v="1"/>
    <x v="3"/>
    <n v="15"/>
  </r>
  <r>
    <x v="1"/>
    <x v="1"/>
    <x v="4"/>
    <n v="98"/>
  </r>
</pivotCacheRecords>
</file>

<file path=xl/pivotCache/pivotCacheRecords41.xml><?xml version="1.0" encoding="utf-8"?>
<pivotCacheRecords xmlns="http://schemas.openxmlformats.org/spreadsheetml/2006/main" xmlns:r="http://schemas.openxmlformats.org/officeDocument/2006/relationships" count="73">
  <r>
    <x v="0"/>
    <x v="0"/>
    <x v="0"/>
    <n v="8"/>
  </r>
  <r>
    <x v="0"/>
    <x v="0"/>
    <x v="1"/>
    <n v="56"/>
  </r>
  <r>
    <x v="0"/>
    <x v="0"/>
    <x v="2"/>
    <n v="11"/>
  </r>
  <r>
    <x v="0"/>
    <x v="0"/>
    <x v="3"/>
    <n v="4"/>
  </r>
  <r>
    <x v="0"/>
    <x v="0"/>
    <x v="4"/>
    <n v="26"/>
  </r>
  <r>
    <x v="0"/>
    <x v="1"/>
    <x v="0"/>
    <n v="9"/>
  </r>
  <r>
    <x v="0"/>
    <x v="1"/>
    <x v="1"/>
    <n v="50"/>
  </r>
  <r>
    <x v="0"/>
    <x v="1"/>
    <x v="2"/>
    <n v="12"/>
  </r>
  <r>
    <x v="0"/>
    <x v="1"/>
    <x v="3"/>
    <n v="5"/>
  </r>
  <r>
    <x v="0"/>
    <x v="1"/>
    <x v="4"/>
    <n v="61"/>
  </r>
  <r>
    <x v="0"/>
    <x v="2"/>
    <x v="0"/>
    <n v="7"/>
  </r>
  <r>
    <x v="0"/>
    <x v="2"/>
    <x v="1"/>
    <n v="50"/>
  </r>
  <r>
    <x v="0"/>
    <x v="2"/>
    <x v="2"/>
    <n v="8"/>
  </r>
  <r>
    <x v="0"/>
    <x v="2"/>
    <x v="3"/>
    <n v="3"/>
  </r>
  <r>
    <x v="0"/>
    <x v="2"/>
    <x v="4"/>
    <n v="61"/>
  </r>
  <r>
    <x v="0"/>
    <x v="3"/>
    <x v="0"/>
    <n v="5"/>
  </r>
  <r>
    <x v="0"/>
    <x v="3"/>
    <x v="1"/>
    <n v="30"/>
  </r>
  <r>
    <x v="0"/>
    <x v="3"/>
    <x v="2"/>
    <n v="7"/>
  </r>
  <r>
    <x v="0"/>
    <x v="3"/>
    <x v="3"/>
    <n v="3"/>
  </r>
  <r>
    <x v="0"/>
    <x v="3"/>
    <x v="4"/>
    <n v="25"/>
  </r>
  <r>
    <x v="0"/>
    <x v="4"/>
    <x v="1"/>
    <n v="28"/>
  </r>
  <r>
    <x v="0"/>
    <x v="4"/>
    <x v="2"/>
    <n v="12"/>
  </r>
  <r>
    <x v="0"/>
    <x v="4"/>
    <x v="3"/>
    <n v="2"/>
  </r>
  <r>
    <x v="0"/>
    <x v="4"/>
    <x v="4"/>
    <n v="13"/>
  </r>
  <r>
    <x v="0"/>
    <x v="5"/>
    <x v="1"/>
    <n v="16"/>
  </r>
  <r>
    <x v="0"/>
    <x v="5"/>
    <x v="2"/>
    <n v="13"/>
  </r>
  <r>
    <x v="0"/>
    <x v="5"/>
    <x v="3"/>
    <n v="3"/>
  </r>
  <r>
    <x v="0"/>
    <x v="5"/>
    <x v="4"/>
    <n v="7"/>
  </r>
  <r>
    <x v="0"/>
    <x v="6"/>
    <x v="1"/>
    <n v="11"/>
  </r>
  <r>
    <x v="0"/>
    <x v="6"/>
    <x v="2"/>
    <n v="9"/>
  </r>
  <r>
    <x v="0"/>
    <x v="6"/>
    <x v="3"/>
    <n v="3"/>
  </r>
  <r>
    <x v="0"/>
    <x v="6"/>
    <x v="4"/>
    <n v="1"/>
  </r>
  <r>
    <x v="0"/>
    <x v="7"/>
    <x v="1"/>
    <n v="2"/>
  </r>
  <r>
    <x v="0"/>
    <x v="7"/>
    <x v="2"/>
    <n v="11"/>
  </r>
  <r>
    <x v="0"/>
    <x v="8"/>
    <x v="2"/>
    <n v="6"/>
  </r>
  <r>
    <x v="0"/>
    <x v="9"/>
    <x v="2"/>
    <n v="1"/>
  </r>
  <r>
    <x v="0"/>
    <x v="9"/>
    <x v="3"/>
    <n v="1"/>
  </r>
  <r>
    <x v="0"/>
    <x v="10"/>
    <x v="1"/>
    <n v="4"/>
  </r>
  <r>
    <x v="0"/>
    <x v="10"/>
    <x v="2"/>
    <n v="2"/>
  </r>
  <r>
    <x v="1"/>
    <x v="0"/>
    <x v="1"/>
    <n v="52"/>
  </r>
  <r>
    <x v="1"/>
    <x v="0"/>
    <x v="2"/>
    <n v="6"/>
  </r>
  <r>
    <x v="1"/>
    <x v="0"/>
    <x v="3"/>
    <n v="4"/>
  </r>
  <r>
    <x v="1"/>
    <x v="0"/>
    <x v="4"/>
    <n v="7"/>
  </r>
  <r>
    <x v="1"/>
    <x v="1"/>
    <x v="1"/>
    <n v="43"/>
  </r>
  <r>
    <x v="1"/>
    <x v="1"/>
    <x v="2"/>
    <n v="14"/>
  </r>
  <r>
    <x v="1"/>
    <x v="1"/>
    <x v="3"/>
    <n v="2"/>
  </r>
  <r>
    <x v="1"/>
    <x v="1"/>
    <x v="4"/>
    <n v="41"/>
  </r>
  <r>
    <x v="1"/>
    <x v="2"/>
    <x v="1"/>
    <n v="42"/>
  </r>
  <r>
    <x v="1"/>
    <x v="2"/>
    <x v="2"/>
    <n v="5"/>
  </r>
  <r>
    <x v="1"/>
    <x v="2"/>
    <x v="3"/>
    <n v="6"/>
  </r>
  <r>
    <x v="1"/>
    <x v="2"/>
    <x v="4"/>
    <n v="43"/>
  </r>
  <r>
    <x v="1"/>
    <x v="3"/>
    <x v="1"/>
    <n v="40"/>
  </r>
  <r>
    <x v="1"/>
    <x v="3"/>
    <x v="2"/>
    <n v="10"/>
  </r>
  <r>
    <x v="1"/>
    <x v="3"/>
    <x v="3"/>
    <n v="2"/>
  </r>
  <r>
    <x v="1"/>
    <x v="3"/>
    <x v="4"/>
    <n v="14"/>
  </r>
  <r>
    <x v="1"/>
    <x v="4"/>
    <x v="1"/>
    <n v="11"/>
  </r>
  <r>
    <x v="1"/>
    <x v="4"/>
    <x v="2"/>
    <n v="10"/>
  </r>
  <r>
    <x v="1"/>
    <x v="4"/>
    <x v="3"/>
    <n v="1"/>
  </r>
  <r>
    <x v="1"/>
    <x v="4"/>
    <x v="4"/>
    <n v="9"/>
  </r>
  <r>
    <x v="1"/>
    <x v="5"/>
    <x v="1"/>
    <n v="16"/>
  </r>
  <r>
    <x v="1"/>
    <x v="5"/>
    <x v="2"/>
    <n v="5"/>
  </r>
  <r>
    <x v="1"/>
    <x v="5"/>
    <x v="3"/>
    <n v="3"/>
  </r>
  <r>
    <x v="1"/>
    <x v="5"/>
    <x v="4"/>
    <n v="3"/>
  </r>
  <r>
    <x v="1"/>
    <x v="6"/>
    <x v="1"/>
    <n v="8"/>
  </r>
  <r>
    <x v="1"/>
    <x v="6"/>
    <x v="2"/>
    <n v="7"/>
  </r>
  <r>
    <x v="1"/>
    <x v="6"/>
    <x v="3"/>
    <n v="3"/>
  </r>
  <r>
    <x v="1"/>
    <x v="6"/>
    <x v="4"/>
    <n v="1"/>
  </r>
  <r>
    <x v="1"/>
    <x v="7"/>
    <x v="1"/>
    <n v="3"/>
  </r>
  <r>
    <x v="1"/>
    <x v="7"/>
    <x v="2"/>
    <n v="6"/>
  </r>
  <r>
    <x v="1"/>
    <x v="7"/>
    <x v="4"/>
    <n v="1"/>
  </r>
  <r>
    <x v="1"/>
    <x v="8"/>
    <x v="2"/>
    <n v="1"/>
  </r>
  <r>
    <x v="1"/>
    <x v="10"/>
    <x v="1"/>
    <n v="8"/>
  </r>
  <r>
    <x v="1"/>
    <x v="10"/>
    <x v="2"/>
    <n v="3"/>
  </r>
</pivotCacheRecords>
</file>

<file path=xl/pivotCache/pivotCacheRecords42.xml><?xml version="1.0" encoding="utf-8"?>
<pivotCacheRecords xmlns="http://schemas.openxmlformats.org/spreadsheetml/2006/main" xmlns:r="http://schemas.openxmlformats.org/officeDocument/2006/relationships" count="34">
  <r>
    <s v="2018"/>
    <x v="0"/>
    <x v="0"/>
    <x v="0"/>
    <n v="1.2"/>
  </r>
  <r>
    <s v="2018"/>
    <x v="0"/>
    <x v="0"/>
    <x v="1"/>
    <n v="2.2000000000000002"/>
  </r>
  <r>
    <s v="2018"/>
    <x v="0"/>
    <x v="0"/>
    <x v="2"/>
    <n v="2"/>
  </r>
  <r>
    <s v="2018"/>
    <x v="0"/>
    <x v="0"/>
    <x v="3"/>
    <n v="2.1"/>
  </r>
  <r>
    <s v="2018"/>
    <x v="0"/>
    <x v="0"/>
    <x v="4"/>
    <n v="3.6"/>
  </r>
  <r>
    <s v="2018"/>
    <x v="0"/>
    <x v="1"/>
    <x v="5"/>
    <n v="34.5"/>
  </r>
  <r>
    <s v="2018"/>
    <x v="0"/>
    <x v="1"/>
    <x v="0"/>
    <n v="54.3"/>
  </r>
  <r>
    <s v="2018"/>
    <x v="0"/>
    <x v="1"/>
    <x v="1"/>
    <n v="48.9"/>
  </r>
  <r>
    <s v="2018"/>
    <x v="0"/>
    <x v="1"/>
    <x v="2"/>
    <n v="44.9"/>
  </r>
  <r>
    <s v="2018"/>
    <x v="0"/>
    <x v="1"/>
    <x v="3"/>
    <n v="46.8"/>
  </r>
  <r>
    <s v="2018"/>
    <x v="0"/>
    <x v="1"/>
    <x v="4"/>
    <n v="38.1"/>
  </r>
  <r>
    <s v="2018"/>
    <x v="0"/>
    <x v="2"/>
    <x v="5"/>
    <n v="65.5"/>
  </r>
  <r>
    <s v="2018"/>
    <x v="0"/>
    <x v="2"/>
    <x v="0"/>
    <n v="44.5"/>
  </r>
  <r>
    <s v="2018"/>
    <x v="0"/>
    <x v="2"/>
    <x v="1"/>
    <n v="48.9"/>
  </r>
  <r>
    <s v="2018"/>
    <x v="0"/>
    <x v="2"/>
    <x v="2"/>
    <n v="53.1"/>
  </r>
  <r>
    <s v="2018"/>
    <x v="0"/>
    <x v="2"/>
    <x v="3"/>
    <n v="51.1"/>
  </r>
  <r>
    <s v="2018"/>
    <x v="0"/>
    <x v="2"/>
    <x v="6"/>
    <n v="100"/>
  </r>
  <r>
    <s v="2018"/>
    <x v="0"/>
    <x v="2"/>
    <x v="4"/>
    <n v="58.2"/>
  </r>
  <r>
    <s v="2019"/>
    <x v="1"/>
    <x v="0"/>
    <x v="0"/>
    <n v="0.4"/>
  </r>
  <r>
    <s v="2019"/>
    <x v="1"/>
    <x v="0"/>
    <x v="1"/>
    <n v="4.5"/>
  </r>
  <r>
    <s v="2019"/>
    <x v="1"/>
    <x v="0"/>
    <x v="2"/>
    <n v="1.2"/>
  </r>
  <r>
    <s v="2019"/>
    <x v="1"/>
    <x v="0"/>
    <x v="3"/>
    <n v="1.2"/>
  </r>
  <r>
    <s v="2019"/>
    <x v="1"/>
    <x v="0"/>
    <x v="4"/>
    <n v="0.8"/>
  </r>
  <r>
    <s v="2019"/>
    <x v="1"/>
    <x v="1"/>
    <x v="0"/>
    <n v="8.5"/>
  </r>
  <r>
    <s v="2019"/>
    <x v="1"/>
    <x v="1"/>
    <x v="1"/>
    <n v="23.9"/>
  </r>
  <r>
    <s v="2019"/>
    <x v="1"/>
    <x v="1"/>
    <x v="2"/>
    <n v="10.7"/>
  </r>
  <r>
    <s v="2019"/>
    <x v="1"/>
    <x v="1"/>
    <x v="3"/>
    <n v="11.2"/>
  </r>
  <r>
    <s v="2019"/>
    <x v="1"/>
    <x v="1"/>
    <x v="4"/>
    <n v="9.1999999999999993"/>
  </r>
  <r>
    <s v="2019"/>
    <x v="1"/>
    <x v="2"/>
    <x v="0"/>
    <n v="91"/>
  </r>
  <r>
    <s v="2019"/>
    <x v="1"/>
    <x v="2"/>
    <x v="1"/>
    <n v="71.599999999999994"/>
  </r>
  <r>
    <s v="2019"/>
    <x v="1"/>
    <x v="2"/>
    <x v="2"/>
    <n v="88.1"/>
  </r>
  <r>
    <s v="2019"/>
    <x v="1"/>
    <x v="2"/>
    <x v="3"/>
    <n v="87.5"/>
  </r>
  <r>
    <s v="2019"/>
    <x v="1"/>
    <x v="2"/>
    <x v="6"/>
    <n v="100"/>
  </r>
  <r>
    <s v="2019"/>
    <x v="1"/>
    <x v="2"/>
    <x v="4"/>
    <n v="89.9"/>
  </r>
</pivotCacheRecords>
</file>

<file path=xl/pivotCache/pivotCacheRecords43.xml><?xml version="1.0" encoding="utf-8"?>
<pivotCacheRecords xmlns="http://schemas.openxmlformats.org/spreadsheetml/2006/main" xmlns:r="http://schemas.openxmlformats.org/officeDocument/2006/relationships" count="150">
  <r>
    <x v="0"/>
    <x v="0"/>
    <s v="S12000005"/>
    <x v="0"/>
    <n v="0"/>
    <n v="0"/>
    <n v="0"/>
    <n v="0"/>
  </r>
  <r>
    <x v="0"/>
    <x v="0"/>
    <s v="S12000006"/>
    <x v="1"/>
    <n v="4"/>
    <n v="0"/>
    <n v="1"/>
    <n v="3"/>
  </r>
  <r>
    <x v="0"/>
    <x v="0"/>
    <s v="S12000008"/>
    <x v="2"/>
    <n v="0"/>
    <n v="0"/>
    <n v="0"/>
    <n v="0"/>
  </r>
  <r>
    <x v="0"/>
    <x v="0"/>
    <s v="S12000010"/>
    <x v="3"/>
    <n v="0"/>
    <n v="0"/>
    <n v="0"/>
    <n v="0"/>
  </r>
  <r>
    <x v="0"/>
    <x v="0"/>
    <s v="S12000011"/>
    <x v="4"/>
    <n v="0"/>
    <n v="0"/>
    <n v="0"/>
    <n v="0"/>
  </r>
  <r>
    <x v="0"/>
    <x v="0"/>
    <s v="S12000013"/>
    <x v="5"/>
    <n v="0"/>
    <n v="0"/>
    <n v="0"/>
    <n v="0"/>
  </r>
  <r>
    <x v="0"/>
    <x v="0"/>
    <s v="S12000014"/>
    <x v="6"/>
    <n v="0"/>
    <n v="0"/>
    <n v="0"/>
    <n v="0"/>
  </r>
  <r>
    <x v="0"/>
    <x v="0"/>
    <s v="S12000017"/>
    <x v="7"/>
    <n v="72"/>
    <n v="8"/>
    <n v="13"/>
    <n v="51"/>
  </r>
  <r>
    <x v="0"/>
    <x v="0"/>
    <s v="S12000018"/>
    <x v="8"/>
    <n v="0"/>
    <n v="0"/>
    <n v="0"/>
    <n v="0"/>
  </r>
  <r>
    <x v="0"/>
    <x v="0"/>
    <s v="S12000019"/>
    <x v="9"/>
    <n v="0"/>
    <n v="0"/>
    <n v="0"/>
    <n v="0"/>
  </r>
  <r>
    <x v="0"/>
    <x v="0"/>
    <s v="S12000020"/>
    <x v="10"/>
    <n v="32"/>
    <n v="1"/>
    <n v="2"/>
    <n v="29"/>
  </r>
  <r>
    <x v="0"/>
    <x v="0"/>
    <s v="S12000021"/>
    <x v="11"/>
    <n v="21"/>
    <n v="0"/>
    <n v="6"/>
    <n v="15"/>
  </r>
  <r>
    <x v="0"/>
    <x v="0"/>
    <s v="S12000023"/>
    <x v="12"/>
    <n v="0"/>
    <n v="0"/>
    <n v="0"/>
    <n v="0"/>
  </r>
  <r>
    <x v="0"/>
    <x v="0"/>
    <s v="S12000024"/>
    <x v="13"/>
    <n v="25"/>
    <n v="0"/>
    <n v="3"/>
    <n v="22"/>
  </r>
  <r>
    <x v="0"/>
    <x v="0"/>
    <s v="S12000026"/>
    <x v="14"/>
    <n v="0"/>
    <n v="0"/>
    <n v="0"/>
    <n v="0"/>
  </r>
  <r>
    <x v="0"/>
    <x v="0"/>
    <s v="S12000027"/>
    <x v="15"/>
    <n v="0"/>
    <n v="0"/>
    <n v="0"/>
    <n v="0"/>
  </r>
  <r>
    <x v="0"/>
    <x v="0"/>
    <s v="S12000028"/>
    <x v="16"/>
    <n v="0"/>
    <n v="0"/>
    <n v="0"/>
    <n v="0"/>
  </r>
  <r>
    <x v="0"/>
    <x v="0"/>
    <s v="S12000029"/>
    <x v="17"/>
    <n v="2"/>
    <n v="0"/>
    <n v="1"/>
    <n v="1"/>
  </r>
  <r>
    <x v="0"/>
    <x v="0"/>
    <s v="S12000030"/>
    <x v="18"/>
    <n v="0"/>
    <n v="0"/>
    <n v="0"/>
    <n v="0"/>
  </r>
  <r>
    <x v="0"/>
    <x v="0"/>
    <s v="S12000033"/>
    <x v="19"/>
    <n v="0"/>
    <n v="0"/>
    <n v="0"/>
    <n v="0"/>
  </r>
  <r>
    <x v="0"/>
    <x v="0"/>
    <s v="S12000034"/>
    <x v="20"/>
    <n v="0"/>
    <n v="0"/>
    <n v="0"/>
    <n v="0"/>
  </r>
  <r>
    <x v="0"/>
    <x v="0"/>
    <s v="S12000035"/>
    <x v="21"/>
    <n v="203"/>
    <n v="0"/>
    <n v="47"/>
    <n v="156"/>
  </r>
  <r>
    <x v="0"/>
    <x v="0"/>
    <s v="S12000036"/>
    <x v="22"/>
    <n v="0"/>
    <n v="0"/>
    <n v="0"/>
    <n v="0"/>
  </r>
  <r>
    <x v="0"/>
    <x v="0"/>
    <s v="S12000038"/>
    <x v="23"/>
    <n v="0"/>
    <n v="0"/>
    <n v="0"/>
    <n v="0"/>
  </r>
  <r>
    <x v="0"/>
    <x v="0"/>
    <s v="S12000039"/>
    <x v="24"/>
    <n v="0"/>
    <n v="0"/>
    <n v="0"/>
    <n v="0"/>
  </r>
  <r>
    <x v="0"/>
    <x v="0"/>
    <s v="S12000040"/>
    <x v="25"/>
    <n v="0"/>
    <n v="0"/>
    <n v="0"/>
    <n v="0"/>
  </r>
  <r>
    <x v="0"/>
    <x v="0"/>
    <s v="S12000041"/>
    <x v="26"/>
    <n v="0"/>
    <n v="0"/>
    <n v="0"/>
    <n v="0"/>
  </r>
  <r>
    <x v="0"/>
    <x v="0"/>
    <s v="S12000042"/>
    <x v="27"/>
    <n v="0"/>
    <n v="0"/>
    <n v="0"/>
    <n v="0"/>
  </r>
  <r>
    <x v="0"/>
    <x v="0"/>
    <s v="S12000044"/>
    <x v="28"/>
    <n v="0"/>
    <n v="0"/>
    <n v="0"/>
    <n v="0"/>
  </r>
  <r>
    <x v="0"/>
    <x v="0"/>
    <s v="S12000045"/>
    <x v="29"/>
    <n v="0"/>
    <n v="0"/>
    <n v="0"/>
    <n v="0"/>
  </r>
  <r>
    <x v="0"/>
    <x v="0"/>
    <s v="S12000046"/>
    <x v="30"/>
    <n v="0"/>
    <n v="0"/>
    <n v="0"/>
    <n v="0"/>
  </r>
  <r>
    <x v="0"/>
    <x v="0"/>
    <s v="S12000047"/>
    <x v="31"/>
    <n v="0"/>
    <n v="0"/>
    <n v="0"/>
    <n v="0"/>
  </r>
  <r>
    <x v="1"/>
    <x v="0"/>
    <s v="S12000005"/>
    <x v="0"/>
    <n v="0"/>
    <n v="0"/>
    <n v="0"/>
    <n v="0"/>
  </r>
  <r>
    <x v="1"/>
    <x v="0"/>
    <s v="S12000006"/>
    <x v="1"/>
    <n v="3"/>
    <n v="0"/>
    <n v="1"/>
    <n v="2"/>
  </r>
  <r>
    <x v="1"/>
    <x v="0"/>
    <s v="S12000008"/>
    <x v="2"/>
    <n v="0"/>
    <n v="0"/>
    <n v="0"/>
    <n v="0"/>
  </r>
  <r>
    <x v="1"/>
    <x v="0"/>
    <s v="S12000010"/>
    <x v="3"/>
    <n v="0"/>
    <n v="0"/>
    <n v="0"/>
    <n v="0"/>
  </r>
  <r>
    <x v="1"/>
    <x v="0"/>
    <s v="S12000011"/>
    <x v="4"/>
    <n v="0"/>
    <n v="0"/>
    <n v="0"/>
    <n v="0"/>
  </r>
  <r>
    <x v="1"/>
    <x v="0"/>
    <s v="S12000013"/>
    <x v="5"/>
    <n v="0"/>
    <n v="0"/>
    <n v="0"/>
    <n v="0"/>
  </r>
  <r>
    <x v="1"/>
    <x v="0"/>
    <s v="S12000014"/>
    <x v="6"/>
    <n v="0"/>
    <n v="0"/>
    <n v="0"/>
    <n v="0"/>
  </r>
  <r>
    <x v="1"/>
    <x v="0"/>
    <s v="S12000017"/>
    <x v="7"/>
    <n v="69"/>
    <n v="8"/>
    <n v="12"/>
    <n v="49"/>
  </r>
  <r>
    <x v="1"/>
    <x v="0"/>
    <s v="S12000018"/>
    <x v="8"/>
    <n v="0"/>
    <n v="0"/>
    <n v="0"/>
    <n v="0"/>
  </r>
  <r>
    <x v="1"/>
    <x v="0"/>
    <s v="S12000019"/>
    <x v="9"/>
    <n v="0"/>
    <n v="0"/>
    <n v="0"/>
    <n v="0"/>
  </r>
  <r>
    <x v="1"/>
    <x v="0"/>
    <s v="S12000020"/>
    <x v="10"/>
    <n v="25"/>
    <n v="1"/>
    <n v="2"/>
    <n v="22"/>
  </r>
  <r>
    <x v="1"/>
    <x v="0"/>
    <s v="S12000021"/>
    <x v="11"/>
    <n v="26"/>
    <n v="3"/>
    <n v="3"/>
    <n v="20"/>
  </r>
  <r>
    <x v="1"/>
    <x v="0"/>
    <s v="S12000023"/>
    <x v="12"/>
    <n v="1"/>
    <n v="0"/>
    <n v="1"/>
    <n v="0"/>
  </r>
  <r>
    <x v="1"/>
    <x v="0"/>
    <s v="S12000024"/>
    <x v="13"/>
    <n v="24"/>
    <n v="0"/>
    <n v="5"/>
    <n v="19"/>
  </r>
  <r>
    <x v="1"/>
    <x v="0"/>
    <s v="S12000026"/>
    <x v="14"/>
    <n v="0"/>
    <n v="0"/>
    <n v="0"/>
    <n v="0"/>
  </r>
  <r>
    <x v="1"/>
    <x v="0"/>
    <s v="S12000027"/>
    <x v="15"/>
    <n v="1"/>
    <n v="0"/>
    <n v="0"/>
    <n v="1"/>
  </r>
  <r>
    <x v="1"/>
    <x v="0"/>
    <s v="S12000028"/>
    <x v="16"/>
    <n v="0"/>
    <n v="0"/>
    <n v="0"/>
    <n v="0"/>
  </r>
  <r>
    <x v="1"/>
    <x v="0"/>
    <s v="S12000029"/>
    <x v="17"/>
    <n v="4"/>
    <n v="1"/>
    <m/>
    <n v="3"/>
  </r>
  <r>
    <x v="1"/>
    <x v="0"/>
    <s v="S12000030"/>
    <x v="18"/>
    <n v="0"/>
    <n v="0"/>
    <n v="0"/>
    <n v="0"/>
  </r>
  <r>
    <x v="1"/>
    <x v="0"/>
    <s v="S12000033"/>
    <x v="19"/>
    <n v="0"/>
    <n v="0"/>
    <n v="0"/>
    <n v="0"/>
  </r>
  <r>
    <x v="1"/>
    <x v="0"/>
    <s v="S12000034"/>
    <x v="20"/>
    <n v="0"/>
    <n v="0"/>
    <n v="0"/>
    <n v="0"/>
  </r>
  <r>
    <x v="1"/>
    <x v="0"/>
    <s v="S12000035"/>
    <x v="21"/>
    <n v="225"/>
    <n v="25"/>
    <n v="20"/>
    <n v="180"/>
  </r>
  <r>
    <x v="1"/>
    <x v="0"/>
    <s v="S12000036"/>
    <x v="22"/>
    <n v="0"/>
    <n v="0"/>
    <n v="0"/>
    <n v="0"/>
  </r>
  <r>
    <x v="1"/>
    <x v="0"/>
    <s v="S12000038"/>
    <x v="23"/>
    <n v="0"/>
    <n v="0"/>
    <n v="0"/>
    <n v="0"/>
  </r>
  <r>
    <x v="1"/>
    <x v="0"/>
    <s v="S12000039"/>
    <x v="24"/>
    <n v="0"/>
    <n v="0"/>
    <n v="0"/>
    <n v="0"/>
  </r>
  <r>
    <x v="1"/>
    <x v="0"/>
    <s v="S12000040"/>
    <x v="25"/>
    <n v="0"/>
    <n v="0"/>
    <n v="0"/>
    <n v="0"/>
  </r>
  <r>
    <x v="1"/>
    <x v="0"/>
    <s v="S12000041"/>
    <x v="26"/>
    <n v="0"/>
    <n v="0"/>
    <n v="0"/>
    <n v="0"/>
  </r>
  <r>
    <x v="1"/>
    <x v="0"/>
    <s v="S12000042"/>
    <x v="27"/>
    <n v="0"/>
    <n v="0"/>
    <n v="0"/>
    <n v="0"/>
  </r>
  <r>
    <x v="1"/>
    <x v="0"/>
    <s v="S12000044"/>
    <x v="28"/>
    <n v="0"/>
    <n v="0"/>
    <n v="0"/>
    <n v="0"/>
  </r>
  <r>
    <x v="1"/>
    <x v="0"/>
    <s v="S12000045"/>
    <x v="29"/>
    <n v="0"/>
    <n v="0"/>
    <n v="0"/>
    <n v="0"/>
  </r>
  <r>
    <x v="1"/>
    <x v="0"/>
    <s v="S12000046"/>
    <x v="30"/>
    <n v="0"/>
    <n v="0"/>
    <n v="0"/>
    <n v="0"/>
  </r>
  <r>
    <x v="1"/>
    <x v="0"/>
    <s v="S12000047"/>
    <x v="31"/>
    <n v="0"/>
    <n v="0"/>
    <n v="0"/>
    <n v="0"/>
  </r>
  <r>
    <x v="2"/>
    <x v="0"/>
    <s v="S12000005"/>
    <x v="0"/>
    <n v="0"/>
    <n v="0"/>
    <n v="0"/>
    <n v="0"/>
  </r>
  <r>
    <x v="2"/>
    <x v="0"/>
    <s v="S12000006"/>
    <x v="1"/>
    <n v="5"/>
    <n v="1"/>
    <n v="1"/>
    <n v="3"/>
  </r>
  <r>
    <x v="2"/>
    <x v="0"/>
    <s v="S12000008"/>
    <x v="2"/>
    <n v="0"/>
    <n v="0"/>
    <n v="0"/>
    <n v="0"/>
  </r>
  <r>
    <x v="2"/>
    <x v="0"/>
    <s v="S12000010"/>
    <x v="3"/>
    <n v="0"/>
    <n v="0"/>
    <n v="0"/>
    <n v="0"/>
  </r>
  <r>
    <x v="2"/>
    <x v="0"/>
    <s v="S12000011"/>
    <x v="4"/>
    <n v="0"/>
    <n v="0"/>
    <n v="0"/>
    <n v="0"/>
  </r>
  <r>
    <x v="2"/>
    <x v="0"/>
    <s v="S12000013"/>
    <x v="5"/>
    <n v="0"/>
    <n v="0"/>
    <n v="0"/>
    <n v="0"/>
  </r>
  <r>
    <x v="2"/>
    <x v="0"/>
    <s v="S12000014"/>
    <x v="6"/>
    <n v="0"/>
    <n v="0"/>
    <n v="0"/>
    <n v="0"/>
  </r>
  <r>
    <x v="2"/>
    <x v="0"/>
    <s v="S12000017"/>
    <x v="7"/>
    <n v="68"/>
    <n v="8"/>
    <n v="14"/>
    <n v="46"/>
  </r>
  <r>
    <x v="2"/>
    <x v="0"/>
    <s v="S12000018"/>
    <x v="8"/>
    <n v="0"/>
    <n v="0"/>
    <n v="0"/>
    <n v="0"/>
  </r>
  <r>
    <x v="2"/>
    <x v="0"/>
    <s v="S12000019"/>
    <x v="9"/>
    <n v="0"/>
    <n v="0"/>
    <n v="0"/>
    <n v="0"/>
  </r>
  <r>
    <x v="2"/>
    <x v="0"/>
    <s v="S12000020"/>
    <x v="10"/>
    <n v="20"/>
    <n v="2"/>
    <n v="1"/>
    <n v="17"/>
  </r>
  <r>
    <x v="2"/>
    <x v="0"/>
    <s v="S12000021"/>
    <x v="11"/>
    <n v="22"/>
    <n v="3"/>
    <n v="4"/>
    <n v="15"/>
  </r>
  <r>
    <x v="2"/>
    <x v="0"/>
    <s v="S12000023"/>
    <x v="12"/>
    <n v="0"/>
    <n v="0"/>
    <n v="0"/>
    <n v="0"/>
  </r>
  <r>
    <x v="2"/>
    <x v="0"/>
    <s v="S12000024"/>
    <x v="13"/>
    <n v="23"/>
    <n v="0"/>
    <n v="2"/>
    <n v="21"/>
  </r>
  <r>
    <x v="2"/>
    <x v="0"/>
    <s v="S12000026"/>
    <x v="14"/>
    <n v="0"/>
    <n v="0"/>
    <n v="0"/>
    <n v="0"/>
  </r>
  <r>
    <x v="2"/>
    <x v="0"/>
    <s v="S12000027"/>
    <x v="15"/>
    <n v="0"/>
    <n v="0"/>
    <n v="0"/>
    <n v="0"/>
  </r>
  <r>
    <x v="2"/>
    <x v="0"/>
    <s v="S12000028"/>
    <x v="16"/>
    <n v="0"/>
    <n v="0"/>
    <n v="0"/>
    <n v="0"/>
  </r>
  <r>
    <x v="2"/>
    <x v="0"/>
    <s v="S12000029"/>
    <x v="17"/>
    <n v="3"/>
    <n v="0"/>
    <n v="1"/>
    <n v="2"/>
  </r>
  <r>
    <x v="2"/>
    <x v="0"/>
    <s v="S12000030"/>
    <x v="18"/>
    <n v="0"/>
    <n v="0"/>
    <n v="0"/>
    <n v="0"/>
  </r>
  <r>
    <x v="2"/>
    <x v="0"/>
    <s v="S12000033"/>
    <x v="19"/>
    <n v="0"/>
    <n v="0"/>
    <n v="0"/>
    <n v="0"/>
  </r>
  <r>
    <x v="2"/>
    <x v="0"/>
    <s v="S12000034"/>
    <x v="20"/>
    <n v="0"/>
    <n v="0"/>
    <n v="0"/>
    <n v="0"/>
  </r>
  <r>
    <x v="2"/>
    <x v="0"/>
    <s v="S12000035"/>
    <x v="21"/>
    <n v="201"/>
    <n v="22"/>
    <n v="23"/>
    <n v="156"/>
  </r>
  <r>
    <x v="2"/>
    <x v="0"/>
    <s v="S12000036"/>
    <x v="22"/>
    <n v="0"/>
    <n v="0"/>
    <n v="0"/>
    <n v="0"/>
  </r>
  <r>
    <x v="2"/>
    <x v="0"/>
    <s v="S12000038"/>
    <x v="23"/>
    <n v="0"/>
    <n v="0"/>
    <n v="0"/>
    <n v="0"/>
  </r>
  <r>
    <x v="2"/>
    <x v="0"/>
    <s v="S12000039"/>
    <x v="24"/>
    <n v="0"/>
    <n v="0"/>
    <n v="0"/>
    <n v="0"/>
  </r>
  <r>
    <x v="2"/>
    <x v="0"/>
    <s v="S12000040"/>
    <x v="25"/>
    <n v="0"/>
    <n v="0"/>
    <n v="0"/>
    <n v="0"/>
  </r>
  <r>
    <x v="2"/>
    <x v="0"/>
    <s v="S12000041"/>
    <x v="26"/>
    <n v="0"/>
    <n v="0"/>
    <n v="0"/>
    <n v="0"/>
  </r>
  <r>
    <x v="2"/>
    <x v="0"/>
    <s v="S12000042"/>
    <x v="27"/>
    <n v="0"/>
    <n v="0"/>
    <n v="0"/>
    <n v="0"/>
  </r>
  <r>
    <x v="2"/>
    <x v="0"/>
    <s v="S12000044"/>
    <x v="28"/>
    <n v="0"/>
    <n v="0"/>
    <n v="0"/>
    <n v="0"/>
  </r>
  <r>
    <x v="2"/>
    <x v="0"/>
    <s v="S12000045"/>
    <x v="29"/>
    <n v="0"/>
    <n v="0"/>
    <n v="0"/>
    <n v="0"/>
  </r>
  <r>
    <x v="2"/>
    <x v="0"/>
    <s v="S12000046"/>
    <x v="30"/>
    <n v="0"/>
    <n v="0"/>
    <n v="0"/>
    <n v="0"/>
  </r>
  <r>
    <x v="2"/>
    <x v="0"/>
    <s v="S12000047"/>
    <x v="31"/>
    <n v="0"/>
    <n v="0"/>
    <n v="0"/>
    <n v="0"/>
  </r>
  <r>
    <x v="3"/>
    <x v="0"/>
    <s v="S12000005"/>
    <x v="0"/>
    <n v="0"/>
    <n v="0"/>
    <n v="0"/>
    <n v="0"/>
  </r>
  <r>
    <x v="3"/>
    <x v="0"/>
    <s v="S12000006"/>
    <x v="1"/>
    <n v="5"/>
    <n v="1"/>
    <n v="1"/>
    <n v="3"/>
  </r>
  <r>
    <x v="3"/>
    <x v="0"/>
    <s v="S12000008"/>
    <x v="2"/>
    <n v="0"/>
    <n v="0"/>
    <n v="0"/>
    <n v="0"/>
  </r>
  <r>
    <x v="3"/>
    <x v="0"/>
    <s v="S12000010"/>
    <x v="3"/>
    <n v="0"/>
    <n v="0"/>
    <n v="0"/>
    <n v="0"/>
  </r>
  <r>
    <x v="3"/>
    <x v="0"/>
    <s v="S12000011"/>
    <x v="4"/>
    <n v="0"/>
    <n v="0"/>
    <n v="0"/>
    <n v="0"/>
  </r>
  <r>
    <x v="3"/>
    <x v="0"/>
    <s v="S12000013"/>
    <x v="5"/>
    <n v="0"/>
    <n v="0"/>
    <n v="0"/>
    <n v="0"/>
  </r>
  <r>
    <x v="3"/>
    <x v="0"/>
    <s v="S12000014"/>
    <x v="6"/>
    <n v="0"/>
    <n v="0"/>
    <n v="0"/>
    <n v="0"/>
  </r>
  <r>
    <x v="3"/>
    <x v="0"/>
    <s v="S12000017"/>
    <x v="7"/>
    <n v="67"/>
    <n v="7"/>
    <n v="13"/>
    <n v="47"/>
  </r>
  <r>
    <x v="3"/>
    <x v="0"/>
    <s v="S12000018"/>
    <x v="8"/>
    <n v="0"/>
    <n v="0"/>
    <n v="0"/>
    <n v="0"/>
  </r>
  <r>
    <x v="3"/>
    <x v="0"/>
    <s v="S12000019"/>
    <x v="9"/>
    <n v="0"/>
    <n v="0"/>
    <n v="0"/>
    <n v="0"/>
  </r>
  <r>
    <x v="3"/>
    <x v="0"/>
    <s v="S12000020"/>
    <x v="10"/>
    <n v="4"/>
    <n v="1"/>
    <n v="2"/>
    <n v="1"/>
  </r>
  <r>
    <x v="3"/>
    <x v="0"/>
    <s v="S12000021"/>
    <x v="11"/>
    <n v="18"/>
    <n v="3"/>
    <n v="4"/>
    <n v="11"/>
  </r>
  <r>
    <x v="3"/>
    <x v="0"/>
    <s v="S12000023"/>
    <x v="12"/>
    <n v="0"/>
    <n v="0"/>
    <n v="0"/>
    <n v="0"/>
  </r>
  <r>
    <x v="3"/>
    <x v="0"/>
    <s v="S12000024"/>
    <x v="13"/>
    <n v="23"/>
    <n v="0"/>
    <n v="3"/>
    <n v="20"/>
  </r>
  <r>
    <x v="3"/>
    <x v="0"/>
    <s v="S12000026"/>
    <x v="14"/>
    <n v="0"/>
    <n v="0"/>
    <n v="0"/>
    <n v="0"/>
  </r>
  <r>
    <x v="3"/>
    <x v="0"/>
    <s v="S12000027"/>
    <x v="15"/>
    <n v="0"/>
    <n v="0"/>
    <n v="0"/>
    <n v="0"/>
  </r>
  <r>
    <x v="3"/>
    <x v="0"/>
    <s v="S12000028"/>
    <x v="16"/>
    <n v="0"/>
    <n v="0"/>
    <n v="0"/>
    <n v="0"/>
  </r>
  <r>
    <x v="3"/>
    <x v="0"/>
    <s v="S12000029"/>
    <x v="17"/>
    <n v="3"/>
    <n v="1"/>
    <n v="0"/>
    <n v="2"/>
  </r>
  <r>
    <x v="3"/>
    <x v="0"/>
    <s v="S12000030"/>
    <x v="18"/>
    <n v="0"/>
    <n v="0"/>
    <n v="0"/>
    <n v="0"/>
  </r>
  <r>
    <x v="3"/>
    <x v="0"/>
    <s v="S12000033"/>
    <x v="19"/>
    <n v="0"/>
    <n v="0"/>
    <n v="0"/>
    <n v="0"/>
  </r>
  <r>
    <x v="3"/>
    <x v="0"/>
    <s v="S12000034"/>
    <x v="20"/>
    <n v="0"/>
    <n v="0"/>
    <n v="0"/>
    <n v="0"/>
  </r>
  <r>
    <x v="3"/>
    <x v="0"/>
    <s v="S12000035"/>
    <x v="21"/>
    <n v="200"/>
    <n v="24"/>
    <n v="21"/>
    <n v="155"/>
  </r>
  <r>
    <x v="3"/>
    <x v="0"/>
    <s v="S12000036"/>
    <x v="22"/>
    <n v="0"/>
    <n v="0"/>
    <n v="0"/>
    <n v="0"/>
  </r>
  <r>
    <x v="3"/>
    <x v="0"/>
    <s v="S12000038"/>
    <x v="23"/>
    <n v="0"/>
    <n v="0"/>
    <n v="0"/>
    <n v="0"/>
  </r>
  <r>
    <x v="3"/>
    <x v="0"/>
    <s v="S12000039"/>
    <x v="24"/>
    <n v="0"/>
    <n v="0"/>
    <n v="0"/>
    <n v="0"/>
  </r>
  <r>
    <x v="3"/>
    <x v="0"/>
    <s v="S12000040"/>
    <x v="25"/>
    <n v="0"/>
    <n v="0"/>
    <n v="0"/>
    <n v="0"/>
  </r>
  <r>
    <x v="3"/>
    <x v="0"/>
    <s v="S12000041"/>
    <x v="26"/>
    <n v="0"/>
    <n v="0"/>
    <n v="0"/>
    <n v="0"/>
  </r>
  <r>
    <x v="3"/>
    <x v="0"/>
    <s v="S12000042"/>
    <x v="27"/>
    <n v="0"/>
    <n v="0"/>
    <n v="0"/>
    <n v="0"/>
  </r>
  <r>
    <x v="3"/>
    <x v="0"/>
    <s v="S12000044"/>
    <x v="28"/>
    <n v="0"/>
    <n v="0"/>
    <n v="0"/>
    <n v="0"/>
  </r>
  <r>
    <x v="3"/>
    <x v="0"/>
    <s v="S12000045"/>
    <x v="29"/>
    <n v="0"/>
    <n v="0"/>
    <n v="0"/>
    <n v="0"/>
  </r>
  <r>
    <x v="3"/>
    <x v="0"/>
    <s v="S12000046"/>
    <x v="30"/>
    <n v="0"/>
    <n v="0"/>
    <n v="0"/>
    <n v="0"/>
  </r>
  <r>
    <x v="3"/>
    <x v="0"/>
    <s v="S12000047"/>
    <x v="31"/>
    <n v="0"/>
    <n v="0"/>
    <n v="0"/>
    <n v="0"/>
  </r>
  <r>
    <x v="3"/>
    <x v="1"/>
    <s v="S12000020"/>
    <x v="10"/>
    <n v="4"/>
    <n v="2"/>
    <n v="1"/>
    <n v="1"/>
  </r>
  <r>
    <x v="4"/>
    <x v="0"/>
    <s v="S12000006"/>
    <x v="1"/>
    <n v="4"/>
    <n v="1"/>
    <m/>
    <n v="3"/>
  </r>
  <r>
    <x v="4"/>
    <x v="0"/>
    <s v="S12000017"/>
    <x v="7"/>
    <n v="64"/>
    <n v="7"/>
    <n v="11"/>
    <n v="46"/>
  </r>
  <r>
    <x v="4"/>
    <x v="0"/>
    <s v="S12000020"/>
    <x v="10"/>
    <n v="4"/>
    <n v="2"/>
    <n v="1"/>
    <n v="1"/>
  </r>
  <r>
    <x v="4"/>
    <x v="0"/>
    <s v="S12000021"/>
    <x v="11"/>
    <n v="23"/>
    <n v="3"/>
    <n v="3"/>
    <n v="17"/>
  </r>
  <r>
    <x v="4"/>
    <x v="0"/>
    <s v="S12000024"/>
    <x v="13"/>
    <n v="28"/>
    <m/>
    <n v="3"/>
    <n v="25"/>
  </r>
  <r>
    <x v="4"/>
    <x v="0"/>
    <s v="S12000029"/>
    <x v="17"/>
    <n v="2"/>
    <n v="1"/>
    <m/>
    <n v="1"/>
  </r>
  <r>
    <x v="4"/>
    <x v="0"/>
    <s v="S12000035"/>
    <x v="21"/>
    <n v="211"/>
    <n v="25"/>
    <n v="22"/>
    <n v="164"/>
  </r>
  <r>
    <x v="5"/>
    <x v="0"/>
    <s v="S12000006"/>
    <x v="1"/>
    <n v="6"/>
    <n v="1"/>
    <m/>
    <n v="5"/>
  </r>
  <r>
    <x v="5"/>
    <x v="0"/>
    <s v="S12000017"/>
    <x v="7"/>
    <n v="62"/>
    <n v="7"/>
    <n v="12"/>
    <n v="43"/>
  </r>
  <r>
    <x v="5"/>
    <x v="0"/>
    <s v="S12000020"/>
    <x v="10"/>
    <n v="4"/>
    <n v="1"/>
    <n v="2"/>
    <n v="1"/>
  </r>
  <r>
    <x v="5"/>
    <x v="0"/>
    <s v="S12000021"/>
    <x v="11"/>
    <n v="22"/>
    <n v="3"/>
    <n v="3"/>
    <n v="16"/>
  </r>
  <r>
    <x v="5"/>
    <x v="0"/>
    <s v="S12000024"/>
    <x v="13"/>
    <n v="22"/>
    <m/>
    <n v="3"/>
    <n v="19"/>
  </r>
  <r>
    <x v="5"/>
    <x v="0"/>
    <s v="S12000029"/>
    <x v="17"/>
    <n v="2"/>
    <n v="1"/>
    <m/>
    <n v="1"/>
  </r>
  <r>
    <x v="5"/>
    <x v="0"/>
    <s v="S12000035"/>
    <x v="21"/>
    <n v="203"/>
    <n v="25"/>
    <n v="22"/>
    <n v="156"/>
  </r>
  <r>
    <x v="6"/>
    <x v="0"/>
    <s v="S40000003"/>
    <x v="21"/>
    <n v="212"/>
    <n v="25"/>
    <n v="22"/>
    <n v="165"/>
  </r>
  <r>
    <x v="6"/>
    <x v="0"/>
    <s v="S40000003"/>
    <x v="1"/>
    <n v="5"/>
    <n v="1"/>
    <n v="1"/>
    <n v="3"/>
  </r>
  <r>
    <x v="6"/>
    <x v="0"/>
    <s v="S40000003"/>
    <x v="11"/>
    <n v="22"/>
    <n v="3"/>
    <n v="3"/>
    <n v="16"/>
  </r>
  <r>
    <x v="6"/>
    <x v="0"/>
    <s v="S40000003"/>
    <x v="17"/>
    <n v="2"/>
    <n v="1"/>
    <m/>
    <n v="1"/>
  </r>
  <r>
    <x v="6"/>
    <x v="0"/>
    <s v="S40000005"/>
    <x v="7"/>
    <n v="49"/>
    <n v="6"/>
    <n v="10"/>
    <n v="33"/>
  </r>
  <r>
    <x v="6"/>
    <x v="0"/>
    <s v="S40000005"/>
    <x v="10"/>
    <n v="4"/>
    <n v="1"/>
    <n v="2"/>
    <n v="1"/>
  </r>
  <r>
    <x v="6"/>
    <x v="0"/>
    <s v="S40000005"/>
    <x v="13"/>
    <n v="21"/>
    <m/>
    <n v="3"/>
    <n v="18"/>
  </r>
</pivotCacheRecords>
</file>

<file path=xl/pivotCache/pivotCacheRecords44.xml><?xml version="1.0" encoding="utf-8"?>
<pivotCacheRecords xmlns="http://schemas.openxmlformats.org/spreadsheetml/2006/main" xmlns:r="http://schemas.openxmlformats.org/officeDocument/2006/relationships" count="193">
  <r>
    <x v="0"/>
    <x v="0"/>
    <s v="S12000033"/>
    <n v="356"/>
    <n v="1936.75"/>
    <n v="13"/>
    <n v="138.5"/>
    <n v="2"/>
    <n v="19.25"/>
    <m/>
    <m/>
  </r>
  <r>
    <x v="0"/>
    <x v="1"/>
    <s v="S12000034"/>
    <n v="252"/>
    <n v="1725.5"/>
    <n v="15"/>
    <n v="162"/>
    <n v="1"/>
    <n v="38"/>
    <n v="1"/>
    <n v="7.5"/>
  </r>
  <r>
    <x v="0"/>
    <x v="2"/>
    <s v="S12000041"/>
    <n v="202"/>
    <n v="853.5"/>
    <n v="4"/>
    <n v="21.75"/>
    <m/>
    <m/>
    <m/>
    <m/>
  </r>
  <r>
    <x v="0"/>
    <x v="3"/>
    <s v="S12000035"/>
    <n v="250"/>
    <n v="1985.5"/>
    <n v="3"/>
    <n v="38.5"/>
    <m/>
    <m/>
    <m/>
    <m/>
  </r>
  <r>
    <x v="0"/>
    <x v="4"/>
    <s v="S12000036"/>
    <n v="903"/>
    <n v="3293.5"/>
    <n v="53"/>
    <n v="292"/>
    <n v="1"/>
    <n v="5.5"/>
    <m/>
    <m/>
  </r>
  <r>
    <x v="0"/>
    <x v="5"/>
    <s v="S12000005"/>
    <n v="42"/>
    <n v="247.25"/>
    <n v="2"/>
    <n v="16"/>
    <m/>
    <m/>
    <m/>
    <m/>
  </r>
  <r>
    <x v="0"/>
    <x v="6"/>
    <s v="S12000006"/>
    <n v="177"/>
    <n v="785.25"/>
    <n v="36"/>
    <n v="306.5"/>
    <m/>
    <m/>
    <n v="1"/>
    <n v="12.5"/>
  </r>
  <r>
    <x v="0"/>
    <x v="7"/>
    <s v="S12000042"/>
    <n v="456"/>
    <n v="1804.75"/>
    <n v="4"/>
    <n v="13.5"/>
    <m/>
    <m/>
    <m/>
    <m/>
  </r>
  <r>
    <x v="0"/>
    <x v="8"/>
    <s v="S12000008"/>
    <n v="142"/>
    <n v="914.75"/>
    <n v="11"/>
    <n v="90.75"/>
    <m/>
    <m/>
    <m/>
    <m/>
  </r>
  <r>
    <x v="0"/>
    <x v="9"/>
    <s v="S12000045"/>
    <n v="53"/>
    <n v="362.75"/>
    <n v="1"/>
    <n v="7.5"/>
    <m/>
    <m/>
    <m/>
    <m/>
  </r>
  <r>
    <x v="0"/>
    <x v="10"/>
    <s v="S12000010"/>
    <n v="96"/>
    <n v="335.5"/>
    <n v="6"/>
    <n v="37.5"/>
    <m/>
    <m/>
    <m/>
    <m/>
  </r>
  <r>
    <x v="0"/>
    <x v="11"/>
    <s v="S12000011"/>
    <n v="111"/>
    <n v="761.5"/>
    <n v="8"/>
    <n v="133"/>
    <m/>
    <m/>
    <m/>
    <m/>
  </r>
  <r>
    <x v="0"/>
    <x v="12"/>
    <s v="S12000014"/>
    <n v="232"/>
    <n v="1156"/>
    <n v="11"/>
    <n v="105.25"/>
    <m/>
    <m/>
    <m/>
    <m/>
  </r>
  <r>
    <x v="0"/>
    <x v="13"/>
    <s v="S12000015"/>
    <n v="483"/>
    <n v="1857.5"/>
    <n v="15"/>
    <n v="104.75"/>
    <m/>
    <m/>
    <m/>
    <m/>
  </r>
  <r>
    <x v="0"/>
    <x v="14"/>
    <s v="S12000046"/>
    <n v="1045"/>
    <n v="5340"/>
    <n v="77"/>
    <n v="444"/>
    <m/>
    <m/>
    <n v="1"/>
    <n v="5.5"/>
  </r>
  <r>
    <x v="0"/>
    <x v="15"/>
    <s v="S12000017"/>
    <n v="259"/>
    <n v="1846.75"/>
    <n v="17"/>
    <n v="253.25"/>
    <n v="5"/>
    <n v="112.5"/>
    <m/>
    <m/>
  </r>
  <r>
    <x v="0"/>
    <x v="16"/>
    <s v="S12000018"/>
    <n v="142"/>
    <n v="600.5"/>
    <n v="5"/>
    <n v="37.75"/>
    <m/>
    <m/>
    <m/>
    <m/>
  </r>
  <r>
    <x v="0"/>
    <x v="17"/>
    <s v="S12000019"/>
    <n v="122"/>
    <n v="365.5"/>
    <n v="4"/>
    <n v="31.25"/>
    <m/>
    <m/>
    <m/>
    <m/>
  </r>
  <r>
    <x v="0"/>
    <x v="18"/>
    <s v="S12000020"/>
    <n v="110"/>
    <n v="771.25"/>
    <n v="4"/>
    <n v="72.5"/>
    <m/>
    <m/>
    <m/>
    <m/>
  </r>
  <r>
    <x v="0"/>
    <x v="19"/>
    <s v="S12000013"/>
    <n v="18"/>
    <n v="138.5"/>
    <n v="1"/>
    <n v="13.25"/>
    <m/>
    <m/>
    <m/>
    <m/>
  </r>
  <r>
    <x v="0"/>
    <x v="20"/>
    <s v="S12000021"/>
    <n v="105"/>
    <n v="505.5"/>
    <n v="4"/>
    <n v="31"/>
    <m/>
    <m/>
    <m/>
    <m/>
  </r>
  <r>
    <x v="0"/>
    <x v="21"/>
    <s v="S12000044"/>
    <n v="298"/>
    <n v="2166.75"/>
    <n v="3"/>
    <n v="23.75"/>
    <m/>
    <m/>
    <m/>
    <m/>
  </r>
  <r>
    <x v="0"/>
    <x v="22"/>
    <s v="S12000023"/>
    <n v="16"/>
    <n v="108.5"/>
    <m/>
    <m/>
    <m/>
    <m/>
    <m/>
    <m/>
  </r>
  <r>
    <x v="0"/>
    <x v="23"/>
    <s v="S12000024"/>
    <n v="246"/>
    <n v="1269.25"/>
    <n v="1"/>
    <n v="10.25"/>
    <m/>
    <m/>
    <m/>
    <m/>
  </r>
  <r>
    <x v="0"/>
    <x v="24"/>
    <s v="S12000038"/>
    <n v="212"/>
    <n v="1318.75"/>
    <n v="3"/>
    <n v="28.75"/>
    <m/>
    <m/>
    <m/>
    <m/>
  </r>
  <r>
    <x v="0"/>
    <x v="25"/>
    <s v="S12000026"/>
    <n v="332"/>
    <n v="1463"/>
    <n v="49"/>
    <n v="381.75"/>
    <n v="1"/>
    <n v="31"/>
    <m/>
    <m/>
  </r>
  <r>
    <x v="0"/>
    <x v="26"/>
    <s v="S12000027"/>
    <n v="32"/>
    <n v="199.75"/>
    <m/>
    <m/>
    <m/>
    <m/>
    <m/>
    <m/>
  </r>
  <r>
    <x v="0"/>
    <x v="27"/>
    <s v="S12000028"/>
    <n v="239"/>
    <n v="1368.5"/>
    <n v="8"/>
    <n v="65.5"/>
    <m/>
    <m/>
    <m/>
    <m/>
  </r>
  <r>
    <x v="0"/>
    <x v="28"/>
    <s v="S12000029"/>
    <n v="278"/>
    <n v="2462.25"/>
    <n v="8"/>
    <n v="133.5"/>
    <m/>
    <m/>
    <m/>
    <m/>
  </r>
  <r>
    <x v="0"/>
    <x v="29"/>
    <s v="S12000030"/>
    <n v="210"/>
    <n v="875.75"/>
    <n v="7"/>
    <n v="49.25"/>
    <m/>
    <m/>
    <m/>
    <m/>
  </r>
  <r>
    <x v="0"/>
    <x v="30"/>
    <s v="S12000039"/>
    <n v="176"/>
    <n v="797.25"/>
    <m/>
    <m/>
    <m/>
    <m/>
    <m/>
    <m/>
  </r>
  <r>
    <x v="0"/>
    <x v="31"/>
    <s v="S12000040"/>
    <n v="221"/>
    <n v="867.25"/>
    <n v="17"/>
    <n v="91.25"/>
    <m/>
    <m/>
    <m/>
    <m/>
  </r>
  <r>
    <x v="1"/>
    <x v="0"/>
    <s v="S12000033"/>
    <n v="282"/>
    <n v="1395"/>
    <n v="33"/>
    <n v="340.75"/>
    <m/>
    <m/>
    <n v="1"/>
    <n v="3.75"/>
  </r>
  <r>
    <x v="1"/>
    <x v="1"/>
    <s v="S12000034"/>
    <n v="334"/>
    <n v="2016.25"/>
    <n v="39"/>
    <n v="438"/>
    <n v="1"/>
    <n v="28.25"/>
    <m/>
    <m/>
  </r>
  <r>
    <x v="1"/>
    <x v="2"/>
    <s v="S12000041"/>
    <n v="167"/>
    <n v="768.25"/>
    <n v="7"/>
    <n v="62"/>
    <m/>
    <m/>
    <m/>
    <m/>
  </r>
  <r>
    <x v="1"/>
    <x v="3"/>
    <s v="S12000035"/>
    <n v="328"/>
    <n v="2625.5"/>
    <n v="13"/>
    <n v="134"/>
    <n v="3"/>
    <n v="51.25"/>
    <m/>
    <m/>
  </r>
  <r>
    <x v="1"/>
    <x v="4"/>
    <s v="S12000036"/>
    <n v="790"/>
    <n v="2779.75"/>
    <n v="67"/>
    <n v="415"/>
    <n v="1"/>
    <n v="32"/>
    <m/>
    <m/>
  </r>
  <r>
    <x v="1"/>
    <x v="5"/>
    <s v="S12000005"/>
    <n v="51"/>
    <n v="190"/>
    <m/>
    <m/>
    <m/>
    <m/>
    <m/>
    <m/>
  </r>
  <r>
    <x v="1"/>
    <x v="6"/>
    <s v="S12000006"/>
    <n v="236"/>
    <n v="943.25"/>
    <n v="60"/>
    <n v="445.25"/>
    <m/>
    <m/>
    <m/>
    <m/>
  </r>
  <r>
    <x v="1"/>
    <x v="7"/>
    <s v="S12000042"/>
    <n v="588"/>
    <n v="2433.5"/>
    <n v="10"/>
    <n v="76.25"/>
    <m/>
    <m/>
    <m/>
    <m/>
  </r>
  <r>
    <x v="1"/>
    <x v="8"/>
    <s v="S12000008"/>
    <n v="131"/>
    <n v="1016"/>
    <n v="12"/>
    <n v="128.75"/>
    <n v="1"/>
    <n v="28.5"/>
    <m/>
    <m/>
  </r>
  <r>
    <x v="1"/>
    <x v="9"/>
    <s v="S12000045"/>
    <n v="93"/>
    <n v="607.5"/>
    <n v="2"/>
    <n v="26.25"/>
    <m/>
    <m/>
    <m/>
    <m/>
  </r>
  <r>
    <x v="1"/>
    <x v="10"/>
    <s v="S12000010"/>
    <n v="143"/>
    <n v="628"/>
    <n v="13"/>
    <n v="106"/>
    <m/>
    <m/>
    <m/>
    <m/>
  </r>
  <r>
    <x v="1"/>
    <x v="11"/>
    <s v="S12000011"/>
    <n v="54"/>
    <n v="343.75"/>
    <n v="3"/>
    <n v="60"/>
    <m/>
    <m/>
    <m/>
    <m/>
  </r>
  <r>
    <x v="1"/>
    <x v="12"/>
    <s v="S12000014"/>
    <n v="151"/>
    <n v="754.5"/>
    <n v="9"/>
    <n v="57.25"/>
    <m/>
    <m/>
    <n v="1"/>
    <n v="11.5"/>
  </r>
  <r>
    <x v="1"/>
    <x v="13"/>
    <s v="S12000015"/>
    <n v="600"/>
    <n v="2456.75"/>
    <n v="18"/>
    <n v="153.75"/>
    <n v="1"/>
    <n v="24.75"/>
    <m/>
    <m/>
  </r>
  <r>
    <x v="1"/>
    <x v="14"/>
    <s v="S12000046"/>
    <n v="1812"/>
    <n v="7682.25"/>
    <n v="144"/>
    <n v="952.25"/>
    <n v="1"/>
    <n v="37.25"/>
    <m/>
    <m/>
  </r>
  <r>
    <x v="1"/>
    <x v="15"/>
    <s v="S12000017"/>
    <n v="287"/>
    <n v="1820.25"/>
    <n v="49"/>
    <n v="847.75"/>
    <n v="10"/>
    <n v="256.5"/>
    <m/>
    <m/>
  </r>
  <r>
    <x v="1"/>
    <x v="16"/>
    <s v="S12000018"/>
    <n v="62"/>
    <n v="263.75"/>
    <n v="1"/>
    <n v="17.25"/>
    <m/>
    <m/>
    <m/>
    <m/>
  </r>
  <r>
    <x v="1"/>
    <x v="17"/>
    <s v="S12000019"/>
    <n v="96"/>
    <n v="321.75"/>
    <n v="2"/>
    <n v="7.75"/>
    <m/>
    <m/>
    <m/>
    <m/>
  </r>
  <r>
    <x v="1"/>
    <x v="18"/>
    <s v="S12000020"/>
    <n v="175"/>
    <n v="986.75"/>
    <n v="18"/>
    <n v="256.25"/>
    <n v="2"/>
    <n v="23"/>
    <m/>
    <m/>
  </r>
  <r>
    <x v="1"/>
    <x v="19"/>
    <s v="S12000013"/>
    <n v="5"/>
    <n v="27.25"/>
    <n v="4"/>
    <n v="78.75"/>
    <m/>
    <m/>
    <m/>
    <m/>
  </r>
  <r>
    <x v="1"/>
    <x v="20"/>
    <s v="S12000021"/>
    <n v="226"/>
    <n v="1330.25"/>
    <n v="37"/>
    <n v="348.75"/>
    <m/>
    <m/>
    <m/>
    <m/>
  </r>
  <r>
    <x v="1"/>
    <x v="21"/>
    <s v="S12000044"/>
    <n v="539"/>
    <n v="3321.5"/>
    <n v="15"/>
    <n v="152.25"/>
    <m/>
    <m/>
    <m/>
    <m/>
  </r>
  <r>
    <x v="1"/>
    <x v="22"/>
    <s v="S12000023"/>
    <n v="31"/>
    <n v="146.75"/>
    <n v="1"/>
    <n v="13.25"/>
    <m/>
    <m/>
    <m/>
    <m/>
  </r>
  <r>
    <x v="1"/>
    <x v="23"/>
    <s v="S12000024"/>
    <n v="269"/>
    <n v="1484.5"/>
    <n v="1"/>
    <n v="12"/>
    <m/>
    <m/>
    <m/>
    <m/>
  </r>
  <r>
    <x v="1"/>
    <x v="24"/>
    <s v="S12000038"/>
    <n v="238"/>
    <n v="1268.75"/>
    <m/>
    <m/>
    <m/>
    <m/>
    <m/>
    <m/>
  </r>
  <r>
    <x v="1"/>
    <x v="25"/>
    <s v="S12000026"/>
    <n v="251"/>
    <n v="1101.75"/>
    <n v="39"/>
    <n v="303.5"/>
    <m/>
    <m/>
    <n v="1"/>
    <n v="5.5"/>
  </r>
  <r>
    <x v="1"/>
    <x v="26"/>
    <s v="S12000027"/>
    <n v="24"/>
    <n v="127.25"/>
    <m/>
    <m/>
    <m/>
    <m/>
    <m/>
    <m/>
  </r>
  <r>
    <x v="1"/>
    <x v="27"/>
    <s v="S12000028"/>
    <n v="274"/>
    <n v="1590.25"/>
    <n v="14"/>
    <n v="122.25"/>
    <n v="1"/>
    <n v="18.25"/>
    <m/>
    <m/>
  </r>
  <r>
    <x v="1"/>
    <x v="28"/>
    <s v="S12000029"/>
    <n v="243"/>
    <n v="1871.5"/>
    <n v="7"/>
    <n v="246.25"/>
    <n v="1"/>
    <n v="90.5"/>
    <m/>
    <m/>
  </r>
  <r>
    <x v="1"/>
    <x v="29"/>
    <s v="S12000030"/>
    <n v="332"/>
    <n v="1013.5"/>
    <n v="8"/>
    <n v="39"/>
    <n v="1"/>
    <n v="21.75"/>
    <n v="1"/>
    <n v="2.5"/>
  </r>
  <r>
    <x v="1"/>
    <x v="30"/>
    <s v="S12000039"/>
    <n v="212"/>
    <n v="933.75"/>
    <n v="8"/>
    <n v="99.75"/>
    <m/>
    <m/>
    <m/>
    <m/>
  </r>
  <r>
    <x v="1"/>
    <x v="31"/>
    <s v="S12000040"/>
    <n v="161"/>
    <n v="715.25"/>
    <n v="15"/>
    <n v="129.25"/>
    <m/>
    <m/>
    <m/>
    <m/>
  </r>
  <r>
    <x v="2"/>
    <x v="0"/>
    <s v="S12000033"/>
    <n v="415"/>
    <n v="2311"/>
    <n v="20"/>
    <n v="156.5"/>
    <n v="7"/>
    <n v="48"/>
    <m/>
    <m/>
  </r>
  <r>
    <x v="2"/>
    <x v="1"/>
    <s v="S12000034"/>
    <n v="336"/>
    <n v="2384"/>
    <n v="26"/>
    <n v="277.5"/>
    <n v="1"/>
    <n v="6.5"/>
    <m/>
    <m/>
  </r>
  <r>
    <x v="2"/>
    <x v="2"/>
    <s v="S12000041"/>
    <n v="97"/>
    <n v="396"/>
    <n v="2"/>
    <n v="19.75"/>
    <m/>
    <m/>
    <m/>
    <m/>
  </r>
  <r>
    <x v="2"/>
    <x v="3"/>
    <s v="S12000035"/>
    <n v="317"/>
    <n v="2229.75"/>
    <n v="14"/>
    <n v="172.25"/>
    <n v="2"/>
    <n v="56.5"/>
    <m/>
    <m/>
  </r>
  <r>
    <x v="2"/>
    <x v="4"/>
    <s v="S12000036"/>
    <n v="733"/>
    <n v="2765"/>
    <n v="50"/>
    <n v="314"/>
    <n v="3"/>
    <n v="28"/>
    <n v="4"/>
    <n v="8.25"/>
  </r>
  <r>
    <x v="2"/>
    <x v="5"/>
    <s v="S12000005"/>
    <n v="65"/>
    <n v="226.75"/>
    <n v="3"/>
    <n v="16"/>
    <m/>
    <m/>
    <m/>
    <m/>
  </r>
  <r>
    <x v="2"/>
    <x v="6"/>
    <s v="S12000006"/>
    <n v="307"/>
    <n v="1238"/>
    <n v="56"/>
    <n v="490.5"/>
    <m/>
    <m/>
    <n v="1"/>
    <n v="10.5"/>
  </r>
  <r>
    <x v="2"/>
    <x v="7"/>
    <s v="S12000042"/>
    <n v="653"/>
    <n v="2216"/>
    <n v="3"/>
    <n v="17.25"/>
    <m/>
    <m/>
    <n v="2"/>
    <n v="16.5"/>
  </r>
  <r>
    <x v="2"/>
    <x v="8"/>
    <s v="S12000008"/>
    <n v="152"/>
    <n v="1162.5"/>
    <n v="12"/>
    <n v="126.25"/>
    <n v="1"/>
    <n v="12.75"/>
    <m/>
    <m/>
  </r>
  <r>
    <x v="2"/>
    <x v="9"/>
    <s v="S12000045"/>
    <n v="77"/>
    <n v="520.25"/>
    <n v="4"/>
    <n v="57"/>
    <m/>
    <m/>
    <m/>
    <m/>
  </r>
  <r>
    <x v="2"/>
    <x v="10"/>
    <s v="S12000010"/>
    <n v="126"/>
    <n v="481.75"/>
    <n v="13"/>
    <n v="102.25"/>
    <m/>
    <m/>
    <m/>
    <m/>
  </r>
  <r>
    <x v="2"/>
    <x v="11"/>
    <s v="S12000011"/>
    <n v="76"/>
    <n v="571.5"/>
    <n v="4"/>
    <n v="107.75"/>
    <m/>
    <m/>
    <m/>
    <m/>
  </r>
  <r>
    <x v="2"/>
    <x v="12"/>
    <s v="S12000014"/>
    <n v="152"/>
    <n v="799.75"/>
    <n v="8"/>
    <n v="89.25"/>
    <m/>
    <m/>
    <m/>
    <m/>
  </r>
  <r>
    <x v="2"/>
    <x v="13"/>
    <s v="S12000015"/>
    <n v="452"/>
    <n v="1850"/>
    <n v="30"/>
    <n v="353.5"/>
    <n v="1"/>
    <n v="76.75"/>
    <m/>
    <m/>
  </r>
  <r>
    <x v="2"/>
    <x v="14"/>
    <s v="S12000046"/>
    <n v="1457"/>
    <n v="6398"/>
    <n v="105"/>
    <n v="596"/>
    <m/>
    <m/>
    <m/>
    <m/>
  </r>
  <r>
    <x v="2"/>
    <x v="15"/>
    <s v="S12000017"/>
    <n v="241"/>
    <n v="1483.75"/>
    <n v="27"/>
    <n v="284.75"/>
    <n v="1"/>
    <n v="9.5"/>
    <n v="1"/>
    <n v="6.5"/>
  </r>
  <r>
    <x v="2"/>
    <x v="16"/>
    <s v="S12000018"/>
    <n v="107"/>
    <n v="429.5"/>
    <n v="8"/>
    <n v="55"/>
    <m/>
    <m/>
    <m/>
    <m/>
  </r>
  <r>
    <x v="2"/>
    <x v="17"/>
    <s v="S12000019"/>
    <n v="93"/>
    <n v="285.75"/>
    <n v="4"/>
    <n v="21"/>
    <m/>
    <m/>
    <m/>
    <m/>
  </r>
  <r>
    <x v="2"/>
    <x v="18"/>
    <s v="S12000020"/>
    <n v="136"/>
    <n v="833.25"/>
    <n v="6"/>
    <n v="94.25"/>
    <n v="1"/>
    <n v="7"/>
    <m/>
    <m/>
  </r>
  <r>
    <x v="2"/>
    <x v="19"/>
    <s v="S12000013"/>
    <n v="16"/>
    <n v="73.25"/>
    <n v="5"/>
    <n v="96.5"/>
    <n v="1"/>
    <n v="28.75"/>
    <m/>
    <m/>
  </r>
  <r>
    <x v="2"/>
    <x v="20"/>
    <s v="S12000021"/>
    <n v="212"/>
    <n v="982.75"/>
    <n v="18"/>
    <n v="181.75"/>
    <m/>
    <m/>
    <m/>
    <m/>
  </r>
  <r>
    <x v="2"/>
    <x v="21"/>
    <s v="S12000044"/>
    <n v="485"/>
    <n v="2741.25"/>
    <n v="11"/>
    <n v="112"/>
    <m/>
    <m/>
    <m/>
    <m/>
  </r>
  <r>
    <x v="2"/>
    <x v="22"/>
    <s v="S12000023"/>
    <n v="24"/>
    <n v="132.75"/>
    <n v="5"/>
    <n v="53.25"/>
    <m/>
    <m/>
    <m/>
    <m/>
  </r>
  <r>
    <x v="2"/>
    <x v="23"/>
    <s v="S12000024"/>
    <n v="279"/>
    <n v="1366.25"/>
    <n v="8"/>
    <n v="59.5"/>
    <m/>
    <m/>
    <m/>
    <m/>
  </r>
  <r>
    <x v="2"/>
    <x v="24"/>
    <s v="S12000038"/>
    <n v="164"/>
    <n v="1078.5"/>
    <n v="5"/>
    <n v="60"/>
    <m/>
    <m/>
    <m/>
    <m/>
  </r>
  <r>
    <x v="2"/>
    <x v="25"/>
    <s v="S12000026"/>
    <n v="243"/>
    <n v="1093.5"/>
    <n v="42"/>
    <n v="392.75"/>
    <n v="1"/>
    <n v="32"/>
    <n v="1"/>
    <n v="6.5"/>
  </r>
  <r>
    <x v="2"/>
    <x v="26"/>
    <s v="S12000027"/>
    <n v="14"/>
    <n v="67"/>
    <n v="2"/>
    <n v="22"/>
    <m/>
    <m/>
    <n v="3"/>
    <n v="24"/>
  </r>
  <r>
    <x v="2"/>
    <x v="27"/>
    <s v="S12000028"/>
    <n v="294"/>
    <n v="1861.5"/>
    <n v="16"/>
    <n v="121.75"/>
    <n v="1"/>
    <n v="17.25"/>
    <m/>
    <m/>
  </r>
  <r>
    <x v="2"/>
    <x v="28"/>
    <s v="S12000029"/>
    <n v="243"/>
    <n v="1452.5"/>
    <n v="8"/>
    <n v="235.75"/>
    <n v="1"/>
    <n v="72.25"/>
    <m/>
    <m/>
  </r>
  <r>
    <x v="2"/>
    <x v="29"/>
    <s v="S12000030"/>
    <n v="146"/>
    <n v="598.5"/>
    <n v="14"/>
    <n v="101.25"/>
    <m/>
    <m/>
    <m/>
    <m/>
  </r>
  <r>
    <x v="2"/>
    <x v="30"/>
    <s v="S12000039"/>
    <n v="118"/>
    <n v="596.75"/>
    <n v="3"/>
    <n v="39.25"/>
    <m/>
    <m/>
    <m/>
    <m/>
  </r>
  <r>
    <x v="2"/>
    <x v="31"/>
    <s v="S12000040"/>
    <n v="155"/>
    <n v="749"/>
    <n v="22"/>
    <n v="164.25"/>
    <m/>
    <m/>
    <m/>
    <m/>
  </r>
  <r>
    <x v="3"/>
    <x v="0"/>
    <s v="S12000033"/>
    <n v="294"/>
    <n v="1570.5"/>
    <n v="21"/>
    <n v="212.25"/>
    <n v="2"/>
    <n v="57.5"/>
    <n v="1"/>
    <n v="3.5"/>
  </r>
  <r>
    <x v="3"/>
    <x v="1"/>
    <s v="S12000034"/>
    <n v="317"/>
    <n v="2121"/>
    <n v="27"/>
    <n v="291.25"/>
    <m/>
    <m/>
    <n v="1"/>
    <n v="23.25"/>
  </r>
  <r>
    <x v="3"/>
    <x v="2"/>
    <s v="S12000041"/>
    <n v="99"/>
    <n v="422.25"/>
    <n v="20"/>
    <n v="92.5"/>
    <n v="2"/>
    <n v="11"/>
    <n v="1"/>
    <n v="7.5"/>
  </r>
  <r>
    <x v="3"/>
    <x v="3"/>
    <s v="S12000035"/>
    <n v="171"/>
    <n v="1143.75"/>
    <n v="14"/>
    <n v="157.75"/>
    <n v="1"/>
    <n v="14.5"/>
    <m/>
    <m/>
  </r>
  <r>
    <x v="3"/>
    <x v="4"/>
    <s v="S12000036"/>
    <n v="707"/>
    <n v="2618.75"/>
    <n v="37"/>
    <n v="234.5"/>
    <m/>
    <m/>
    <n v="4"/>
    <n v="10"/>
  </r>
  <r>
    <x v="3"/>
    <x v="5"/>
    <s v="S12000005"/>
    <n v="56"/>
    <n v="253.5"/>
    <n v="8"/>
    <n v="36.75"/>
    <m/>
    <m/>
    <n v="1"/>
    <n v="10.25"/>
  </r>
  <r>
    <x v="3"/>
    <x v="6"/>
    <s v="S12000006"/>
    <n v="346"/>
    <n v="1646"/>
    <n v="33"/>
    <n v="312.25"/>
    <m/>
    <m/>
    <m/>
    <m/>
  </r>
  <r>
    <x v="3"/>
    <x v="7"/>
    <s v="S12000042"/>
    <n v="299"/>
    <n v="1117.25"/>
    <n v="7"/>
    <n v="57.75"/>
    <m/>
    <m/>
    <n v="1"/>
    <n v="7"/>
  </r>
  <r>
    <x v="3"/>
    <x v="8"/>
    <s v="S12000008"/>
    <n v="155"/>
    <n v="975"/>
    <n v="10"/>
    <n v="143"/>
    <n v="1"/>
    <n v="51.75"/>
    <m/>
    <m/>
  </r>
  <r>
    <x v="3"/>
    <x v="9"/>
    <s v="S12000045"/>
    <n v="86"/>
    <n v="611"/>
    <n v="6"/>
    <n v="67.25"/>
    <m/>
    <m/>
    <m/>
    <m/>
  </r>
  <r>
    <x v="3"/>
    <x v="10"/>
    <s v="S12000010"/>
    <n v="138"/>
    <n v="536.5"/>
    <n v="6"/>
    <n v="35.75"/>
    <m/>
    <m/>
    <m/>
    <m/>
  </r>
  <r>
    <x v="3"/>
    <x v="11"/>
    <s v="S12000011"/>
    <n v="27"/>
    <n v="236.5"/>
    <n v="3"/>
    <n v="49.75"/>
    <m/>
    <m/>
    <m/>
    <m/>
  </r>
  <r>
    <x v="3"/>
    <x v="12"/>
    <s v="S12000014"/>
    <n v="148"/>
    <n v="843"/>
    <n v="11"/>
    <n v="143.25"/>
    <m/>
    <m/>
    <m/>
    <m/>
  </r>
  <r>
    <x v="3"/>
    <x v="13"/>
    <s v="S12000015"/>
    <n v="450"/>
    <n v="1686.5"/>
    <n v="14"/>
    <n v="150.5"/>
    <n v="2"/>
    <n v="38.75"/>
    <n v="2"/>
    <n v="19.5"/>
  </r>
  <r>
    <x v="3"/>
    <x v="14"/>
    <s v="S12000046"/>
    <n v="1125"/>
    <n v="4472.75"/>
    <n v="62"/>
    <n v="403"/>
    <m/>
    <m/>
    <m/>
    <m/>
  </r>
  <r>
    <x v="3"/>
    <x v="15"/>
    <s v="S12000017"/>
    <n v="227"/>
    <n v="1333"/>
    <n v="59"/>
    <n v="1064.25"/>
    <n v="6"/>
    <n v="232"/>
    <n v="4"/>
    <n v="38.5"/>
  </r>
  <r>
    <x v="3"/>
    <x v="16"/>
    <s v="S12000018"/>
    <n v="57"/>
    <n v="256.5"/>
    <n v="8"/>
    <n v="62"/>
    <m/>
    <m/>
    <m/>
    <m/>
  </r>
  <r>
    <x v="3"/>
    <x v="17"/>
    <s v="S12000019"/>
    <n v="94"/>
    <n v="477.5"/>
    <n v="1"/>
    <n v="4.25"/>
    <m/>
    <m/>
    <m/>
    <m/>
  </r>
  <r>
    <x v="3"/>
    <x v="18"/>
    <s v="S12000020"/>
    <n v="207"/>
    <n v="1131.25"/>
    <n v="9"/>
    <n v="130.75"/>
    <m/>
    <m/>
    <m/>
    <m/>
  </r>
  <r>
    <x v="3"/>
    <x v="19"/>
    <s v="S12000013"/>
    <n v="19"/>
    <n v="163.25"/>
    <n v="4"/>
    <n v="93.25"/>
    <n v="1"/>
    <n v="60"/>
    <m/>
    <m/>
  </r>
  <r>
    <x v="3"/>
    <x v="20"/>
    <s v="S12000021"/>
    <n v="94"/>
    <n v="542.75"/>
    <n v="8"/>
    <n v="85.75"/>
    <m/>
    <m/>
    <m/>
    <m/>
  </r>
  <r>
    <x v="3"/>
    <x v="21"/>
    <s v="S12000044"/>
    <n v="344"/>
    <n v="1826.5"/>
    <n v="7"/>
    <n v="65.5"/>
    <m/>
    <m/>
    <m/>
    <m/>
  </r>
  <r>
    <x v="3"/>
    <x v="22"/>
    <s v="S12000023"/>
    <n v="10"/>
    <n v="46.75"/>
    <n v="3"/>
    <n v="44.25"/>
    <m/>
    <m/>
    <m/>
    <m/>
  </r>
  <r>
    <x v="3"/>
    <x v="23"/>
    <s v="S12000024"/>
    <n v="284"/>
    <n v="1240.75"/>
    <n v="9"/>
    <n v="81.25"/>
    <m/>
    <m/>
    <m/>
    <m/>
  </r>
  <r>
    <x v="3"/>
    <x v="24"/>
    <s v="S12000038"/>
    <n v="82"/>
    <n v="508.5"/>
    <n v="9"/>
    <n v="126"/>
    <m/>
    <m/>
    <m/>
    <m/>
  </r>
  <r>
    <x v="3"/>
    <x v="25"/>
    <s v="S12000026"/>
    <n v="218"/>
    <n v="1084.25"/>
    <n v="13"/>
    <n v="97.75"/>
    <m/>
    <m/>
    <m/>
    <m/>
  </r>
  <r>
    <x v="3"/>
    <x v="26"/>
    <s v="S12000027"/>
    <n v="22"/>
    <n v="189"/>
    <n v="1"/>
    <n v="8"/>
    <m/>
    <m/>
    <n v="1"/>
    <n v="3.5"/>
  </r>
  <r>
    <x v="3"/>
    <x v="27"/>
    <s v="S12000028"/>
    <n v="310"/>
    <n v="1986.75"/>
    <n v="9"/>
    <n v="68.75"/>
    <m/>
    <m/>
    <m/>
    <m/>
  </r>
  <r>
    <x v="3"/>
    <x v="28"/>
    <s v="S12000029"/>
    <n v="321"/>
    <n v="1386.5"/>
    <n v="12"/>
    <n v="171.5"/>
    <m/>
    <m/>
    <m/>
    <m/>
  </r>
  <r>
    <x v="3"/>
    <x v="29"/>
    <s v="S12000030"/>
    <n v="203"/>
    <n v="910.5"/>
    <n v="21"/>
    <n v="135.5"/>
    <m/>
    <m/>
    <n v="1"/>
    <n v="5.5"/>
  </r>
  <r>
    <x v="3"/>
    <x v="30"/>
    <s v="S12000039"/>
    <n v="100"/>
    <n v="682.75"/>
    <n v="9"/>
    <n v="115.25"/>
    <m/>
    <m/>
    <m/>
    <m/>
  </r>
  <r>
    <x v="3"/>
    <x v="31"/>
    <s v="S12000040"/>
    <n v="157"/>
    <n v="667.75"/>
    <n v="7"/>
    <n v="40.5"/>
    <m/>
    <m/>
    <m/>
    <m/>
  </r>
  <r>
    <x v="4"/>
    <x v="0"/>
    <s v="S12000033"/>
    <n v="349"/>
    <n v="2090"/>
    <n v="15"/>
    <n v="161"/>
    <m/>
    <m/>
    <n v="2"/>
    <n v="4.5"/>
  </r>
  <r>
    <x v="4"/>
    <x v="1"/>
    <s v="S12000034"/>
    <n v="344"/>
    <n v="1895"/>
    <n v="29"/>
    <n v="240.5"/>
    <m/>
    <m/>
    <n v="1"/>
    <n v="7.5"/>
  </r>
  <r>
    <x v="4"/>
    <x v="2"/>
    <s v="S12000041"/>
    <n v="115"/>
    <n v="476.75"/>
    <n v="11"/>
    <n v="49.5"/>
    <n v="1"/>
    <n v="6"/>
    <m/>
    <m/>
  </r>
  <r>
    <x v="4"/>
    <x v="3"/>
    <s v="S12000035"/>
    <n v="205"/>
    <n v="1662"/>
    <n v="15"/>
    <n v="154.75"/>
    <m/>
    <m/>
    <m/>
    <m/>
  </r>
  <r>
    <x v="4"/>
    <x v="4"/>
    <s v="S12000036"/>
    <n v="672"/>
    <n v="2918.5"/>
    <n v="42"/>
    <n v="362.75"/>
    <n v="5"/>
    <n v="63.5"/>
    <n v="4"/>
    <n v="16"/>
  </r>
  <r>
    <x v="4"/>
    <x v="5"/>
    <s v="S12000005"/>
    <n v="69"/>
    <n v="332.5"/>
    <n v="1"/>
    <n v="8.5"/>
    <m/>
    <m/>
    <m/>
    <m/>
  </r>
  <r>
    <x v="4"/>
    <x v="6"/>
    <s v="S12000006"/>
    <n v="420"/>
    <n v="2070.25"/>
    <n v="20"/>
    <n v="205.5"/>
    <n v="2"/>
    <n v="17"/>
    <m/>
    <m/>
  </r>
  <r>
    <x v="4"/>
    <x v="7"/>
    <s v="S12000042"/>
    <n v="371"/>
    <n v="1559.5"/>
    <n v="10"/>
    <n v="90.75"/>
    <m/>
    <m/>
    <n v="3"/>
    <n v="23.5"/>
  </r>
  <r>
    <x v="4"/>
    <x v="8"/>
    <s v="S12000008"/>
    <n v="138"/>
    <n v="837.25"/>
    <n v="7"/>
    <n v="59"/>
    <m/>
    <m/>
    <m/>
    <m/>
  </r>
  <r>
    <x v="4"/>
    <x v="9"/>
    <s v="S12000045"/>
    <n v="82"/>
    <n v="447.75"/>
    <n v="2"/>
    <n v="30"/>
    <m/>
    <m/>
    <m/>
    <m/>
  </r>
  <r>
    <x v="4"/>
    <x v="10"/>
    <s v="S12000010"/>
    <n v="144"/>
    <n v="567.25"/>
    <n v="5"/>
    <n v="34.5"/>
    <m/>
    <m/>
    <m/>
    <m/>
  </r>
  <r>
    <x v="4"/>
    <x v="11"/>
    <s v="S12000011"/>
    <n v="34"/>
    <n v="234"/>
    <n v="2"/>
    <n v="18.75"/>
    <m/>
    <m/>
    <m/>
    <m/>
  </r>
  <r>
    <x v="4"/>
    <x v="12"/>
    <s v="S12000014"/>
    <n v="201"/>
    <n v="1063.25"/>
    <m/>
    <m/>
    <m/>
    <m/>
    <m/>
    <m/>
  </r>
  <r>
    <x v="4"/>
    <x v="13"/>
    <s v="S12000015"/>
    <n v="644"/>
    <n v="2085.75"/>
    <n v="13"/>
    <n v="127"/>
    <n v="2"/>
    <n v="52"/>
    <m/>
    <m/>
  </r>
  <r>
    <x v="4"/>
    <x v="14"/>
    <s v="S12000046"/>
    <n v="1067"/>
    <n v="4671"/>
    <n v="59"/>
    <n v="525.75"/>
    <n v="3"/>
    <n v="49.25"/>
    <m/>
    <m/>
  </r>
  <r>
    <x v="4"/>
    <x v="15"/>
    <s v="S12000017"/>
    <n v="172"/>
    <n v="1061.75"/>
    <n v="24"/>
    <n v="392.5"/>
    <n v="1"/>
    <n v="70.75"/>
    <n v="7"/>
    <n v="123"/>
  </r>
  <r>
    <x v="4"/>
    <x v="16"/>
    <s v="S12000018"/>
    <n v="73"/>
    <n v="338.75"/>
    <n v="5"/>
    <n v="63"/>
    <n v="1"/>
    <n v="33.25"/>
    <m/>
    <m/>
  </r>
  <r>
    <x v="4"/>
    <x v="17"/>
    <s v="S12000019"/>
    <n v="131"/>
    <n v="878.5"/>
    <n v="7"/>
    <n v="91.25"/>
    <m/>
    <m/>
    <m/>
    <m/>
  </r>
  <r>
    <x v="4"/>
    <x v="18"/>
    <s v="S12000020"/>
    <n v="124"/>
    <n v="579.75"/>
    <n v="6"/>
    <n v="75.25"/>
    <m/>
    <m/>
    <n v="1"/>
    <m/>
  </r>
  <r>
    <x v="4"/>
    <x v="19"/>
    <s v="S12000013"/>
    <n v="21"/>
    <n v="73.5"/>
    <m/>
    <m/>
    <m/>
    <m/>
    <m/>
    <m/>
  </r>
  <r>
    <x v="4"/>
    <x v="20"/>
    <s v="S12000021"/>
    <n v="239"/>
    <n v="1222.25"/>
    <n v="5"/>
    <n v="47"/>
    <m/>
    <m/>
    <m/>
    <m/>
  </r>
  <r>
    <x v="4"/>
    <x v="21"/>
    <s v="S12000044"/>
    <n v="294"/>
    <n v="1348"/>
    <n v="13"/>
    <n v="182.75"/>
    <n v="2"/>
    <n v="68.75"/>
    <n v="1"/>
    <n v="63"/>
  </r>
  <r>
    <x v="4"/>
    <x v="22"/>
    <s v="S12000023"/>
    <n v="9"/>
    <n v="42.5"/>
    <m/>
    <m/>
    <m/>
    <m/>
    <m/>
    <m/>
  </r>
  <r>
    <x v="4"/>
    <x v="23"/>
    <s v="S12000024"/>
    <n v="281"/>
    <n v="1204.5"/>
    <n v="12"/>
    <n v="81"/>
    <n v="1"/>
    <n v="14.25"/>
    <m/>
    <m/>
  </r>
  <r>
    <x v="4"/>
    <x v="24"/>
    <s v="S12000038"/>
    <n v="163"/>
    <n v="836"/>
    <n v="6"/>
    <n v="94"/>
    <m/>
    <m/>
    <m/>
    <m/>
  </r>
  <r>
    <x v="4"/>
    <x v="25"/>
    <s v="S12000026"/>
    <n v="202"/>
    <n v="998.75"/>
    <n v="17"/>
    <n v="142.5"/>
    <m/>
    <m/>
    <m/>
    <m/>
  </r>
  <r>
    <x v="4"/>
    <x v="26"/>
    <s v="S12000027"/>
    <n v="14"/>
    <n v="110.25"/>
    <n v="2"/>
    <n v="23.75"/>
    <m/>
    <m/>
    <m/>
    <m/>
  </r>
  <r>
    <x v="4"/>
    <x v="27"/>
    <s v="S12000028"/>
    <n v="216"/>
    <n v="1373.25"/>
    <n v="13"/>
    <n v="108"/>
    <n v="3"/>
    <n v="44.25"/>
    <n v="1"/>
    <m/>
  </r>
  <r>
    <x v="4"/>
    <x v="28"/>
    <s v="S12000029"/>
    <n v="242"/>
    <n v="1512.25"/>
    <n v="10"/>
    <n v="273"/>
    <n v="1"/>
    <n v="102.75"/>
    <m/>
    <m/>
  </r>
  <r>
    <x v="4"/>
    <x v="29"/>
    <s v="S12000030"/>
    <n v="190"/>
    <n v="759"/>
    <n v="3"/>
    <n v="38.75"/>
    <m/>
    <m/>
    <m/>
    <m/>
  </r>
  <r>
    <x v="4"/>
    <x v="30"/>
    <s v="S12000039"/>
    <n v="74"/>
    <n v="427"/>
    <n v="5"/>
    <n v="44.75"/>
    <m/>
    <m/>
    <m/>
    <m/>
  </r>
  <r>
    <x v="4"/>
    <x v="31"/>
    <s v="S12000040"/>
    <n v="208"/>
    <n v="775.5"/>
    <n v="5"/>
    <n v="33.5"/>
    <m/>
    <m/>
    <m/>
    <m/>
  </r>
  <r>
    <x v="5"/>
    <x v="0"/>
    <s v="S12000033"/>
    <n v="422"/>
    <m/>
    <n v="11"/>
    <m/>
    <m/>
    <m/>
    <n v="2"/>
    <m/>
  </r>
  <r>
    <x v="5"/>
    <x v="1"/>
    <s v="S12000034"/>
    <n v="345"/>
    <m/>
    <n v="6"/>
    <m/>
    <m/>
    <m/>
    <m/>
    <m/>
  </r>
  <r>
    <x v="5"/>
    <x v="2"/>
    <s v="S12000041"/>
    <n v="123"/>
    <m/>
    <m/>
    <m/>
    <m/>
    <m/>
    <m/>
    <m/>
  </r>
  <r>
    <x v="5"/>
    <x v="3"/>
    <s v="S12000035"/>
    <n v="275"/>
    <m/>
    <n v="7"/>
    <m/>
    <m/>
    <m/>
    <m/>
    <m/>
  </r>
  <r>
    <x v="5"/>
    <x v="4"/>
    <s v="S12000036"/>
    <n v="631"/>
    <m/>
    <n v="17"/>
    <m/>
    <m/>
    <m/>
    <n v="1"/>
    <m/>
  </r>
  <r>
    <x v="5"/>
    <x v="5"/>
    <s v="S12000005"/>
    <n v="49"/>
    <m/>
    <m/>
    <m/>
    <m/>
    <m/>
    <m/>
    <m/>
  </r>
  <r>
    <x v="5"/>
    <x v="6"/>
    <s v="S12000006"/>
    <n v="427"/>
    <m/>
    <n v="8"/>
    <m/>
    <m/>
    <m/>
    <m/>
    <m/>
  </r>
  <r>
    <x v="5"/>
    <x v="7"/>
    <s v="S12000042"/>
    <n v="419"/>
    <m/>
    <n v="5"/>
    <m/>
    <m/>
    <m/>
    <m/>
    <m/>
  </r>
  <r>
    <x v="5"/>
    <x v="8"/>
    <s v="S12000008"/>
    <n v="105"/>
    <m/>
    <n v="5"/>
    <m/>
    <m/>
    <m/>
    <m/>
    <m/>
  </r>
  <r>
    <x v="5"/>
    <x v="9"/>
    <s v="S12000045"/>
    <n v="97"/>
    <m/>
    <n v="4"/>
    <m/>
    <m/>
    <m/>
    <m/>
    <m/>
  </r>
  <r>
    <x v="5"/>
    <x v="10"/>
    <s v="S12000010"/>
    <n v="76"/>
    <m/>
    <n v="2"/>
    <m/>
    <m/>
    <m/>
    <m/>
    <m/>
  </r>
  <r>
    <x v="5"/>
    <x v="11"/>
    <s v="S12000011"/>
    <n v="28"/>
    <m/>
    <m/>
    <m/>
    <m/>
    <m/>
    <m/>
    <m/>
  </r>
  <r>
    <x v="5"/>
    <x v="12"/>
    <s v="S12000014"/>
    <n v="144"/>
    <m/>
    <n v="6"/>
    <m/>
    <m/>
    <m/>
    <m/>
    <m/>
  </r>
  <r>
    <x v="5"/>
    <x v="13"/>
    <s v="S12000015"/>
    <n v="335"/>
    <m/>
    <n v="82"/>
    <m/>
    <m/>
    <m/>
    <n v="2"/>
    <m/>
  </r>
  <r>
    <x v="5"/>
    <x v="14"/>
    <s v="S12000046"/>
    <n v="896"/>
    <m/>
    <n v="142"/>
    <m/>
    <m/>
    <m/>
    <n v="3"/>
    <m/>
  </r>
  <r>
    <x v="5"/>
    <x v="14"/>
    <s v="S12000049"/>
    <n v="1"/>
    <m/>
    <m/>
    <m/>
    <m/>
    <m/>
    <m/>
    <m/>
  </r>
  <r>
    <x v="5"/>
    <x v="15"/>
    <s v="S12000017"/>
    <n v="463"/>
    <m/>
    <n v="30"/>
    <m/>
    <m/>
    <m/>
    <n v="3"/>
    <m/>
  </r>
  <r>
    <x v="5"/>
    <x v="16"/>
    <s v="S12000018"/>
    <n v="51"/>
    <m/>
    <n v="3"/>
    <m/>
    <m/>
    <m/>
    <m/>
    <m/>
  </r>
  <r>
    <x v="5"/>
    <x v="17"/>
    <s v="S12000019"/>
    <n v="64"/>
    <m/>
    <n v="6"/>
    <m/>
    <m/>
    <m/>
    <m/>
    <m/>
  </r>
  <r>
    <x v="5"/>
    <x v="18"/>
    <s v="S12000020"/>
    <n v="91"/>
    <m/>
    <n v="9"/>
    <m/>
    <m/>
    <m/>
    <n v="1"/>
    <m/>
  </r>
  <r>
    <x v="5"/>
    <x v="32"/>
    <s v="S12000013_x0009_"/>
    <m/>
    <m/>
    <m/>
    <m/>
    <m/>
    <m/>
    <m/>
    <m/>
  </r>
  <r>
    <x v="5"/>
    <x v="20"/>
    <s v="S12000021"/>
    <n v="145"/>
    <m/>
    <n v="3"/>
    <m/>
    <m/>
    <m/>
    <m/>
    <m/>
  </r>
  <r>
    <x v="5"/>
    <x v="21"/>
    <s v="S12000044"/>
    <n v="299"/>
    <m/>
    <n v="7"/>
    <m/>
    <m/>
    <m/>
    <m/>
    <m/>
  </r>
  <r>
    <x v="5"/>
    <x v="22"/>
    <s v="S12000023"/>
    <n v="23"/>
    <m/>
    <m/>
    <m/>
    <m/>
    <m/>
    <m/>
    <m/>
  </r>
  <r>
    <x v="5"/>
    <x v="23"/>
    <s v="S12000024"/>
    <n v="247"/>
    <m/>
    <n v="1"/>
    <m/>
    <m/>
    <m/>
    <m/>
    <m/>
  </r>
  <r>
    <x v="5"/>
    <x v="24"/>
    <s v="S12000038"/>
    <n v="140"/>
    <m/>
    <n v="9"/>
    <m/>
    <m/>
    <m/>
    <m/>
    <m/>
  </r>
  <r>
    <x v="5"/>
    <x v="25"/>
    <s v="S12000026"/>
    <n v="99"/>
    <m/>
    <n v="5"/>
    <m/>
    <m/>
    <m/>
    <m/>
    <m/>
  </r>
  <r>
    <x v="5"/>
    <x v="26"/>
    <s v="S12000027"/>
    <n v="11"/>
    <m/>
    <m/>
    <m/>
    <m/>
    <m/>
    <m/>
    <m/>
  </r>
  <r>
    <x v="5"/>
    <x v="27"/>
    <s v="S12000028"/>
    <n v="220"/>
    <m/>
    <n v="5"/>
    <m/>
    <m/>
    <m/>
    <m/>
    <m/>
  </r>
  <r>
    <x v="5"/>
    <x v="28"/>
    <s v="S12000029"/>
    <n v="154"/>
    <m/>
    <n v="5"/>
    <m/>
    <m/>
    <m/>
    <m/>
    <m/>
  </r>
  <r>
    <x v="5"/>
    <x v="29"/>
    <s v="S12000030"/>
    <n v="195"/>
    <m/>
    <n v="6"/>
    <m/>
    <m/>
    <m/>
    <m/>
    <m/>
  </r>
  <r>
    <x v="5"/>
    <x v="30"/>
    <s v="S12000039"/>
    <n v="125"/>
    <m/>
    <n v="3"/>
    <m/>
    <m/>
    <m/>
    <m/>
    <m/>
  </r>
  <r>
    <x v="5"/>
    <x v="31"/>
    <s v="S12000040"/>
    <n v="173"/>
    <m/>
    <n v="1"/>
    <m/>
    <n v="1"/>
    <m/>
    <m/>
    <m/>
  </r>
</pivotCacheRecords>
</file>

<file path=xl/pivotCache/pivotCacheRecords45.xml><?xml version="1.0" encoding="utf-8"?>
<pivotCacheRecords xmlns="http://schemas.openxmlformats.org/spreadsheetml/2006/main" xmlns:r="http://schemas.openxmlformats.org/officeDocument/2006/relationships" count="55">
  <r>
    <x v="0"/>
    <x v="0"/>
    <x v="0"/>
    <n v="8"/>
  </r>
  <r>
    <x v="0"/>
    <x v="0"/>
    <x v="1"/>
    <n v="2"/>
  </r>
  <r>
    <x v="0"/>
    <x v="0"/>
    <x v="2"/>
    <n v="3"/>
  </r>
  <r>
    <x v="0"/>
    <x v="1"/>
    <x v="1"/>
    <n v="4"/>
  </r>
  <r>
    <x v="0"/>
    <x v="2"/>
    <x v="0"/>
    <n v="2"/>
  </r>
  <r>
    <x v="0"/>
    <x v="2"/>
    <x v="1"/>
    <n v="1"/>
  </r>
  <r>
    <x v="0"/>
    <x v="2"/>
    <x v="2"/>
    <n v="4"/>
  </r>
  <r>
    <x v="0"/>
    <x v="3"/>
    <x v="3"/>
    <n v="9"/>
  </r>
  <r>
    <x v="0"/>
    <x v="3"/>
    <x v="0"/>
    <n v="144"/>
  </r>
  <r>
    <x v="0"/>
    <x v="3"/>
    <x v="1"/>
    <n v="49"/>
  </r>
  <r>
    <x v="0"/>
    <x v="3"/>
    <x v="4"/>
    <n v="32"/>
  </r>
  <r>
    <x v="0"/>
    <x v="3"/>
    <x v="2"/>
    <n v="13"/>
  </r>
  <r>
    <x v="0"/>
    <x v="4"/>
    <x v="3"/>
    <n v="1"/>
  </r>
  <r>
    <x v="0"/>
    <x v="4"/>
    <x v="0"/>
    <n v="12"/>
  </r>
  <r>
    <x v="0"/>
    <x v="4"/>
    <x v="1"/>
    <n v="3"/>
  </r>
  <r>
    <x v="0"/>
    <x v="4"/>
    <x v="4"/>
    <n v="3"/>
  </r>
  <r>
    <x v="0"/>
    <x v="4"/>
    <x v="2"/>
    <n v="46"/>
  </r>
  <r>
    <x v="0"/>
    <x v="5"/>
    <x v="3"/>
    <n v="4"/>
  </r>
  <r>
    <x v="0"/>
    <x v="5"/>
    <x v="0"/>
    <n v="18"/>
  </r>
  <r>
    <x v="0"/>
    <x v="5"/>
    <x v="1"/>
    <n v="12"/>
  </r>
  <r>
    <x v="0"/>
    <x v="5"/>
    <x v="4"/>
    <n v="3"/>
  </r>
  <r>
    <x v="0"/>
    <x v="5"/>
    <x v="2"/>
    <n v="110"/>
  </r>
  <r>
    <x v="0"/>
    <x v="6"/>
    <x v="1"/>
    <n v="12"/>
  </r>
  <r>
    <x v="0"/>
    <x v="7"/>
    <x v="0"/>
    <n v="4"/>
  </r>
  <r>
    <x v="0"/>
    <x v="7"/>
    <x v="1"/>
    <n v="1"/>
  </r>
  <r>
    <x v="0"/>
    <x v="7"/>
    <x v="2"/>
    <n v="8"/>
  </r>
  <r>
    <x v="0"/>
    <x v="8"/>
    <x v="2"/>
    <n v="2"/>
  </r>
  <r>
    <x v="0"/>
    <x v="9"/>
    <x v="1"/>
    <n v="47"/>
  </r>
  <r>
    <x v="0"/>
    <x v="10"/>
    <x v="1"/>
    <n v="17"/>
  </r>
  <r>
    <x v="1"/>
    <x v="0"/>
    <x v="0"/>
    <n v="2"/>
  </r>
  <r>
    <x v="1"/>
    <x v="0"/>
    <x v="1"/>
    <n v="1"/>
  </r>
  <r>
    <x v="1"/>
    <x v="0"/>
    <x v="2"/>
    <n v="4"/>
  </r>
  <r>
    <x v="1"/>
    <x v="1"/>
    <x v="1"/>
    <n v="7"/>
  </r>
  <r>
    <x v="1"/>
    <x v="2"/>
    <x v="3"/>
    <n v="1"/>
  </r>
  <r>
    <x v="1"/>
    <x v="2"/>
    <x v="0"/>
    <n v="4"/>
  </r>
  <r>
    <x v="1"/>
    <x v="2"/>
    <x v="4"/>
    <n v="2"/>
  </r>
  <r>
    <x v="1"/>
    <x v="2"/>
    <x v="2"/>
    <n v="2"/>
  </r>
  <r>
    <x v="1"/>
    <x v="3"/>
    <x v="3"/>
    <n v="5"/>
  </r>
  <r>
    <x v="1"/>
    <x v="3"/>
    <x v="0"/>
    <n v="163"/>
  </r>
  <r>
    <x v="1"/>
    <x v="3"/>
    <x v="1"/>
    <n v="29"/>
  </r>
  <r>
    <x v="1"/>
    <x v="3"/>
    <x v="4"/>
    <n v="18"/>
  </r>
  <r>
    <x v="1"/>
    <x v="3"/>
    <x v="2"/>
    <n v="21"/>
  </r>
  <r>
    <x v="1"/>
    <x v="4"/>
    <x v="0"/>
    <n v="3"/>
  </r>
  <r>
    <x v="1"/>
    <x v="4"/>
    <x v="1"/>
    <n v="1"/>
  </r>
  <r>
    <x v="1"/>
    <x v="4"/>
    <x v="4"/>
    <n v="1"/>
  </r>
  <r>
    <x v="1"/>
    <x v="4"/>
    <x v="2"/>
    <n v="16"/>
  </r>
  <r>
    <x v="1"/>
    <x v="5"/>
    <x v="3"/>
    <n v="6"/>
  </r>
  <r>
    <x v="1"/>
    <x v="5"/>
    <x v="0"/>
    <n v="41"/>
  </r>
  <r>
    <x v="1"/>
    <x v="5"/>
    <x v="1"/>
    <n v="14"/>
  </r>
  <r>
    <x v="1"/>
    <x v="5"/>
    <x v="4"/>
    <n v="4"/>
  </r>
  <r>
    <x v="1"/>
    <x v="5"/>
    <x v="2"/>
    <n v="152"/>
  </r>
  <r>
    <x v="1"/>
    <x v="7"/>
    <x v="3"/>
    <n v="1"/>
  </r>
  <r>
    <x v="1"/>
    <x v="7"/>
    <x v="0"/>
    <n v="5"/>
  </r>
  <r>
    <x v="1"/>
    <x v="7"/>
    <x v="1"/>
    <n v="1"/>
  </r>
  <r>
    <x v="1"/>
    <x v="7"/>
    <x v="2"/>
    <n v="7"/>
  </r>
</pivotCacheRecords>
</file>

<file path=xl/pivotCache/pivotCacheRecords5.xml><?xml version="1.0" encoding="utf-8"?>
<pivotCacheRecords xmlns="http://schemas.openxmlformats.org/spreadsheetml/2006/main" xmlns:r="http://schemas.openxmlformats.org/officeDocument/2006/relationships" count="81">
  <r>
    <x v="0"/>
    <x v="0"/>
    <n v="853"/>
    <n v="302"/>
    <n v="438"/>
    <n v="12"/>
    <n v="69"/>
    <n v="32"/>
    <m/>
  </r>
  <r>
    <x v="0"/>
    <x v="1"/>
    <n v="2223"/>
    <n v="1254"/>
    <n v="691"/>
    <n v="46"/>
    <n v="174"/>
    <n v="58"/>
    <m/>
  </r>
  <r>
    <x v="0"/>
    <x v="2"/>
    <n v="1667"/>
    <n v="888"/>
    <n v="540"/>
    <n v="34"/>
    <n v="142"/>
    <n v="63"/>
    <m/>
  </r>
  <r>
    <x v="0"/>
    <x v="3"/>
    <n v="1943"/>
    <n v="1024"/>
    <n v="635"/>
    <n v="42"/>
    <n v="153"/>
    <n v="89"/>
    <m/>
  </r>
  <r>
    <x v="0"/>
    <x v="4"/>
    <n v="1116"/>
    <n v="486"/>
    <n v="370"/>
    <n v="52"/>
    <n v="160"/>
    <n v="48"/>
    <m/>
  </r>
  <r>
    <x v="0"/>
    <x v="5"/>
    <n v="623"/>
    <n v="47"/>
    <n v="253"/>
    <n v="37"/>
    <n v="248"/>
    <n v="38"/>
    <m/>
  </r>
  <r>
    <x v="0"/>
    <x v="6"/>
    <n v="17"/>
    <n v="0"/>
    <n v="0"/>
    <n v="0"/>
    <n v="15"/>
    <n v="2"/>
    <m/>
  </r>
  <r>
    <x v="0"/>
    <x v="7"/>
    <n v="42"/>
    <n v="0"/>
    <n v="13"/>
    <n v="0"/>
    <n v="0"/>
    <n v="29"/>
    <m/>
  </r>
  <r>
    <x v="1"/>
    <x v="8"/>
    <n v="252"/>
    <n v="47"/>
    <n v="159"/>
    <n v="9"/>
    <n v="17"/>
    <n v="20"/>
    <m/>
  </r>
  <r>
    <x v="1"/>
    <x v="9"/>
    <n v="547"/>
    <n v="179"/>
    <n v="287"/>
    <n v="17"/>
    <n v="41"/>
    <n v="23"/>
    <m/>
  </r>
  <r>
    <x v="1"/>
    <x v="10"/>
    <n v="970"/>
    <n v="529"/>
    <n v="337"/>
    <n v="18"/>
    <n v="52"/>
    <n v="34"/>
    <m/>
  </r>
  <r>
    <x v="1"/>
    <x v="11"/>
    <n v="1169"/>
    <n v="668"/>
    <n v="350"/>
    <n v="27"/>
    <n v="94"/>
    <n v="30"/>
    <m/>
  </r>
  <r>
    <x v="1"/>
    <x v="2"/>
    <n v="1550"/>
    <n v="822"/>
    <n v="510"/>
    <n v="35"/>
    <n v="118"/>
    <n v="65"/>
    <m/>
  </r>
  <r>
    <x v="1"/>
    <x v="3"/>
    <n v="1912"/>
    <n v="1006"/>
    <n v="627"/>
    <n v="41"/>
    <n v="149"/>
    <n v="89"/>
    <m/>
  </r>
  <r>
    <x v="1"/>
    <x v="4"/>
    <n v="1201"/>
    <n v="554"/>
    <n v="398"/>
    <n v="48"/>
    <n v="148"/>
    <n v="53"/>
    <m/>
  </r>
  <r>
    <x v="1"/>
    <x v="12"/>
    <n v="448"/>
    <n v="50"/>
    <n v="202"/>
    <n v="31"/>
    <n v="132"/>
    <n v="33"/>
    <m/>
  </r>
  <r>
    <x v="1"/>
    <x v="13"/>
    <n v="178"/>
    <n v="1"/>
    <n v="71"/>
    <n v="4"/>
    <n v="93"/>
    <n v="9"/>
    <m/>
  </r>
  <r>
    <x v="1"/>
    <x v="14"/>
    <n v="20"/>
    <n v="0"/>
    <n v="2"/>
    <n v="0"/>
    <n v="17"/>
    <n v="1"/>
    <m/>
  </r>
  <r>
    <x v="1"/>
    <x v="15"/>
    <n v="6"/>
    <n v="0"/>
    <n v="0"/>
    <n v="0"/>
    <n v="6"/>
    <n v="0"/>
    <m/>
  </r>
  <r>
    <x v="1"/>
    <x v="7"/>
    <n v="28"/>
    <n v="0"/>
    <n v="7"/>
    <n v="0"/>
    <n v="0"/>
    <n v="21"/>
    <m/>
  </r>
  <r>
    <x v="2"/>
    <x v="8"/>
    <n v="258"/>
    <n v="38"/>
    <n v="180"/>
    <n v="5"/>
    <n v="20"/>
    <n v="15"/>
    <m/>
  </r>
  <r>
    <x v="2"/>
    <x v="9"/>
    <n v="507"/>
    <n v="145"/>
    <n v="283"/>
    <n v="14"/>
    <n v="45"/>
    <n v="20"/>
    <m/>
  </r>
  <r>
    <x v="2"/>
    <x v="10"/>
    <n v="879"/>
    <n v="438"/>
    <n v="335"/>
    <n v="15"/>
    <n v="64"/>
    <n v="27"/>
    <m/>
  </r>
  <r>
    <x v="2"/>
    <x v="11"/>
    <n v="1145"/>
    <n v="667"/>
    <n v="352"/>
    <n v="23"/>
    <n v="73"/>
    <n v="30"/>
    <m/>
  </r>
  <r>
    <x v="2"/>
    <x v="2"/>
    <n v="1387"/>
    <n v="752"/>
    <n v="456"/>
    <n v="29"/>
    <n v="102"/>
    <n v="48"/>
    <m/>
  </r>
  <r>
    <x v="2"/>
    <x v="3"/>
    <n v="1813"/>
    <n v="978"/>
    <n v="576"/>
    <n v="39"/>
    <n v="144"/>
    <n v="76"/>
    <m/>
  </r>
  <r>
    <x v="2"/>
    <x v="4"/>
    <n v="1287"/>
    <n v="618"/>
    <n v="432"/>
    <n v="42"/>
    <n v="139"/>
    <n v="56"/>
    <m/>
  </r>
  <r>
    <x v="2"/>
    <x v="12"/>
    <n v="426"/>
    <n v="51"/>
    <n v="181"/>
    <n v="34"/>
    <n v="124"/>
    <n v="36"/>
    <m/>
  </r>
  <r>
    <x v="2"/>
    <x v="13"/>
    <n v="179"/>
    <n v="2"/>
    <n v="62"/>
    <n v="2"/>
    <n v="99"/>
    <n v="14"/>
    <m/>
  </r>
  <r>
    <x v="2"/>
    <x v="14"/>
    <n v="19"/>
    <n v="0"/>
    <n v="5"/>
    <n v="0"/>
    <n v="12"/>
    <n v="2"/>
    <m/>
  </r>
  <r>
    <x v="2"/>
    <x v="15"/>
    <n v="6"/>
    <n v="0"/>
    <n v="0"/>
    <n v="0"/>
    <n v="6"/>
    <n v="0"/>
    <m/>
  </r>
  <r>
    <x v="2"/>
    <x v="16"/>
    <n v="12"/>
    <n v="0"/>
    <n v="0"/>
    <n v="0"/>
    <n v="0"/>
    <n v="12"/>
    <m/>
  </r>
  <r>
    <x v="2"/>
    <x v="7"/>
    <n v="15"/>
    <n v="1"/>
    <n v="8"/>
    <n v="0"/>
    <n v="0"/>
    <n v="6"/>
    <m/>
  </r>
  <r>
    <x v="3"/>
    <x v="8"/>
    <n v="253"/>
    <n v="51"/>
    <n v="174"/>
    <n v="1"/>
    <n v="17"/>
    <n v="10"/>
    <m/>
  </r>
  <r>
    <x v="3"/>
    <x v="9"/>
    <n v="516"/>
    <n v="144"/>
    <n v="295"/>
    <n v="16"/>
    <n v="41"/>
    <n v="20"/>
    <m/>
  </r>
  <r>
    <x v="3"/>
    <x v="10"/>
    <n v="845"/>
    <n v="398"/>
    <n v="337"/>
    <n v="13"/>
    <n v="71"/>
    <n v="26"/>
    <m/>
  </r>
  <r>
    <x v="3"/>
    <x v="11"/>
    <n v="1177"/>
    <n v="661"/>
    <n v="387"/>
    <n v="21"/>
    <n v="73"/>
    <n v="35"/>
    <m/>
  </r>
  <r>
    <x v="3"/>
    <x v="2"/>
    <n v="1247"/>
    <n v="689"/>
    <n v="392"/>
    <n v="20"/>
    <n v="111"/>
    <n v="35"/>
    <m/>
  </r>
  <r>
    <x v="3"/>
    <x v="3"/>
    <n v="1766"/>
    <n v="968"/>
    <n v="555"/>
    <n v="29"/>
    <n v="144"/>
    <n v="70"/>
    <m/>
  </r>
  <r>
    <x v="3"/>
    <x v="4"/>
    <n v="1354"/>
    <n v="658"/>
    <n v="460"/>
    <n v="36"/>
    <n v="135"/>
    <n v="65"/>
    <m/>
  </r>
  <r>
    <x v="3"/>
    <x v="12"/>
    <n v="444"/>
    <n v="73"/>
    <n v="178"/>
    <n v="25"/>
    <n v="133"/>
    <n v="35"/>
    <m/>
  </r>
  <r>
    <x v="3"/>
    <x v="13"/>
    <n v="188"/>
    <n v="3"/>
    <n v="73"/>
    <n v="4"/>
    <n v="91"/>
    <n v="17"/>
    <m/>
  </r>
  <r>
    <x v="3"/>
    <x v="14"/>
    <n v="20"/>
    <n v="0"/>
    <n v="3"/>
    <n v="0"/>
    <n v="16"/>
    <n v="1"/>
    <m/>
  </r>
  <r>
    <x v="3"/>
    <x v="15"/>
    <n v="6"/>
    <n v="0"/>
    <n v="0"/>
    <n v="0"/>
    <n v="5"/>
    <n v="1"/>
    <m/>
  </r>
  <r>
    <x v="3"/>
    <x v="7"/>
    <n v="18"/>
    <n v="0"/>
    <n v="16"/>
    <n v="0"/>
    <n v="1"/>
    <n v="1"/>
    <m/>
  </r>
  <r>
    <x v="4"/>
    <x v="8"/>
    <n v="188"/>
    <n v="24"/>
    <n v="135"/>
    <n v="5"/>
    <n v="14"/>
    <n v="10"/>
    <m/>
  </r>
  <r>
    <x v="4"/>
    <x v="9"/>
    <n v="524"/>
    <n v="149"/>
    <n v="298"/>
    <n v="23"/>
    <n v="35"/>
    <n v="19"/>
    <m/>
  </r>
  <r>
    <x v="4"/>
    <x v="10"/>
    <n v="815"/>
    <n v="320"/>
    <n v="366"/>
    <n v="26"/>
    <n v="71"/>
    <n v="32"/>
    <m/>
  </r>
  <r>
    <x v="4"/>
    <x v="11"/>
    <n v="1107"/>
    <n v="605"/>
    <n v="375"/>
    <n v="22"/>
    <n v="70"/>
    <n v="35"/>
    <m/>
  </r>
  <r>
    <x v="4"/>
    <x v="2"/>
    <n v="1180"/>
    <n v="661"/>
    <n v="359"/>
    <n v="21"/>
    <n v="103"/>
    <n v="36"/>
    <m/>
  </r>
  <r>
    <x v="4"/>
    <x v="3"/>
    <n v="1602"/>
    <n v="880"/>
    <n v="494"/>
    <n v="27"/>
    <n v="139"/>
    <n v="62"/>
    <m/>
  </r>
  <r>
    <x v="4"/>
    <x v="4"/>
    <n v="1527"/>
    <n v="775"/>
    <n v="499"/>
    <n v="33"/>
    <n v="140"/>
    <n v="80"/>
    <m/>
  </r>
  <r>
    <x v="4"/>
    <x v="12"/>
    <n v="562"/>
    <n v="124"/>
    <n v="237"/>
    <n v="29"/>
    <n v="141"/>
    <n v="31"/>
    <m/>
  </r>
  <r>
    <x v="4"/>
    <x v="13"/>
    <n v="207"/>
    <n v="7"/>
    <n v="84"/>
    <n v="3"/>
    <n v="93"/>
    <n v="20"/>
    <m/>
  </r>
  <r>
    <x v="4"/>
    <x v="14"/>
    <n v="50"/>
    <n v="1"/>
    <n v="12"/>
    <m/>
    <n v="32"/>
    <n v="5"/>
    <m/>
  </r>
  <r>
    <x v="4"/>
    <x v="15"/>
    <n v="9"/>
    <m/>
    <n v="1"/>
    <m/>
    <n v="8"/>
    <m/>
    <m/>
  </r>
  <r>
    <x v="4"/>
    <x v="7"/>
    <n v="5"/>
    <m/>
    <n v="3"/>
    <m/>
    <m/>
    <n v="2"/>
    <m/>
  </r>
  <r>
    <x v="5"/>
    <x v="8"/>
    <n v="230"/>
    <n v="47"/>
    <n v="140"/>
    <n v="12"/>
    <n v="18"/>
    <n v="13"/>
    <m/>
  </r>
  <r>
    <x v="5"/>
    <x v="9"/>
    <n v="607"/>
    <n v="214"/>
    <n v="308"/>
    <n v="25"/>
    <n v="40"/>
    <n v="19"/>
    <n v="1"/>
  </r>
  <r>
    <x v="5"/>
    <x v="10"/>
    <n v="838"/>
    <n v="339"/>
    <n v="373"/>
    <n v="36"/>
    <n v="61"/>
    <n v="28"/>
    <n v="1"/>
  </r>
  <r>
    <x v="5"/>
    <x v="11"/>
    <n v="1104"/>
    <n v="595"/>
    <n v="383"/>
    <n v="24"/>
    <n v="71"/>
    <n v="29"/>
    <n v="2"/>
  </r>
  <r>
    <x v="5"/>
    <x v="2"/>
    <n v="1207"/>
    <n v="687"/>
    <n v="374"/>
    <n v="20"/>
    <n v="91"/>
    <n v="33"/>
    <n v="2"/>
  </r>
  <r>
    <x v="5"/>
    <x v="3"/>
    <n v="1514"/>
    <n v="828"/>
    <n v="466"/>
    <n v="27"/>
    <n v="134"/>
    <n v="57"/>
    <n v="2"/>
  </r>
  <r>
    <x v="5"/>
    <x v="4"/>
    <n v="1496"/>
    <n v="749"/>
    <n v="508"/>
    <n v="28"/>
    <n v="132"/>
    <n v="73"/>
    <n v="6"/>
  </r>
  <r>
    <x v="5"/>
    <x v="12"/>
    <n v="631"/>
    <n v="168"/>
    <n v="264"/>
    <n v="30"/>
    <n v="126"/>
    <n v="39"/>
    <n v="4"/>
  </r>
  <r>
    <x v="5"/>
    <x v="13"/>
    <n v="218"/>
    <n v="9"/>
    <n v="95"/>
    <n v="5"/>
    <n v="89"/>
    <n v="20"/>
    <m/>
  </r>
  <r>
    <x v="5"/>
    <x v="14"/>
    <n v="53"/>
    <n v="1"/>
    <n v="20"/>
    <m/>
    <n v="26"/>
    <n v="6"/>
    <m/>
  </r>
  <r>
    <x v="5"/>
    <x v="15"/>
    <n v="2"/>
    <m/>
    <m/>
    <m/>
    <n v="2"/>
    <m/>
    <m/>
  </r>
  <r>
    <x v="5"/>
    <x v="7"/>
    <n v="6"/>
    <m/>
    <n v="4"/>
    <m/>
    <n v="2"/>
    <m/>
    <m/>
  </r>
  <r>
    <x v="6"/>
    <x v="8"/>
    <n v="241"/>
    <n v="46"/>
    <n v="152"/>
    <n v="7"/>
    <n v="18"/>
    <n v="18"/>
    <m/>
  </r>
  <r>
    <x v="6"/>
    <x v="9"/>
    <n v="649"/>
    <n v="246"/>
    <n v="313"/>
    <n v="21"/>
    <n v="51"/>
    <n v="15"/>
    <n v="3"/>
  </r>
  <r>
    <x v="6"/>
    <x v="10"/>
    <n v="855"/>
    <n v="360"/>
    <n v="366"/>
    <n v="38"/>
    <n v="61"/>
    <n v="26"/>
    <n v="4"/>
  </r>
  <r>
    <x v="6"/>
    <x v="11"/>
    <n v="1102"/>
    <n v="567"/>
    <n v="405"/>
    <n v="20"/>
    <n v="73"/>
    <n v="32"/>
    <n v="5"/>
  </r>
  <r>
    <x v="6"/>
    <x v="2"/>
    <n v="1196"/>
    <n v="701"/>
    <n v="357"/>
    <n v="19"/>
    <n v="87"/>
    <n v="28"/>
    <n v="4"/>
  </r>
  <r>
    <x v="6"/>
    <x v="3"/>
    <n v="1388"/>
    <n v="775"/>
    <n v="421"/>
    <n v="22"/>
    <n v="114"/>
    <n v="53"/>
    <n v="3"/>
  </r>
  <r>
    <x v="6"/>
    <x v="4"/>
    <n v="1495"/>
    <n v="740"/>
    <n v="495"/>
    <n v="27"/>
    <n v="151"/>
    <n v="72"/>
    <n v="10"/>
  </r>
  <r>
    <x v="6"/>
    <x v="12"/>
    <n v="688"/>
    <n v="188"/>
    <n v="298"/>
    <n v="27"/>
    <n v="128"/>
    <n v="40"/>
    <n v="7"/>
  </r>
  <r>
    <x v="6"/>
    <x v="13"/>
    <n v="229"/>
    <n v="12"/>
    <n v="96"/>
    <n v="6"/>
    <n v="92"/>
    <n v="23"/>
    <m/>
  </r>
  <r>
    <x v="6"/>
    <x v="14"/>
    <n v="72"/>
    <n v="1"/>
    <n v="26"/>
    <n v="1"/>
    <n v="36"/>
    <n v="8"/>
    <m/>
  </r>
  <r>
    <x v="6"/>
    <x v="15"/>
    <n v="2"/>
    <m/>
    <m/>
    <m/>
    <n v="2"/>
    <m/>
    <m/>
  </r>
  <r>
    <x v="6"/>
    <x v="7"/>
    <n v="13"/>
    <m/>
    <n v="8"/>
    <m/>
    <n v="5"/>
    <m/>
    <m/>
  </r>
</pivotCacheRecords>
</file>

<file path=xl/pivotCache/pivotCacheRecords6.xml><?xml version="1.0" encoding="utf-8"?>
<pivotCacheRecords xmlns="http://schemas.openxmlformats.org/spreadsheetml/2006/main" xmlns:r="http://schemas.openxmlformats.org/officeDocument/2006/relationships" count="370">
  <r>
    <x v="0"/>
    <x v="0"/>
    <s v="S12000005"/>
    <x v="0"/>
    <n v="64"/>
    <m/>
    <n v="21"/>
    <m/>
    <m/>
    <n v="0"/>
    <n v="43"/>
  </r>
  <r>
    <x v="0"/>
    <x v="0"/>
    <s v="S12000006"/>
    <x v="1"/>
    <n v="271"/>
    <m/>
    <n v="198"/>
    <m/>
    <m/>
    <n v="4"/>
    <n v="69"/>
  </r>
  <r>
    <x v="0"/>
    <x v="0"/>
    <s v="S12000008"/>
    <x v="2"/>
    <n v="136"/>
    <m/>
    <n v="77"/>
    <m/>
    <m/>
    <n v="0"/>
    <n v="59"/>
  </r>
  <r>
    <x v="0"/>
    <x v="0"/>
    <s v="S12000010"/>
    <x v="3"/>
    <n v="81"/>
    <m/>
    <n v="52"/>
    <m/>
    <m/>
    <n v="0"/>
    <n v="29"/>
  </r>
  <r>
    <x v="0"/>
    <x v="0"/>
    <s v="S12000011"/>
    <x v="4"/>
    <n v="59"/>
    <m/>
    <n v="0"/>
    <m/>
    <m/>
    <n v="0"/>
    <n v="59"/>
  </r>
  <r>
    <x v="0"/>
    <x v="0"/>
    <s v="S12000013"/>
    <x v="5"/>
    <n v="132"/>
    <m/>
    <n v="132"/>
    <m/>
    <m/>
    <n v="0"/>
    <n v="0"/>
  </r>
  <r>
    <x v="0"/>
    <x v="0"/>
    <s v="S12000014"/>
    <x v="6"/>
    <n v="161"/>
    <m/>
    <n v="65"/>
    <m/>
    <m/>
    <n v="0"/>
    <n v="96"/>
  </r>
  <r>
    <x v="0"/>
    <x v="0"/>
    <s v="S12000017"/>
    <x v="7"/>
    <n v="717"/>
    <m/>
    <n v="564"/>
    <m/>
    <m/>
    <n v="72"/>
    <n v="81"/>
  </r>
  <r>
    <x v="0"/>
    <x v="0"/>
    <s v="S12000018"/>
    <x v="8"/>
    <n v="120"/>
    <m/>
    <n v="42"/>
    <m/>
    <m/>
    <n v="0"/>
    <n v="78"/>
  </r>
  <r>
    <x v="0"/>
    <x v="0"/>
    <s v="S12000019"/>
    <x v="9"/>
    <n v="45"/>
    <m/>
    <n v="10"/>
    <m/>
    <m/>
    <n v="0"/>
    <n v="35"/>
  </r>
  <r>
    <x v="0"/>
    <x v="0"/>
    <s v="S12000020"/>
    <x v="10"/>
    <n v="156"/>
    <m/>
    <n v="104"/>
    <m/>
    <m/>
    <n v="32"/>
    <n v="20"/>
  </r>
  <r>
    <x v="0"/>
    <x v="0"/>
    <s v="S12000021"/>
    <x v="11"/>
    <n v="191"/>
    <m/>
    <n v="94"/>
    <m/>
    <m/>
    <n v="21"/>
    <n v="76"/>
  </r>
  <r>
    <x v="0"/>
    <x v="0"/>
    <s v="S12000023"/>
    <x v="12"/>
    <n v="113"/>
    <m/>
    <n v="113"/>
    <m/>
    <m/>
    <n v="0"/>
    <n v="0"/>
  </r>
  <r>
    <x v="0"/>
    <x v="0"/>
    <s v="S12000024"/>
    <x v="13"/>
    <n v="253"/>
    <m/>
    <n v="140"/>
    <m/>
    <m/>
    <n v="25"/>
    <n v="88"/>
  </r>
  <r>
    <x v="0"/>
    <x v="0"/>
    <s v="S12000026"/>
    <x v="14"/>
    <n v="209"/>
    <m/>
    <n v="134"/>
    <m/>
    <m/>
    <n v="0"/>
    <n v="75"/>
  </r>
  <r>
    <x v="0"/>
    <x v="0"/>
    <s v="S12000027"/>
    <x v="15"/>
    <n v="134"/>
    <m/>
    <n v="134"/>
    <m/>
    <m/>
    <n v="0"/>
    <n v="0"/>
  </r>
  <r>
    <x v="0"/>
    <x v="0"/>
    <s v="S12000028"/>
    <x v="16"/>
    <n v="119"/>
    <m/>
    <n v="54"/>
    <m/>
    <m/>
    <n v="0"/>
    <n v="65"/>
  </r>
  <r>
    <x v="0"/>
    <x v="0"/>
    <s v="S12000029"/>
    <x v="17"/>
    <n v="276"/>
    <m/>
    <n v="84"/>
    <m/>
    <m/>
    <n v="2"/>
    <n v="190"/>
  </r>
  <r>
    <x v="0"/>
    <x v="0"/>
    <s v="S12000030"/>
    <x v="18"/>
    <n v="136"/>
    <m/>
    <n v="74"/>
    <m/>
    <m/>
    <n v="0"/>
    <n v="62"/>
  </r>
  <r>
    <x v="0"/>
    <x v="0"/>
    <s v="S12000033"/>
    <x v="19"/>
    <n v="182"/>
    <m/>
    <n v="8"/>
    <m/>
    <m/>
    <n v="0"/>
    <n v="174"/>
  </r>
  <r>
    <x v="0"/>
    <x v="0"/>
    <s v="S12000034"/>
    <x v="20"/>
    <n v="320"/>
    <m/>
    <n v="297"/>
    <m/>
    <m/>
    <n v="0"/>
    <n v="23"/>
  </r>
  <r>
    <x v="0"/>
    <x v="0"/>
    <s v="S12000035"/>
    <x v="21"/>
    <n v="448"/>
    <m/>
    <n v="187"/>
    <m/>
    <m/>
    <n v="203"/>
    <n v="58"/>
  </r>
  <r>
    <x v="0"/>
    <x v="0"/>
    <s v="S12000036"/>
    <x v="22"/>
    <n v="382"/>
    <m/>
    <n v="12"/>
    <m/>
    <m/>
    <n v="0"/>
    <n v="370"/>
  </r>
  <r>
    <x v="0"/>
    <x v="0"/>
    <s v="S12000038"/>
    <x v="23"/>
    <n v="130"/>
    <m/>
    <n v="14"/>
    <m/>
    <m/>
    <n v="0"/>
    <n v="116"/>
  </r>
  <r>
    <x v="0"/>
    <x v="0"/>
    <s v="S12000039"/>
    <x v="24"/>
    <n v="98"/>
    <m/>
    <n v="18"/>
    <m/>
    <m/>
    <n v="0"/>
    <n v="80"/>
  </r>
  <r>
    <x v="0"/>
    <x v="0"/>
    <s v="S12000040"/>
    <x v="25"/>
    <n v="143"/>
    <m/>
    <n v="58"/>
    <m/>
    <m/>
    <n v="0"/>
    <n v="85"/>
  </r>
  <r>
    <x v="0"/>
    <x v="0"/>
    <s v="S12000041"/>
    <x v="26"/>
    <n v="134"/>
    <m/>
    <n v="99"/>
    <m/>
    <m/>
    <n v="0"/>
    <n v="35"/>
  </r>
  <r>
    <x v="0"/>
    <x v="0"/>
    <s v="S12000042"/>
    <x v="27"/>
    <n v="229"/>
    <m/>
    <n v="14"/>
    <m/>
    <m/>
    <n v="0"/>
    <n v="215"/>
  </r>
  <r>
    <x v="0"/>
    <x v="0"/>
    <s v="S12000044"/>
    <x v="28"/>
    <n v="216"/>
    <m/>
    <n v="28"/>
    <m/>
    <m/>
    <n v="0"/>
    <n v="188"/>
  </r>
  <r>
    <x v="0"/>
    <x v="0"/>
    <s v="S12000045"/>
    <x v="29"/>
    <n v="74"/>
    <m/>
    <n v="0"/>
    <m/>
    <m/>
    <n v="0"/>
    <n v="74"/>
  </r>
  <r>
    <x v="0"/>
    <x v="0"/>
    <s v="S12000046"/>
    <x v="30"/>
    <n v="562"/>
    <m/>
    <n v="2"/>
    <m/>
    <m/>
    <n v="0"/>
    <n v="560"/>
  </r>
  <r>
    <x v="0"/>
    <x v="0"/>
    <s v="S12000047"/>
    <x v="31"/>
    <n v="400"/>
    <m/>
    <n v="111"/>
    <m/>
    <m/>
    <n v="0"/>
    <n v="289"/>
  </r>
  <r>
    <x v="0"/>
    <x v="1"/>
    <s v="S39000001"/>
    <x v="19"/>
    <n v="15"/>
    <m/>
    <m/>
    <m/>
    <m/>
    <m/>
    <n v="15"/>
  </r>
  <r>
    <x v="0"/>
    <x v="1"/>
    <s v="S39000002"/>
    <x v="32"/>
    <n v="22"/>
    <m/>
    <m/>
    <m/>
    <m/>
    <m/>
    <n v="22"/>
  </r>
  <r>
    <x v="0"/>
    <x v="1"/>
    <s v="S39000003"/>
    <x v="33"/>
    <n v="23"/>
    <m/>
    <m/>
    <m/>
    <m/>
    <m/>
    <n v="23"/>
  </r>
  <r>
    <x v="0"/>
    <x v="1"/>
    <s v="S39000004"/>
    <x v="1"/>
    <n v="16"/>
    <m/>
    <m/>
    <m/>
    <m/>
    <m/>
    <n v="16"/>
  </r>
  <r>
    <x v="0"/>
    <x v="1"/>
    <s v="S39000006"/>
    <x v="34"/>
    <n v="23"/>
    <m/>
    <m/>
    <m/>
    <m/>
    <m/>
    <n v="23"/>
  </r>
  <r>
    <x v="0"/>
    <x v="1"/>
    <s v="S39000007"/>
    <x v="35"/>
    <n v="21"/>
    <m/>
    <m/>
    <m/>
    <m/>
    <m/>
    <n v="21"/>
  </r>
  <r>
    <x v="0"/>
    <x v="1"/>
    <s v="S39000008"/>
    <x v="36"/>
    <n v="12"/>
    <m/>
    <m/>
    <m/>
    <m/>
    <m/>
    <n v="12"/>
  </r>
  <r>
    <x v="0"/>
    <x v="1"/>
    <s v="S39000009"/>
    <x v="37"/>
    <n v="26"/>
    <m/>
    <m/>
    <m/>
    <m/>
    <m/>
    <n v="26"/>
  </r>
  <r>
    <x v="0"/>
    <x v="1"/>
    <s v="S39000010"/>
    <x v="38"/>
    <n v="13"/>
    <m/>
    <m/>
    <m/>
    <m/>
    <m/>
    <n v="13"/>
  </r>
  <r>
    <x v="0"/>
    <x v="1"/>
    <s v="S39000012"/>
    <x v="30"/>
    <n v="28"/>
    <m/>
    <m/>
    <m/>
    <m/>
    <m/>
    <n v="28"/>
  </r>
  <r>
    <x v="0"/>
    <x v="1"/>
    <s v="S39000013"/>
    <x v="39"/>
    <n v="13"/>
    <m/>
    <m/>
    <m/>
    <m/>
    <m/>
    <n v="13"/>
  </r>
  <r>
    <x v="0"/>
    <x v="1"/>
    <s v="S39000014"/>
    <x v="28"/>
    <n v="14"/>
    <m/>
    <m/>
    <m/>
    <m/>
    <m/>
    <n v="14"/>
  </r>
  <r>
    <x v="0"/>
    <x v="1"/>
    <s v="S39000015"/>
    <x v="17"/>
    <n v="10"/>
    <m/>
    <m/>
    <m/>
    <m/>
    <m/>
    <n v="10"/>
  </r>
  <r>
    <x v="0"/>
    <x v="1"/>
    <s v="S39000016"/>
    <x v="40"/>
    <n v="8"/>
    <m/>
    <m/>
    <m/>
    <m/>
    <m/>
    <n v="8"/>
  </r>
  <r>
    <x v="0"/>
    <x v="1"/>
    <s v="S39000017"/>
    <x v="41"/>
    <n v="9"/>
    <m/>
    <m/>
    <m/>
    <m/>
    <m/>
    <n v="9"/>
  </r>
  <r>
    <x v="0"/>
    <x v="1"/>
    <s v="S39000018"/>
    <x v="42"/>
    <n v="11"/>
    <m/>
    <m/>
    <m/>
    <m/>
    <m/>
    <n v="11"/>
  </r>
  <r>
    <x v="0"/>
    <x v="1"/>
    <s v="S39000019"/>
    <x v="31"/>
    <n v="21"/>
    <m/>
    <m/>
    <m/>
    <m/>
    <m/>
    <n v="21"/>
  </r>
  <r>
    <x v="0"/>
    <x v="2"/>
    <s v="S40000003"/>
    <x v="43"/>
    <n v="527"/>
    <m/>
    <m/>
    <m/>
    <n v="416"/>
    <m/>
    <n v="111"/>
  </r>
  <r>
    <x v="0"/>
    <x v="2"/>
    <s v="S40000004"/>
    <x v="44"/>
    <n v="255"/>
    <m/>
    <m/>
    <m/>
    <n v="175"/>
    <m/>
    <n v="80"/>
  </r>
  <r>
    <x v="0"/>
    <x v="2"/>
    <s v="S40000005"/>
    <x v="45"/>
    <n v="210"/>
    <m/>
    <m/>
    <m/>
    <n v="133"/>
    <m/>
    <n v="77"/>
  </r>
  <r>
    <x v="0"/>
    <x v="3"/>
    <s v="S92000003"/>
    <x v="46"/>
    <n v="516"/>
    <n v="223"/>
    <m/>
    <m/>
    <n v="237"/>
    <m/>
    <n v="56"/>
  </r>
  <r>
    <x v="1"/>
    <x v="0"/>
    <s v="S12000005"/>
    <x v="0"/>
    <n v="60"/>
    <m/>
    <n v="23"/>
    <m/>
    <m/>
    <n v="0"/>
    <n v="37"/>
  </r>
  <r>
    <x v="1"/>
    <x v="0"/>
    <s v="S12000006"/>
    <x v="1"/>
    <n v="278"/>
    <m/>
    <n v="206"/>
    <m/>
    <m/>
    <n v="3"/>
    <n v="69"/>
  </r>
  <r>
    <x v="1"/>
    <x v="0"/>
    <s v="S12000008"/>
    <x v="2"/>
    <n v="136"/>
    <m/>
    <n v="80"/>
    <m/>
    <m/>
    <n v="0"/>
    <n v="56"/>
  </r>
  <r>
    <x v="1"/>
    <x v="0"/>
    <s v="S12000010"/>
    <x v="3"/>
    <n v="88"/>
    <m/>
    <n v="60"/>
    <m/>
    <m/>
    <n v="0"/>
    <n v="28"/>
  </r>
  <r>
    <x v="1"/>
    <x v="0"/>
    <s v="S12000011"/>
    <x v="4"/>
    <n v="57"/>
    <m/>
    <n v="0"/>
    <m/>
    <m/>
    <n v="0"/>
    <n v="57"/>
  </r>
  <r>
    <x v="1"/>
    <x v="0"/>
    <s v="S12000013"/>
    <x v="5"/>
    <n v="147"/>
    <m/>
    <n v="147"/>
    <m/>
    <m/>
    <n v="0"/>
    <n v="0"/>
  </r>
  <r>
    <x v="1"/>
    <x v="0"/>
    <s v="S12000014"/>
    <x v="6"/>
    <n v="162"/>
    <m/>
    <n v="68"/>
    <m/>
    <m/>
    <n v="0"/>
    <n v="94"/>
  </r>
  <r>
    <x v="1"/>
    <x v="0"/>
    <s v="S12000017"/>
    <x v="7"/>
    <n v="698"/>
    <m/>
    <n v="548"/>
    <m/>
    <m/>
    <n v="69"/>
    <n v="81"/>
  </r>
  <r>
    <x v="1"/>
    <x v="0"/>
    <s v="S12000018"/>
    <x v="8"/>
    <n v="117"/>
    <m/>
    <n v="40"/>
    <m/>
    <m/>
    <n v="0"/>
    <n v="77"/>
  </r>
  <r>
    <x v="1"/>
    <x v="0"/>
    <s v="S12000019"/>
    <x v="9"/>
    <n v="49"/>
    <m/>
    <n v="14"/>
    <m/>
    <m/>
    <n v="0"/>
    <n v="35"/>
  </r>
  <r>
    <x v="1"/>
    <x v="0"/>
    <s v="S12000020"/>
    <x v="10"/>
    <n v="167"/>
    <m/>
    <n v="121"/>
    <m/>
    <m/>
    <n v="25"/>
    <n v="21"/>
  </r>
  <r>
    <x v="1"/>
    <x v="0"/>
    <s v="S12000021"/>
    <x v="11"/>
    <n v="194"/>
    <m/>
    <n v="90"/>
    <m/>
    <m/>
    <n v="26"/>
    <n v="78"/>
  </r>
  <r>
    <x v="1"/>
    <x v="0"/>
    <s v="S12000023"/>
    <x v="12"/>
    <n v="110"/>
    <m/>
    <n v="109"/>
    <m/>
    <m/>
    <n v="1"/>
    <n v="0"/>
  </r>
  <r>
    <x v="1"/>
    <x v="0"/>
    <s v="S12000024"/>
    <x v="13"/>
    <n v="238"/>
    <m/>
    <n v="128"/>
    <m/>
    <m/>
    <n v="24"/>
    <n v="86"/>
  </r>
  <r>
    <x v="1"/>
    <x v="0"/>
    <s v="S12000026"/>
    <x v="14"/>
    <n v="224"/>
    <m/>
    <n v="151"/>
    <m/>
    <m/>
    <n v="0"/>
    <n v="73"/>
  </r>
  <r>
    <x v="1"/>
    <x v="0"/>
    <s v="S12000027"/>
    <x v="15"/>
    <n v="128"/>
    <m/>
    <n v="127"/>
    <m/>
    <m/>
    <n v="1"/>
    <n v="0"/>
  </r>
  <r>
    <x v="1"/>
    <x v="0"/>
    <s v="S12000028"/>
    <x v="16"/>
    <n v="114"/>
    <m/>
    <n v="54"/>
    <m/>
    <m/>
    <n v="0"/>
    <n v="60"/>
  </r>
  <r>
    <x v="1"/>
    <x v="0"/>
    <s v="S12000029"/>
    <x v="17"/>
    <n v="273"/>
    <m/>
    <n v="82"/>
    <m/>
    <m/>
    <n v="4"/>
    <n v="187"/>
  </r>
  <r>
    <x v="1"/>
    <x v="0"/>
    <s v="S12000030"/>
    <x v="18"/>
    <n v="130"/>
    <m/>
    <n v="75"/>
    <m/>
    <m/>
    <n v="0"/>
    <n v="55"/>
  </r>
  <r>
    <x v="1"/>
    <x v="0"/>
    <s v="S12000033"/>
    <x v="19"/>
    <n v="181"/>
    <m/>
    <n v="8"/>
    <m/>
    <m/>
    <n v="0"/>
    <n v="173"/>
  </r>
  <r>
    <x v="1"/>
    <x v="0"/>
    <s v="S12000034"/>
    <x v="20"/>
    <n v="303"/>
    <m/>
    <n v="280"/>
    <m/>
    <m/>
    <n v="0"/>
    <n v="23"/>
  </r>
  <r>
    <x v="1"/>
    <x v="0"/>
    <s v="S12000035"/>
    <x v="21"/>
    <n v="454"/>
    <m/>
    <n v="175"/>
    <m/>
    <m/>
    <n v="225"/>
    <n v="54"/>
  </r>
  <r>
    <x v="1"/>
    <x v="0"/>
    <s v="S12000036"/>
    <x v="22"/>
    <n v="361"/>
    <m/>
    <n v="13"/>
    <m/>
    <m/>
    <n v="0"/>
    <n v="348"/>
  </r>
  <r>
    <x v="1"/>
    <x v="0"/>
    <s v="S12000038"/>
    <x v="23"/>
    <n v="129"/>
    <m/>
    <n v="14"/>
    <m/>
    <m/>
    <n v="0"/>
    <n v="115"/>
  </r>
  <r>
    <x v="1"/>
    <x v="0"/>
    <s v="S12000039"/>
    <x v="24"/>
    <n v="95"/>
    <m/>
    <n v="21"/>
    <m/>
    <m/>
    <n v="0"/>
    <n v="74"/>
  </r>
  <r>
    <x v="1"/>
    <x v="0"/>
    <s v="S12000040"/>
    <x v="25"/>
    <n v="144"/>
    <m/>
    <n v="65"/>
    <m/>
    <m/>
    <n v="0"/>
    <n v="79"/>
  </r>
  <r>
    <x v="1"/>
    <x v="0"/>
    <s v="S12000041"/>
    <x v="26"/>
    <n v="122"/>
    <m/>
    <n v="95"/>
    <m/>
    <m/>
    <n v="0"/>
    <n v="27"/>
  </r>
  <r>
    <x v="1"/>
    <x v="0"/>
    <s v="S12000042"/>
    <x v="27"/>
    <n v="221"/>
    <m/>
    <n v="14"/>
    <m/>
    <m/>
    <n v="0"/>
    <n v="207"/>
  </r>
  <r>
    <x v="1"/>
    <x v="0"/>
    <s v="S12000044"/>
    <x v="28"/>
    <n v="217"/>
    <m/>
    <n v="30"/>
    <m/>
    <m/>
    <n v="0"/>
    <n v="187"/>
  </r>
  <r>
    <x v="1"/>
    <x v="0"/>
    <s v="S12000045"/>
    <x v="29"/>
    <n v="72"/>
    <m/>
    <n v="0"/>
    <m/>
    <m/>
    <n v="0"/>
    <n v="72"/>
  </r>
  <r>
    <x v="1"/>
    <x v="0"/>
    <s v="S12000046"/>
    <x v="30"/>
    <n v="544"/>
    <m/>
    <n v="0"/>
    <m/>
    <m/>
    <n v="0"/>
    <n v="544"/>
  </r>
  <r>
    <x v="1"/>
    <x v="0"/>
    <s v="S12000047"/>
    <x v="31"/>
    <n v="400"/>
    <m/>
    <n v="112"/>
    <m/>
    <m/>
    <n v="0"/>
    <n v="288"/>
  </r>
  <r>
    <x v="1"/>
    <x v="1"/>
    <s v="S39000001"/>
    <x v="19"/>
    <n v="18"/>
    <m/>
    <m/>
    <m/>
    <m/>
    <m/>
    <n v="18"/>
  </r>
  <r>
    <x v="1"/>
    <x v="1"/>
    <s v="S39000002"/>
    <x v="32"/>
    <n v="18"/>
    <m/>
    <m/>
    <m/>
    <m/>
    <m/>
    <n v="18"/>
  </r>
  <r>
    <x v="1"/>
    <x v="1"/>
    <s v="S39000003"/>
    <x v="33"/>
    <n v="21"/>
    <m/>
    <m/>
    <m/>
    <m/>
    <m/>
    <n v="21"/>
  </r>
  <r>
    <x v="1"/>
    <x v="1"/>
    <s v="S39000004"/>
    <x v="1"/>
    <n v="18"/>
    <m/>
    <m/>
    <m/>
    <m/>
    <m/>
    <n v="18"/>
  </r>
  <r>
    <x v="1"/>
    <x v="1"/>
    <s v="S39000006"/>
    <x v="34"/>
    <n v="20"/>
    <m/>
    <m/>
    <m/>
    <m/>
    <m/>
    <n v="20"/>
  </r>
  <r>
    <x v="1"/>
    <x v="1"/>
    <s v="S39000007"/>
    <x v="35"/>
    <n v="17"/>
    <m/>
    <m/>
    <m/>
    <m/>
    <m/>
    <n v="17"/>
  </r>
  <r>
    <x v="1"/>
    <x v="1"/>
    <s v="S39000008"/>
    <x v="36"/>
    <n v="12"/>
    <m/>
    <m/>
    <m/>
    <m/>
    <m/>
    <n v="12"/>
  </r>
  <r>
    <x v="1"/>
    <x v="1"/>
    <s v="S39000009"/>
    <x v="37"/>
    <n v="24"/>
    <m/>
    <m/>
    <m/>
    <m/>
    <m/>
    <n v="24"/>
  </r>
  <r>
    <x v="1"/>
    <x v="1"/>
    <s v="S39000010"/>
    <x v="38"/>
    <n v="13"/>
    <m/>
    <m/>
    <m/>
    <m/>
    <m/>
    <n v="13"/>
  </r>
  <r>
    <x v="1"/>
    <x v="1"/>
    <s v="S39000012"/>
    <x v="30"/>
    <n v="25"/>
    <m/>
    <m/>
    <m/>
    <m/>
    <m/>
    <n v="25"/>
  </r>
  <r>
    <x v="1"/>
    <x v="1"/>
    <s v="S39000013"/>
    <x v="39"/>
    <n v="13"/>
    <m/>
    <m/>
    <m/>
    <m/>
    <m/>
    <n v="13"/>
  </r>
  <r>
    <x v="1"/>
    <x v="1"/>
    <s v="S39000014"/>
    <x v="28"/>
    <n v="16"/>
    <m/>
    <m/>
    <m/>
    <m/>
    <m/>
    <n v="16"/>
  </r>
  <r>
    <x v="1"/>
    <x v="1"/>
    <s v="S39000015"/>
    <x v="17"/>
    <n v="10"/>
    <m/>
    <m/>
    <m/>
    <m/>
    <m/>
    <n v="10"/>
  </r>
  <r>
    <x v="1"/>
    <x v="1"/>
    <s v="S39000016"/>
    <x v="40"/>
    <n v="5"/>
    <m/>
    <m/>
    <m/>
    <m/>
    <m/>
    <n v="5"/>
  </r>
  <r>
    <x v="1"/>
    <x v="1"/>
    <s v="S39000017"/>
    <x v="41"/>
    <n v="7"/>
    <m/>
    <m/>
    <m/>
    <m/>
    <m/>
    <n v="7"/>
  </r>
  <r>
    <x v="1"/>
    <x v="1"/>
    <s v="S39000018"/>
    <x v="42"/>
    <n v="12"/>
    <m/>
    <m/>
    <m/>
    <m/>
    <m/>
    <n v="12"/>
  </r>
  <r>
    <x v="1"/>
    <x v="1"/>
    <s v="S39000019"/>
    <x v="31"/>
    <n v="21"/>
    <m/>
    <m/>
    <m/>
    <m/>
    <m/>
    <n v="21"/>
  </r>
  <r>
    <x v="1"/>
    <x v="2"/>
    <s v="S40000003"/>
    <x v="43"/>
    <n v="445"/>
    <m/>
    <m/>
    <m/>
    <n v="340"/>
    <m/>
    <n v="105"/>
  </r>
  <r>
    <x v="1"/>
    <x v="2"/>
    <s v="S40000004"/>
    <x v="44"/>
    <n v="242"/>
    <m/>
    <m/>
    <m/>
    <n v="163"/>
    <m/>
    <n v="79"/>
  </r>
  <r>
    <x v="1"/>
    <x v="2"/>
    <s v="S40000005"/>
    <x v="45"/>
    <n v="193"/>
    <m/>
    <m/>
    <m/>
    <n v="126"/>
    <m/>
    <n v="67"/>
  </r>
  <r>
    <x v="1"/>
    <x v="3"/>
    <s v="S92000003"/>
    <x v="46"/>
    <n v="518"/>
    <n v="230"/>
    <m/>
    <m/>
    <n v="238"/>
    <m/>
    <n v="50"/>
  </r>
  <r>
    <x v="2"/>
    <x v="0"/>
    <s v="S12000005"/>
    <x v="0"/>
    <n v="47"/>
    <m/>
    <n v="21"/>
    <m/>
    <m/>
    <n v="0"/>
    <n v="26"/>
  </r>
  <r>
    <x v="2"/>
    <x v="0"/>
    <s v="S12000006"/>
    <x v="1"/>
    <n v="260"/>
    <m/>
    <n v="190"/>
    <m/>
    <m/>
    <n v="5"/>
    <n v="65"/>
  </r>
  <r>
    <x v="2"/>
    <x v="0"/>
    <s v="S12000008"/>
    <x v="2"/>
    <n v="136"/>
    <m/>
    <n v="83"/>
    <m/>
    <m/>
    <n v="0"/>
    <n v="53"/>
  </r>
  <r>
    <x v="2"/>
    <x v="0"/>
    <s v="S12000010"/>
    <x v="3"/>
    <n v="82"/>
    <m/>
    <n v="55"/>
    <m/>
    <m/>
    <n v="0"/>
    <n v="27"/>
  </r>
  <r>
    <x v="2"/>
    <x v="0"/>
    <s v="S12000011"/>
    <x v="4"/>
    <n v="55"/>
    <m/>
    <n v="2"/>
    <m/>
    <m/>
    <n v="0"/>
    <n v="53"/>
  </r>
  <r>
    <x v="2"/>
    <x v="0"/>
    <s v="S12000013"/>
    <x v="5"/>
    <n v="140"/>
    <m/>
    <n v="140"/>
    <m/>
    <m/>
    <n v="0"/>
    <n v="0"/>
  </r>
  <r>
    <x v="2"/>
    <x v="0"/>
    <s v="S12000014"/>
    <x v="6"/>
    <n v="148"/>
    <m/>
    <n v="53"/>
    <m/>
    <m/>
    <n v="0"/>
    <n v="95"/>
  </r>
  <r>
    <x v="2"/>
    <x v="0"/>
    <s v="S12000017"/>
    <x v="7"/>
    <n v="661"/>
    <m/>
    <n v="525"/>
    <m/>
    <m/>
    <n v="68"/>
    <n v="68"/>
  </r>
  <r>
    <x v="2"/>
    <x v="0"/>
    <s v="S12000018"/>
    <x v="8"/>
    <n v="111"/>
    <m/>
    <n v="41"/>
    <m/>
    <m/>
    <n v="0"/>
    <n v="70"/>
  </r>
  <r>
    <x v="2"/>
    <x v="0"/>
    <s v="S12000019"/>
    <x v="9"/>
    <n v="34"/>
    <m/>
    <n v="11"/>
    <m/>
    <m/>
    <n v="0"/>
    <n v="23"/>
  </r>
  <r>
    <x v="2"/>
    <x v="0"/>
    <s v="S12000020"/>
    <x v="10"/>
    <n v="161"/>
    <m/>
    <n v="110"/>
    <m/>
    <m/>
    <n v="20"/>
    <n v="31"/>
  </r>
  <r>
    <x v="2"/>
    <x v="0"/>
    <s v="S12000021"/>
    <x v="11"/>
    <n v="208"/>
    <m/>
    <n v="108"/>
    <m/>
    <m/>
    <n v="22"/>
    <n v="78"/>
  </r>
  <r>
    <x v="2"/>
    <x v="0"/>
    <s v="S12000023"/>
    <x v="12"/>
    <n v="98"/>
    <m/>
    <n v="98"/>
    <m/>
    <m/>
    <n v="0"/>
    <n v="0"/>
  </r>
  <r>
    <x v="2"/>
    <x v="0"/>
    <s v="S12000024"/>
    <x v="13"/>
    <n v="222"/>
    <m/>
    <n v="126"/>
    <m/>
    <m/>
    <n v="23"/>
    <n v="73"/>
  </r>
  <r>
    <x v="2"/>
    <x v="0"/>
    <s v="S12000026"/>
    <x v="14"/>
    <n v="218"/>
    <m/>
    <n v="147"/>
    <m/>
    <m/>
    <n v="0"/>
    <n v="71"/>
  </r>
  <r>
    <x v="2"/>
    <x v="0"/>
    <s v="S12000027"/>
    <x v="15"/>
    <n v="126"/>
    <m/>
    <n v="126"/>
    <m/>
    <m/>
    <n v="0"/>
    <n v="0"/>
  </r>
  <r>
    <x v="2"/>
    <x v="0"/>
    <s v="S12000028"/>
    <x v="16"/>
    <n v="108"/>
    <m/>
    <n v="53"/>
    <m/>
    <m/>
    <n v="0"/>
    <n v="55"/>
  </r>
  <r>
    <x v="2"/>
    <x v="0"/>
    <s v="S12000029"/>
    <x v="17"/>
    <n v="252"/>
    <m/>
    <n v="71"/>
    <m/>
    <m/>
    <n v="3"/>
    <n v="178"/>
  </r>
  <r>
    <x v="2"/>
    <x v="0"/>
    <s v="S12000030"/>
    <x v="18"/>
    <n v="124"/>
    <m/>
    <n v="73"/>
    <m/>
    <m/>
    <n v="0"/>
    <n v="51"/>
  </r>
  <r>
    <x v="2"/>
    <x v="0"/>
    <s v="S12000033"/>
    <x v="19"/>
    <n v="167"/>
    <m/>
    <n v="23"/>
    <m/>
    <m/>
    <n v="0"/>
    <n v="144"/>
  </r>
  <r>
    <x v="2"/>
    <x v="0"/>
    <s v="S12000034"/>
    <x v="20"/>
    <n v="303"/>
    <m/>
    <n v="271"/>
    <m/>
    <m/>
    <n v="0"/>
    <n v="32"/>
  </r>
  <r>
    <x v="2"/>
    <x v="0"/>
    <s v="S12000035"/>
    <x v="21"/>
    <n v="438"/>
    <m/>
    <n v="182"/>
    <m/>
    <m/>
    <n v="201"/>
    <n v="55"/>
  </r>
  <r>
    <x v="2"/>
    <x v="0"/>
    <s v="S12000036"/>
    <x v="22"/>
    <n v="327"/>
    <m/>
    <n v="12"/>
    <m/>
    <m/>
    <n v="0"/>
    <n v="315"/>
  </r>
  <r>
    <x v="2"/>
    <x v="0"/>
    <s v="S12000038"/>
    <x v="23"/>
    <n v="105"/>
    <m/>
    <n v="13"/>
    <m/>
    <m/>
    <n v="0"/>
    <n v="92"/>
  </r>
  <r>
    <x v="2"/>
    <x v="0"/>
    <s v="S12000039"/>
    <x v="24"/>
    <n v="89"/>
    <m/>
    <n v="19"/>
    <m/>
    <m/>
    <n v="0"/>
    <n v="70"/>
  </r>
  <r>
    <x v="2"/>
    <x v="0"/>
    <s v="S12000040"/>
    <x v="25"/>
    <n v="116"/>
    <m/>
    <n v="55"/>
    <m/>
    <m/>
    <n v="0"/>
    <n v="61"/>
  </r>
  <r>
    <x v="2"/>
    <x v="0"/>
    <s v="S12000041"/>
    <x v="26"/>
    <n v="134"/>
    <m/>
    <n v="98"/>
    <m/>
    <m/>
    <n v="0"/>
    <n v="36"/>
  </r>
  <r>
    <x v="2"/>
    <x v="0"/>
    <s v="S12000042"/>
    <x v="27"/>
    <n v="187"/>
    <m/>
    <n v="11"/>
    <m/>
    <m/>
    <n v="0"/>
    <n v="176"/>
  </r>
  <r>
    <x v="2"/>
    <x v="0"/>
    <s v="S12000044"/>
    <x v="28"/>
    <n v="214"/>
    <m/>
    <n v="34"/>
    <m/>
    <m/>
    <n v="0"/>
    <n v="180"/>
  </r>
  <r>
    <x v="2"/>
    <x v="0"/>
    <s v="S12000045"/>
    <x v="29"/>
    <n v="71"/>
    <m/>
    <n v="1"/>
    <m/>
    <m/>
    <n v="0"/>
    <n v="70"/>
  </r>
  <r>
    <x v="2"/>
    <x v="0"/>
    <s v="S12000046"/>
    <x v="30"/>
    <n v="505"/>
    <m/>
    <n v="6"/>
    <m/>
    <m/>
    <n v="0"/>
    <n v="499"/>
  </r>
  <r>
    <x v="2"/>
    <x v="0"/>
    <s v="S12000047"/>
    <x v="31"/>
    <n v="390"/>
    <m/>
    <n v="112"/>
    <m/>
    <m/>
    <n v="0"/>
    <n v="278"/>
  </r>
  <r>
    <x v="2"/>
    <x v="1"/>
    <s v="S39000001"/>
    <x v="19"/>
    <n v="16"/>
    <m/>
    <m/>
    <m/>
    <m/>
    <m/>
    <n v="16"/>
  </r>
  <r>
    <x v="2"/>
    <x v="1"/>
    <s v="S39000002"/>
    <x v="32"/>
    <n v="27"/>
    <m/>
    <m/>
    <m/>
    <m/>
    <m/>
    <n v="27"/>
  </r>
  <r>
    <x v="2"/>
    <x v="1"/>
    <s v="S39000003"/>
    <x v="33"/>
    <n v="25"/>
    <m/>
    <m/>
    <m/>
    <m/>
    <m/>
    <n v="25"/>
  </r>
  <r>
    <x v="2"/>
    <x v="1"/>
    <s v="S39000004"/>
    <x v="1"/>
    <n v="19"/>
    <m/>
    <m/>
    <m/>
    <m/>
    <m/>
    <n v="19"/>
  </r>
  <r>
    <x v="2"/>
    <x v="1"/>
    <s v="S39000006"/>
    <x v="34"/>
    <n v="29"/>
    <m/>
    <m/>
    <m/>
    <m/>
    <m/>
    <n v="29"/>
  </r>
  <r>
    <x v="2"/>
    <x v="1"/>
    <s v="S39000007"/>
    <x v="35"/>
    <n v="38"/>
    <m/>
    <m/>
    <m/>
    <m/>
    <m/>
    <n v="38"/>
  </r>
  <r>
    <x v="2"/>
    <x v="1"/>
    <s v="S39000008"/>
    <x v="36"/>
    <n v="17"/>
    <m/>
    <m/>
    <m/>
    <m/>
    <m/>
    <n v="17"/>
  </r>
  <r>
    <x v="2"/>
    <x v="1"/>
    <s v="S39000009"/>
    <x v="37"/>
    <n v="27"/>
    <m/>
    <m/>
    <m/>
    <m/>
    <m/>
    <n v="27"/>
  </r>
  <r>
    <x v="2"/>
    <x v="1"/>
    <s v="S39000010"/>
    <x v="38"/>
    <n v="16"/>
    <m/>
    <m/>
    <m/>
    <m/>
    <m/>
    <n v="16"/>
  </r>
  <r>
    <x v="2"/>
    <x v="1"/>
    <s v="S39000012"/>
    <x v="30"/>
    <n v="32"/>
    <m/>
    <m/>
    <m/>
    <m/>
    <m/>
    <n v="32"/>
  </r>
  <r>
    <x v="2"/>
    <x v="1"/>
    <s v="S39000013"/>
    <x v="39"/>
    <n v="29"/>
    <m/>
    <m/>
    <m/>
    <m/>
    <m/>
    <n v="29"/>
  </r>
  <r>
    <x v="2"/>
    <x v="1"/>
    <s v="S39000014"/>
    <x v="28"/>
    <n v="20"/>
    <m/>
    <m/>
    <m/>
    <m/>
    <m/>
    <n v="20"/>
  </r>
  <r>
    <x v="2"/>
    <x v="1"/>
    <s v="S39000015"/>
    <x v="17"/>
    <n v="16"/>
    <m/>
    <m/>
    <m/>
    <m/>
    <m/>
    <n v="16"/>
  </r>
  <r>
    <x v="2"/>
    <x v="1"/>
    <s v="S39000016"/>
    <x v="40"/>
    <n v="13"/>
    <m/>
    <m/>
    <m/>
    <m/>
    <m/>
    <n v="13"/>
  </r>
  <r>
    <x v="2"/>
    <x v="1"/>
    <s v="S39000017"/>
    <x v="41"/>
    <n v="11"/>
    <m/>
    <m/>
    <m/>
    <m/>
    <m/>
    <n v="11"/>
  </r>
  <r>
    <x v="2"/>
    <x v="1"/>
    <s v="S39000018"/>
    <x v="42"/>
    <n v="24"/>
    <m/>
    <m/>
    <m/>
    <m/>
    <m/>
    <n v="24"/>
  </r>
  <r>
    <x v="2"/>
    <x v="1"/>
    <s v="S39000019"/>
    <x v="31"/>
    <n v="26"/>
    <m/>
    <m/>
    <m/>
    <m/>
    <m/>
    <n v="26"/>
  </r>
  <r>
    <x v="2"/>
    <x v="2"/>
    <s v="S40000003"/>
    <x v="43"/>
    <n v="302"/>
    <m/>
    <m/>
    <m/>
    <n v="286"/>
    <m/>
    <n v="16"/>
  </r>
  <r>
    <x v="2"/>
    <x v="2"/>
    <s v="S40000004"/>
    <x v="44"/>
    <n v="149"/>
    <m/>
    <m/>
    <m/>
    <n v="124"/>
    <m/>
    <n v="25"/>
  </r>
  <r>
    <x v="2"/>
    <x v="2"/>
    <s v="S40000005"/>
    <x v="45"/>
    <n v="165"/>
    <m/>
    <m/>
    <m/>
    <n v="121"/>
    <m/>
    <n v="44"/>
  </r>
  <r>
    <x v="2"/>
    <x v="3"/>
    <s v="S92000003"/>
    <x v="46"/>
    <n v="695"/>
    <n v="203"/>
    <m/>
    <m/>
    <n v="297"/>
    <m/>
    <n v="195"/>
  </r>
  <r>
    <x v="3"/>
    <x v="0"/>
    <s v="S12000005"/>
    <x v="0"/>
    <n v="46"/>
    <m/>
    <n v="24"/>
    <m/>
    <m/>
    <n v="0"/>
    <n v="22"/>
  </r>
  <r>
    <x v="3"/>
    <x v="0"/>
    <s v="S12000006"/>
    <x v="1"/>
    <n v="270"/>
    <m/>
    <n v="202"/>
    <m/>
    <m/>
    <n v="5"/>
    <n v="63"/>
  </r>
  <r>
    <x v="3"/>
    <x v="0"/>
    <s v="S12000008"/>
    <x v="2"/>
    <n v="127"/>
    <m/>
    <n v="81"/>
    <m/>
    <m/>
    <n v="0"/>
    <n v="46"/>
  </r>
  <r>
    <x v="3"/>
    <x v="0"/>
    <s v="S12000010"/>
    <x v="3"/>
    <n v="82"/>
    <m/>
    <n v="55"/>
    <m/>
    <m/>
    <n v="0"/>
    <n v="27"/>
  </r>
  <r>
    <x v="3"/>
    <x v="0"/>
    <s v="S12000011"/>
    <x v="4"/>
    <n v="50"/>
    <m/>
    <n v="0"/>
    <m/>
    <m/>
    <n v="0"/>
    <n v="50"/>
  </r>
  <r>
    <x v="3"/>
    <x v="0"/>
    <s v="S12000013"/>
    <x v="5"/>
    <n v="137"/>
    <m/>
    <n v="137"/>
    <m/>
    <m/>
    <n v="0"/>
    <n v="0"/>
  </r>
  <r>
    <x v="3"/>
    <x v="0"/>
    <s v="S12000014"/>
    <x v="6"/>
    <n v="142"/>
    <m/>
    <n v="56"/>
    <m/>
    <m/>
    <n v="0"/>
    <n v="86"/>
  </r>
  <r>
    <x v="3"/>
    <x v="0"/>
    <s v="S12000017"/>
    <x v="7"/>
    <n v="659"/>
    <m/>
    <n v="525"/>
    <m/>
    <m/>
    <n v="67"/>
    <n v="67"/>
  </r>
  <r>
    <x v="3"/>
    <x v="0"/>
    <s v="S12000018"/>
    <x v="8"/>
    <n v="107"/>
    <m/>
    <n v="39"/>
    <m/>
    <m/>
    <n v="0"/>
    <n v="68"/>
  </r>
  <r>
    <x v="3"/>
    <x v="0"/>
    <s v="S12000019"/>
    <x v="9"/>
    <n v="33"/>
    <m/>
    <n v="11"/>
    <m/>
    <m/>
    <n v="0"/>
    <n v="22"/>
  </r>
  <r>
    <x v="3"/>
    <x v="0"/>
    <s v="S12000020"/>
    <x v="10"/>
    <n v="156"/>
    <m/>
    <n v="125"/>
    <m/>
    <m/>
    <n v="4"/>
    <n v="27"/>
  </r>
  <r>
    <x v="3"/>
    <x v="0"/>
    <s v="S12000021"/>
    <x v="11"/>
    <n v="202"/>
    <m/>
    <n v="106"/>
    <m/>
    <m/>
    <n v="18"/>
    <n v="78"/>
  </r>
  <r>
    <x v="3"/>
    <x v="0"/>
    <s v="S12000023"/>
    <x v="12"/>
    <n v="95"/>
    <m/>
    <n v="95"/>
    <m/>
    <m/>
    <n v="0"/>
    <n v="0"/>
  </r>
  <r>
    <x v="3"/>
    <x v="0"/>
    <s v="S12000024"/>
    <x v="13"/>
    <n v="213"/>
    <m/>
    <n v="122"/>
    <m/>
    <m/>
    <n v="23"/>
    <n v="68"/>
  </r>
  <r>
    <x v="3"/>
    <x v="0"/>
    <s v="S12000026"/>
    <x v="14"/>
    <n v="199"/>
    <m/>
    <n v="143"/>
    <m/>
    <m/>
    <n v="0"/>
    <n v="56"/>
  </r>
  <r>
    <x v="3"/>
    <x v="0"/>
    <s v="S12000027"/>
    <x v="15"/>
    <n v="122"/>
    <m/>
    <n v="122"/>
    <m/>
    <m/>
    <n v="0"/>
    <n v="0"/>
  </r>
  <r>
    <x v="3"/>
    <x v="0"/>
    <s v="S12000028"/>
    <x v="16"/>
    <n v="102"/>
    <m/>
    <n v="48"/>
    <m/>
    <m/>
    <n v="0"/>
    <n v="54"/>
  </r>
  <r>
    <x v="3"/>
    <x v="0"/>
    <s v="S12000029"/>
    <x v="17"/>
    <n v="248"/>
    <m/>
    <n v="74"/>
    <m/>
    <m/>
    <n v="3"/>
    <n v="171"/>
  </r>
  <r>
    <x v="3"/>
    <x v="0"/>
    <s v="S12000030"/>
    <x v="18"/>
    <n v="126"/>
    <m/>
    <n v="73"/>
    <m/>
    <m/>
    <n v="0"/>
    <n v="53"/>
  </r>
  <r>
    <x v="3"/>
    <x v="0"/>
    <s v="S12000033"/>
    <x v="19"/>
    <n v="163"/>
    <m/>
    <n v="8"/>
    <m/>
    <m/>
    <n v="0"/>
    <n v="155"/>
  </r>
  <r>
    <x v="3"/>
    <x v="0"/>
    <s v="S12000034"/>
    <x v="20"/>
    <n v="307"/>
    <m/>
    <n v="282"/>
    <m/>
    <m/>
    <n v="0"/>
    <n v="25"/>
  </r>
  <r>
    <x v="3"/>
    <x v="0"/>
    <s v="S12000035"/>
    <x v="21"/>
    <n v="428"/>
    <m/>
    <n v="185"/>
    <m/>
    <m/>
    <n v="200"/>
    <n v="43"/>
  </r>
  <r>
    <x v="3"/>
    <x v="0"/>
    <s v="S12000036"/>
    <x v="22"/>
    <n v="325"/>
    <m/>
    <n v="12"/>
    <m/>
    <m/>
    <n v="0"/>
    <n v="313"/>
  </r>
  <r>
    <x v="3"/>
    <x v="0"/>
    <s v="S12000038"/>
    <x v="23"/>
    <n v="110"/>
    <m/>
    <n v="13"/>
    <m/>
    <m/>
    <n v="0"/>
    <n v="97"/>
  </r>
  <r>
    <x v="3"/>
    <x v="0"/>
    <s v="S12000039"/>
    <x v="24"/>
    <n v="86"/>
    <m/>
    <n v="17"/>
    <m/>
    <m/>
    <n v="0"/>
    <n v="69"/>
  </r>
  <r>
    <x v="3"/>
    <x v="0"/>
    <s v="S12000040"/>
    <x v="25"/>
    <n v="124"/>
    <m/>
    <n v="64"/>
    <m/>
    <m/>
    <n v="0"/>
    <n v="60"/>
  </r>
  <r>
    <x v="3"/>
    <x v="0"/>
    <s v="S12000041"/>
    <x v="26"/>
    <n v="119"/>
    <m/>
    <n v="94"/>
    <m/>
    <m/>
    <n v="0"/>
    <n v="25"/>
  </r>
  <r>
    <x v="3"/>
    <x v="0"/>
    <s v="S12000042"/>
    <x v="27"/>
    <n v="205"/>
    <m/>
    <n v="13"/>
    <m/>
    <m/>
    <n v="0"/>
    <n v="192"/>
  </r>
  <r>
    <x v="3"/>
    <x v="0"/>
    <s v="S12000044"/>
    <x v="28"/>
    <n v="208"/>
    <m/>
    <n v="35"/>
    <m/>
    <m/>
    <n v="0"/>
    <n v="173"/>
  </r>
  <r>
    <x v="3"/>
    <x v="0"/>
    <s v="S12000045"/>
    <x v="29"/>
    <n v="68"/>
    <m/>
    <n v="0"/>
    <m/>
    <m/>
    <n v="0"/>
    <n v="68"/>
  </r>
  <r>
    <x v="3"/>
    <x v="0"/>
    <s v="S12000046"/>
    <x v="30"/>
    <n v="475"/>
    <m/>
    <n v="0"/>
    <m/>
    <m/>
    <n v="0"/>
    <n v="475"/>
  </r>
  <r>
    <x v="3"/>
    <x v="0"/>
    <s v="S12000047"/>
    <x v="31"/>
    <n v="379"/>
    <m/>
    <n v="109"/>
    <m/>
    <m/>
    <n v="0"/>
    <n v="270"/>
  </r>
  <r>
    <x v="3"/>
    <x v="1"/>
    <s v="S39000001"/>
    <x v="19"/>
    <n v="14"/>
    <m/>
    <m/>
    <m/>
    <m/>
    <m/>
    <n v="14"/>
  </r>
  <r>
    <x v="3"/>
    <x v="1"/>
    <s v="S39000002"/>
    <x v="32"/>
    <n v="25"/>
    <m/>
    <m/>
    <m/>
    <m/>
    <m/>
    <n v="25"/>
  </r>
  <r>
    <x v="3"/>
    <x v="1"/>
    <s v="S39000003"/>
    <x v="33"/>
    <n v="26"/>
    <m/>
    <m/>
    <m/>
    <m/>
    <m/>
    <n v="26"/>
  </r>
  <r>
    <x v="3"/>
    <x v="1"/>
    <s v="S39000004"/>
    <x v="1"/>
    <n v="22"/>
    <m/>
    <m/>
    <m/>
    <m/>
    <m/>
    <n v="22"/>
  </r>
  <r>
    <x v="3"/>
    <x v="1"/>
    <s v="S39000006"/>
    <x v="34"/>
    <n v="30"/>
    <m/>
    <m/>
    <m/>
    <m/>
    <m/>
    <n v="30"/>
  </r>
  <r>
    <x v="3"/>
    <x v="1"/>
    <s v="S39000007"/>
    <x v="35"/>
    <n v="31"/>
    <m/>
    <m/>
    <m/>
    <m/>
    <m/>
    <n v="31"/>
  </r>
  <r>
    <x v="3"/>
    <x v="1"/>
    <s v="S39000008"/>
    <x v="36"/>
    <n v="18"/>
    <m/>
    <m/>
    <m/>
    <m/>
    <m/>
    <n v="18"/>
  </r>
  <r>
    <x v="3"/>
    <x v="1"/>
    <s v="S39000009"/>
    <x v="37"/>
    <n v="27"/>
    <m/>
    <m/>
    <m/>
    <m/>
    <m/>
    <n v="27"/>
  </r>
  <r>
    <x v="3"/>
    <x v="1"/>
    <s v="S39000010"/>
    <x v="38"/>
    <n v="21"/>
    <m/>
    <m/>
    <m/>
    <m/>
    <m/>
    <n v="21"/>
  </r>
  <r>
    <x v="3"/>
    <x v="1"/>
    <s v="S39000012"/>
    <x v="30"/>
    <n v="25"/>
    <m/>
    <m/>
    <m/>
    <m/>
    <m/>
    <n v="25"/>
  </r>
  <r>
    <x v="3"/>
    <x v="1"/>
    <s v="S39000013"/>
    <x v="39"/>
    <n v="37"/>
    <m/>
    <m/>
    <m/>
    <m/>
    <m/>
    <n v="37"/>
  </r>
  <r>
    <x v="3"/>
    <x v="1"/>
    <s v="S39000014"/>
    <x v="28"/>
    <n v="15"/>
    <m/>
    <m/>
    <m/>
    <m/>
    <m/>
    <n v="15"/>
  </r>
  <r>
    <x v="3"/>
    <x v="1"/>
    <s v="S39000015"/>
    <x v="17"/>
    <n v="15"/>
    <m/>
    <m/>
    <m/>
    <m/>
    <m/>
    <n v="15"/>
  </r>
  <r>
    <x v="3"/>
    <x v="1"/>
    <s v="S39000016"/>
    <x v="40"/>
    <n v="15"/>
    <m/>
    <m/>
    <m/>
    <m/>
    <m/>
    <n v="15"/>
  </r>
  <r>
    <x v="3"/>
    <x v="1"/>
    <s v="S39000017"/>
    <x v="41"/>
    <n v="16"/>
    <m/>
    <m/>
    <m/>
    <m/>
    <m/>
    <n v="16"/>
  </r>
  <r>
    <x v="3"/>
    <x v="1"/>
    <s v="S39000018"/>
    <x v="42"/>
    <n v="28"/>
    <m/>
    <m/>
    <m/>
    <m/>
    <m/>
    <n v="28"/>
  </r>
  <r>
    <x v="3"/>
    <x v="1"/>
    <s v="S39000019"/>
    <x v="31"/>
    <n v="24"/>
    <m/>
    <m/>
    <m/>
    <m/>
    <m/>
    <n v="24"/>
  </r>
  <r>
    <x v="3"/>
    <x v="2"/>
    <s v="S40000003"/>
    <x v="43"/>
    <n v="340"/>
    <m/>
    <m/>
    <m/>
    <n v="272"/>
    <m/>
    <n v="68"/>
  </r>
  <r>
    <x v="3"/>
    <x v="2"/>
    <s v="S40000004"/>
    <x v="44"/>
    <n v="202"/>
    <m/>
    <m/>
    <m/>
    <n v="164"/>
    <m/>
    <n v="38"/>
  </r>
  <r>
    <x v="3"/>
    <x v="2"/>
    <s v="S40000005"/>
    <x v="45"/>
    <n v="180"/>
    <m/>
    <m/>
    <m/>
    <n v="135"/>
    <m/>
    <n v="45"/>
  </r>
  <r>
    <x v="3"/>
    <x v="3"/>
    <s v="S92000003"/>
    <x v="46"/>
    <n v="614"/>
    <n v="165"/>
    <m/>
    <m/>
    <n v="267"/>
    <m/>
    <n v="182"/>
  </r>
  <r>
    <x v="4"/>
    <x v="0"/>
    <s v="S12000005"/>
    <x v="0"/>
    <n v="47"/>
    <m/>
    <n v="22"/>
    <m/>
    <m/>
    <m/>
    <n v="25"/>
  </r>
  <r>
    <x v="4"/>
    <x v="0"/>
    <s v="S12000006"/>
    <x v="1"/>
    <n v="247"/>
    <m/>
    <n v="189"/>
    <m/>
    <m/>
    <n v="4"/>
    <n v="54"/>
  </r>
  <r>
    <x v="4"/>
    <x v="0"/>
    <s v="S12000008"/>
    <x v="2"/>
    <n v="131"/>
    <m/>
    <n v="82"/>
    <m/>
    <m/>
    <m/>
    <n v="49"/>
  </r>
  <r>
    <x v="4"/>
    <x v="0"/>
    <s v="S12000010"/>
    <x v="3"/>
    <n v="79"/>
    <m/>
    <n v="56"/>
    <m/>
    <m/>
    <m/>
    <n v="23"/>
  </r>
  <r>
    <x v="4"/>
    <x v="0"/>
    <s v="S12000011"/>
    <x v="4"/>
    <n v="51"/>
    <m/>
    <m/>
    <m/>
    <m/>
    <m/>
    <n v="51"/>
  </r>
  <r>
    <x v="4"/>
    <x v="0"/>
    <s v="S12000013"/>
    <x v="5"/>
    <n v="131"/>
    <m/>
    <n v="131"/>
    <m/>
    <m/>
    <m/>
    <m/>
  </r>
  <r>
    <x v="4"/>
    <x v="0"/>
    <s v="S12000014"/>
    <x v="6"/>
    <n v="141"/>
    <m/>
    <n v="54"/>
    <m/>
    <m/>
    <m/>
    <n v="87"/>
  </r>
  <r>
    <x v="4"/>
    <x v="0"/>
    <s v="S12000017"/>
    <x v="7"/>
    <n v="670"/>
    <m/>
    <n v="538"/>
    <m/>
    <m/>
    <n v="64"/>
    <n v="68"/>
  </r>
  <r>
    <x v="4"/>
    <x v="0"/>
    <s v="S12000018"/>
    <x v="8"/>
    <n v="114"/>
    <m/>
    <n v="42"/>
    <m/>
    <m/>
    <m/>
    <n v="72"/>
  </r>
  <r>
    <x v="4"/>
    <x v="0"/>
    <s v="S12000019"/>
    <x v="9"/>
    <n v="40"/>
    <m/>
    <n v="12"/>
    <m/>
    <m/>
    <m/>
    <n v="28"/>
  </r>
  <r>
    <x v="4"/>
    <x v="0"/>
    <s v="S12000020"/>
    <x v="10"/>
    <n v="149"/>
    <m/>
    <n v="120"/>
    <m/>
    <m/>
    <n v="4"/>
    <n v="29"/>
  </r>
  <r>
    <x v="4"/>
    <x v="0"/>
    <s v="S12000021"/>
    <x v="11"/>
    <n v="205"/>
    <m/>
    <n v="106"/>
    <m/>
    <m/>
    <n v="23"/>
    <n v="76"/>
  </r>
  <r>
    <x v="4"/>
    <x v="0"/>
    <s v="S12000023"/>
    <x v="12"/>
    <n v="100"/>
    <m/>
    <n v="100"/>
    <m/>
    <m/>
    <m/>
    <m/>
  </r>
  <r>
    <x v="4"/>
    <x v="0"/>
    <s v="S12000024"/>
    <x v="13"/>
    <n v="223"/>
    <m/>
    <n v="126"/>
    <m/>
    <m/>
    <n v="28"/>
    <n v="69"/>
  </r>
  <r>
    <x v="4"/>
    <x v="0"/>
    <s v="S12000026"/>
    <x v="14"/>
    <n v="194"/>
    <m/>
    <n v="143"/>
    <m/>
    <m/>
    <m/>
    <n v="51"/>
  </r>
  <r>
    <x v="4"/>
    <x v="0"/>
    <s v="S12000027"/>
    <x v="15"/>
    <n v="118"/>
    <m/>
    <n v="118"/>
    <m/>
    <m/>
    <m/>
    <m/>
  </r>
  <r>
    <x v="4"/>
    <x v="0"/>
    <s v="S12000028"/>
    <x v="16"/>
    <n v="99"/>
    <m/>
    <n v="49"/>
    <m/>
    <m/>
    <m/>
    <n v="50"/>
  </r>
  <r>
    <x v="4"/>
    <x v="0"/>
    <s v="S12000029"/>
    <x v="17"/>
    <n v="241"/>
    <m/>
    <n v="73"/>
    <m/>
    <m/>
    <n v="2"/>
    <n v="166"/>
  </r>
  <r>
    <x v="4"/>
    <x v="0"/>
    <s v="S12000030"/>
    <x v="18"/>
    <n v="122"/>
    <m/>
    <n v="74"/>
    <m/>
    <m/>
    <m/>
    <n v="48"/>
  </r>
  <r>
    <x v="4"/>
    <x v="0"/>
    <s v="S12000033"/>
    <x v="19"/>
    <n v="153"/>
    <m/>
    <n v="8"/>
    <m/>
    <m/>
    <m/>
    <n v="145"/>
  </r>
  <r>
    <x v="4"/>
    <x v="0"/>
    <s v="S12000034"/>
    <x v="20"/>
    <n v="299"/>
    <m/>
    <n v="275"/>
    <m/>
    <m/>
    <m/>
    <n v="24"/>
  </r>
  <r>
    <x v="4"/>
    <x v="0"/>
    <s v="S12000035"/>
    <x v="21"/>
    <n v="438"/>
    <m/>
    <n v="177"/>
    <m/>
    <m/>
    <n v="211"/>
    <n v="50"/>
  </r>
  <r>
    <x v="4"/>
    <x v="0"/>
    <s v="S12000036"/>
    <x v="22"/>
    <n v="304"/>
    <m/>
    <n v="11"/>
    <m/>
    <m/>
    <m/>
    <n v="293"/>
  </r>
  <r>
    <x v="4"/>
    <x v="0"/>
    <s v="S12000038"/>
    <x v="23"/>
    <n v="110"/>
    <m/>
    <n v="16"/>
    <m/>
    <m/>
    <m/>
    <n v="94"/>
  </r>
  <r>
    <x v="4"/>
    <x v="0"/>
    <s v="S12000039"/>
    <x v="24"/>
    <n v="86"/>
    <m/>
    <n v="18"/>
    <m/>
    <m/>
    <m/>
    <n v="68"/>
  </r>
  <r>
    <x v="4"/>
    <x v="0"/>
    <s v="S12000040"/>
    <x v="25"/>
    <n v="123"/>
    <m/>
    <n v="65"/>
    <m/>
    <m/>
    <m/>
    <n v="58"/>
  </r>
  <r>
    <x v="4"/>
    <x v="0"/>
    <s v="S12000041"/>
    <x v="26"/>
    <n v="121"/>
    <m/>
    <n v="93"/>
    <m/>
    <m/>
    <m/>
    <n v="28"/>
  </r>
  <r>
    <x v="4"/>
    <x v="0"/>
    <s v="S12000042"/>
    <x v="27"/>
    <n v="191"/>
    <m/>
    <n v="13"/>
    <m/>
    <m/>
    <m/>
    <n v="178"/>
  </r>
  <r>
    <x v="4"/>
    <x v="0"/>
    <s v="S12000044"/>
    <x v="28"/>
    <n v="200"/>
    <m/>
    <n v="37"/>
    <m/>
    <m/>
    <m/>
    <n v="163"/>
  </r>
  <r>
    <x v="4"/>
    <x v="0"/>
    <s v="S12000045"/>
    <x v="29"/>
    <n v="78"/>
    <m/>
    <m/>
    <m/>
    <m/>
    <m/>
    <n v="78"/>
  </r>
  <r>
    <x v="4"/>
    <x v="0"/>
    <s v="S12000046"/>
    <x v="30"/>
    <n v="489"/>
    <m/>
    <m/>
    <m/>
    <m/>
    <m/>
    <n v="489"/>
  </r>
  <r>
    <x v="4"/>
    <x v="0"/>
    <s v="S12000047"/>
    <x v="31"/>
    <n v="369"/>
    <m/>
    <n v="115"/>
    <m/>
    <m/>
    <m/>
    <n v="254"/>
  </r>
  <r>
    <x v="4"/>
    <x v="1"/>
    <s v="S39000001"/>
    <x v="19"/>
    <n v="15"/>
    <m/>
    <m/>
    <m/>
    <m/>
    <m/>
    <n v="15"/>
  </r>
  <r>
    <x v="4"/>
    <x v="1"/>
    <s v="S39000002"/>
    <x v="32"/>
    <n v="25"/>
    <m/>
    <m/>
    <m/>
    <m/>
    <m/>
    <n v="25"/>
  </r>
  <r>
    <x v="4"/>
    <x v="1"/>
    <s v="S39000003"/>
    <x v="33"/>
    <n v="26"/>
    <m/>
    <m/>
    <m/>
    <m/>
    <m/>
    <n v="26"/>
  </r>
  <r>
    <x v="4"/>
    <x v="1"/>
    <s v="S39000004"/>
    <x v="1"/>
    <n v="22"/>
    <m/>
    <m/>
    <m/>
    <m/>
    <m/>
    <n v="22"/>
  </r>
  <r>
    <x v="4"/>
    <x v="1"/>
    <s v="S39000006"/>
    <x v="34"/>
    <n v="27"/>
    <m/>
    <m/>
    <m/>
    <m/>
    <m/>
    <n v="27"/>
  </r>
  <r>
    <x v="4"/>
    <x v="1"/>
    <s v="S39000007"/>
    <x v="35"/>
    <n v="27"/>
    <m/>
    <m/>
    <m/>
    <m/>
    <m/>
    <n v="27"/>
  </r>
  <r>
    <x v="4"/>
    <x v="1"/>
    <s v="S39000008"/>
    <x v="36"/>
    <n v="16"/>
    <m/>
    <m/>
    <m/>
    <m/>
    <m/>
    <n v="16"/>
  </r>
  <r>
    <x v="4"/>
    <x v="1"/>
    <s v="S39000009"/>
    <x v="37"/>
    <n v="31"/>
    <m/>
    <m/>
    <m/>
    <m/>
    <m/>
    <n v="31"/>
  </r>
  <r>
    <x v="4"/>
    <x v="1"/>
    <s v="S39000010"/>
    <x v="38"/>
    <n v="19"/>
    <m/>
    <m/>
    <m/>
    <m/>
    <m/>
    <n v="19"/>
  </r>
  <r>
    <x v="4"/>
    <x v="1"/>
    <s v="S39000012"/>
    <x v="30"/>
    <n v="22"/>
    <m/>
    <m/>
    <m/>
    <m/>
    <m/>
    <n v="22"/>
  </r>
  <r>
    <x v="4"/>
    <x v="1"/>
    <s v="S39000013"/>
    <x v="39"/>
    <n v="32"/>
    <m/>
    <m/>
    <m/>
    <m/>
    <m/>
    <n v="32"/>
  </r>
  <r>
    <x v="4"/>
    <x v="1"/>
    <s v="S39000014"/>
    <x v="28"/>
    <n v="17"/>
    <m/>
    <m/>
    <m/>
    <m/>
    <m/>
    <n v="17"/>
  </r>
  <r>
    <x v="4"/>
    <x v="1"/>
    <s v="S39000015"/>
    <x v="17"/>
    <n v="16"/>
    <m/>
    <m/>
    <m/>
    <m/>
    <m/>
    <n v="16"/>
  </r>
  <r>
    <x v="4"/>
    <x v="1"/>
    <s v="S39000016"/>
    <x v="40"/>
    <n v="18"/>
    <m/>
    <m/>
    <m/>
    <m/>
    <m/>
    <n v="18"/>
  </r>
  <r>
    <x v="4"/>
    <x v="1"/>
    <s v="S39000017"/>
    <x v="41"/>
    <n v="19"/>
    <m/>
    <m/>
    <m/>
    <m/>
    <m/>
    <n v="19"/>
  </r>
  <r>
    <x v="4"/>
    <x v="1"/>
    <s v="S39000018"/>
    <x v="42"/>
    <n v="28"/>
    <m/>
    <m/>
    <m/>
    <m/>
    <m/>
    <n v="28"/>
  </r>
  <r>
    <x v="4"/>
    <x v="1"/>
    <s v="S39000019"/>
    <x v="31"/>
    <n v="19"/>
    <m/>
    <m/>
    <m/>
    <m/>
    <m/>
    <n v="19"/>
  </r>
  <r>
    <x v="4"/>
    <x v="2"/>
    <s v="S40000003"/>
    <x v="43"/>
    <n v="373"/>
    <m/>
    <m/>
    <m/>
    <n v="300"/>
    <m/>
    <n v="73"/>
  </r>
  <r>
    <x v="4"/>
    <x v="2"/>
    <s v="S40000004"/>
    <x v="44"/>
    <n v="165"/>
    <m/>
    <m/>
    <m/>
    <n v="128"/>
    <m/>
    <n v="37"/>
  </r>
  <r>
    <x v="4"/>
    <x v="2"/>
    <s v="S40000005"/>
    <x v="45"/>
    <n v="187"/>
    <m/>
    <m/>
    <m/>
    <n v="141"/>
    <m/>
    <n v="46"/>
  </r>
  <r>
    <x v="4"/>
    <x v="3"/>
    <s v="S92000003"/>
    <x v="46"/>
    <n v="609"/>
    <n v="189"/>
    <m/>
    <m/>
    <n v="277"/>
    <m/>
    <n v="143"/>
  </r>
  <r>
    <x v="5"/>
    <x v="0"/>
    <s v="S12000005"/>
    <x v="0"/>
    <n v="45"/>
    <m/>
    <n v="20"/>
    <m/>
    <m/>
    <m/>
    <n v="25"/>
  </r>
  <r>
    <x v="5"/>
    <x v="0"/>
    <s v="S12000006"/>
    <x v="1"/>
    <n v="257"/>
    <m/>
    <n v="198"/>
    <m/>
    <m/>
    <n v="6"/>
    <n v="53"/>
  </r>
  <r>
    <x v="5"/>
    <x v="0"/>
    <s v="S12000008"/>
    <x v="2"/>
    <n v="124"/>
    <m/>
    <n v="77"/>
    <m/>
    <m/>
    <m/>
    <n v="47"/>
  </r>
  <r>
    <x v="5"/>
    <x v="0"/>
    <s v="S12000010"/>
    <x v="3"/>
    <n v="86"/>
    <m/>
    <n v="62"/>
    <m/>
    <m/>
    <m/>
    <n v="24"/>
  </r>
  <r>
    <x v="5"/>
    <x v="0"/>
    <s v="S12000011"/>
    <x v="4"/>
    <n v="52"/>
    <m/>
    <m/>
    <m/>
    <m/>
    <m/>
    <n v="52"/>
  </r>
  <r>
    <x v="5"/>
    <x v="0"/>
    <s v="S12000013"/>
    <x v="5"/>
    <n v="132"/>
    <m/>
    <n v="132"/>
    <m/>
    <m/>
    <m/>
    <m/>
  </r>
  <r>
    <x v="5"/>
    <x v="0"/>
    <s v="S12000014"/>
    <x v="6"/>
    <n v="143"/>
    <m/>
    <n v="55"/>
    <m/>
    <m/>
    <m/>
    <n v="88"/>
  </r>
  <r>
    <x v="5"/>
    <x v="0"/>
    <s v="S12000017"/>
    <x v="7"/>
    <n v="684"/>
    <m/>
    <n v="552"/>
    <m/>
    <m/>
    <n v="62"/>
    <n v="70"/>
  </r>
  <r>
    <x v="5"/>
    <x v="0"/>
    <s v="S12000018"/>
    <x v="8"/>
    <n v="116"/>
    <m/>
    <n v="44"/>
    <m/>
    <m/>
    <m/>
    <n v="72"/>
  </r>
  <r>
    <x v="5"/>
    <x v="0"/>
    <s v="S12000019"/>
    <x v="9"/>
    <n v="39"/>
    <m/>
    <n v="13"/>
    <m/>
    <m/>
    <m/>
    <n v="26"/>
  </r>
  <r>
    <x v="5"/>
    <x v="0"/>
    <s v="S12000020"/>
    <x v="10"/>
    <n v="154"/>
    <m/>
    <n v="120"/>
    <m/>
    <m/>
    <n v="4"/>
    <n v="30"/>
  </r>
  <r>
    <x v="5"/>
    <x v="0"/>
    <s v="S12000021"/>
    <x v="11"/>
    <n v="205"/>
    <m/>
    <n v="107"/>
    <m/>
    <m/>
    <n v="22"/>
    <n v="76"/>
  </r>
  <r>
    <x v="5"/>
    <x v="0"/>
    <s v="S12000023"/>
    <x v="12"/>
    <n v="109"/>
    <m/>
    <n v="109"/>
    <m/>
    <m/>
    <m/>
    <m/>
  </r>
  <r>
    <x v="5"/>
    <x v="0"/>
    <s v="S12000024"/>
    <x v="13"/>
    <n v="222"/>
    <m/>
    <n v="131"/>
    <m/>
    <m/>
    <n v="22"/>
    <n v="69"/>
  </r>
  <r>
    <x v="5"/>
    <x v="0"/>
    <s v="S12000026"/>
    <x v="14"/>
    <n v="199"/>
    <m/>
    <n v="143"/>
    <m/>
    <m/>
    <m/>
    <n v="56"/>
  </r>
  <r>
    <x v="5"/>
    <x v="0"/>
    <s v="S12000027"/>
    <x v="15"/>
    <n v="127"/>
    <m/>
    <n v="127"/>
    <m/>
    <m/>
    <m/>
    <m/>
  </r>
  <r>
    <x v="5"/>
    <x v="0"/>
    <s v="S12000028"/>
    <x v="16"/>
    <n v="108"/>
    <m/>
    <n v="58"/>
    <m/>
    <m/>
    <m/>
    <n v="50"/>
  </r>
  <r>
    <x v="5"/>
    <x v="0"/>
    <s v="S12000029"/>
    <x v="17"/>
    <n v="246"/>
    <m/>
    <n v="77"/>
    <m/>
    <m/>
    <n v="2"/>
    <n v="167"/>
  </r>
  <r>
    <x v="5"/>
    <x v="0"/>
    <s v="S12000030"/>
    <x v="18"/>
    <n v="124"/>
    <m/>
    <n v="75"/>
    <m/>
    <m/>
    <m/>
    <n v="49"/>
  </r>
  <r>
    <x v="5"/>
    <x v="0"/>
    <s v="S12000033"/>
    <x v="19"/>
    <n v="163"/>
    <m/>
    <n v="9"/>
    <m/>
    <m/>
    <m/>
    <n v="154"/>
  </r>
  <r>
    <x v="5"/>
    <x v="0"/>
    <s v="S12000034"/>
    <x v="20"/>
    <n v="314"/>
    <m/>
    <n v="284"/>
    <m/>
    <m/>
    <m/>
    <n v="30"/>
  </r>
  <r>
    <x v="5"/>
    <x v="0"/>
    <s v="S12000035"/>
    <x v="21"/>
    <n v="433"/>
    <m/>
    <n v="176"/>
    <m/>
    <m/>
    <n v="203"/>
    <n v="54"/>
  </r>
  <r>
    <x v="5"/>
    <x v="0"/>
    <s v="S12000036"/>
    <x v="22"/>
    <n v="306"/>
    <m/>
    <n v="9"/>
    <m/>
    <m/>
    <m/>
    <n v="297"/>
  </r>
  <r>
    <x v="5"/>
    <x v="0"/>
    <s v="S12000038"/>
    <x v="23"/>
    <n v="116"/>
    <m/>
    <n v="17"/>
    <m/>
    <m/>
    <m/>
    <n v="99"/>
  </r>
  <r>
    <x v="5"/>
    <x v="0"/>
    <s v="S12000039"/>
    <x v="24"/>
    <n v="93"/>
    <m/>
    <n v="20"/>
    <m/>
    <m/>
    <m/>
    <n v="73"/>
  </r>
  <r>
    <x v="5"/>
    <x v="0"/>
    <s v="S12000040"/>
    <x v="25"/>
    <n v="115"/>
    <m/>
    <n v="59"/>
    <m/>
    <m/>
    <m/>
    <n v="56"/>
  </r>
  <r>
    <x v="5"/>
    <x v="0"/>
    <s v="S12000041"/>
    <x v="26"/>
    <n v="126"/>
    <m/>
    <n v="98"/>
    <m/>
    <m/>
    <m/>
    <n v="28"/>
  </r>
  <r>
    <x v="5"/>
    <x v="0"/>
    <s v="S12000042"/>
    <x v="27"/>
    <n v="189"/>
    <m/>
    <n v="12"/>
    <m/>
    <m/>
    <m/>
    <n v="177"/>
  </r>
  <r>
    <x v="5"/>
    <x v="0"/>
    <s v="S12000044"/>
    <x v="28"/>
    <n v="201"/>
    <m/>
    <n v="35"/>
    <m/>
    <m/>
    <m/>
    <n v="166"/>
  </r>
  <r>
    <x v="5"/>
    <x v="0"/>
    <s v="S12000045"/>
    <x v="29"/>
    <n v="78"/>
    <m/>
    <m/>
    <m/>
    <m/>
    <m/>
    <n v="78"/>
  </r>
  <r>
    <x v="5"/>
    <x v="0"/>
    <s v="S12000046"/>
    <x v="30"/>
    <n v="515"/>
    <m/>
    <m/>
    <m/>
    <m/>
    <m/>
    <n v="515"/>
  </r>
  <r>
    <x v="5"/>
    <x v="0"/>
    <s v="S12000047"/>
    <x v="31"/>
    <n v="390"/>
    <m/>
    <n v="116"/>
    <m/>
    <m/>
    <m/>
    <n v="274"/>
  </r>
  <r>
    <x v="5"/>
    <x v="1"/>
    <s v="S39000001"/>
    <x v="19"/>
    <n v="16"/>
    <m/>
    <m/>
    <m/>
    <m/>
    <m/>
    <n v="16"/>
  </r>
  <r>
    <x v="5"/>
    <x v="1"/>
    <s v="S39000002"/>
    <x v="32"/>
    <n v="27"/>
    <m/>
    <m/>
    <n v="2"/>
    <m/>
    <m/>
    <n v="25"/>
  </r>
  <r>
    <x v="5"/>
    <x v="1"/>
    <s v="S39000003"/>
    <x v="33"/>
    <n v="27"/>
    <m/>
    <m/>
    <n v="1"/>
    <m/>
    <m/>
    <n v="26"/>
  </r>
  <r>
    <x v="5"/>
    <x v="1"/>
    <s v="S39000004"/>
    <x v="1"/>
    <n v="23"/>
    <m/>
    <m/>
    <n v="1"/>
    <m/>
    <m/>
    <n v="22"/>
  </r>
  <r>
    <x v="5"/>
    <x v="1"/>
    <s v="S39000006"/>
    <x v="34"/>
    <n v="26"/>
    <m/>
    <m/>
    <n v="1"/>
    <m/>
    <m/>
    <n v="25"/>
  </r>
  <r>
    <x v="5"/>
    <x v="1"/>
    <s v="S39000007"/>
    <x v="35"/>
    <n v="27"/>
    <m/>
    <m/>
    <n v="2"/>
    <m/>
    <m/>
    <n v="25"/>
  </r>
  <r>
    <x v="5"/>
    <x v="1"/>
    <s v="S39000008"/>
    <x v="36"/>
    <n v="14"/>
    <m/>
    <m/>
    <m/>
    <m/>
    <m/>
    <n v="14"/>
  </r>
  <r>
    <x v="5"/>
    <x v="1"/>
    <s v="S39000009"/>
    <x v="37"/>
    <n v="30"/>
    <m/>
    <m/>
    <m/>
    <m/>
    <m/>
    <n v="30"/>
  </r>
  <r>
    <x v="5"/>
    <x v="1"/>
    <s v="S39000010"/>
    <x v="38"/>
    <n v="20"/>
    <m/>
    <m/>
    <m/>
    <m/>
    <m/>
    <n v="20"/>
  </r>
  <r>
    <x v="5"/>
    <x v="1"/>
    <s v="S39000012"/>
    <x v="30"/>
    <n v="25"/>
    <m/>
    <m/>
    <m/>
    <m/>
    <m/>
    <n v="25"/>
  </r>
  <r>
    <x v="5"/>
    <x v="1"/>
    <s v="S39000013"/>
    <x v="39"/>
    <n v="49"/>
    <m/>
    <m/>
    <n v="4"/>
    <m/>
    <m/>
    <n v="45"/>
  </r>
  <r>
    <x v="5"/>
    <x v="1"/>
    <s v="S39000014"/>
    <x v="28"/>
    <n v="17"/>
    <m/>
    <m/>
    <m/>
    <m/>
    <m/>
    <n v="17"/>
  </r>
  <r>
    <x v="5"/>
    <x v="1"/>
    <s v="S39000015"/>
    <x v="17"/>
    <n v="17"/>
    <m/>
    <m/>
    <n v="1"/>
    <m/>
    <m/>
    <n v="16"/>
  </r>
  <r>
    <x v="5"/>
    <x v="1"/>
    <s v="S39000016"/>
    <x v="40"/>
    <n v="19"/>
    <m/>
    <m/>
    <n v="1"/>
    <m/>
    <m/>
    <n v="18"/>
  </r>
  <r>
    <x v="5"/>
    <x v="1"/>
    <s v="S39000017"/>
    <x v="41"/>
    <n v="19"/>
    <m/>
    <m/>
    <n v="3"/>
    <m/>
    <m/>
    <n v="16"/>
  </r>
  <r>
    <x v="5"/>
    <x v="1"/>
    <s v="S39000018"/>
    <x v="42"/>
    <n v="30"/>
    <m/>
    <m/>
    <n v="1"/>
    <m/>
    <m/>
    <n v="29"/>
  </r>
  <r>
    <x v="5"/>
    <x v="1"/>
    <s v="S39000019"/>
    <x v="31"/>
    <n v="19"/>
    <m/>
    <m/>
    <n v="1"/>
    <m/>
    <m/>
    <n v="18"/>
  </r>
  <r>
    <x v="5"/>
    <x v="2"/>
    <s v="S40000003"/>
    <x v="43"/>
    <n v="325"/>
    <m/>
    <m/>
    <m/>
    <n v="246"/>
    <m/>
    <n v="79"/>
  </r>
  <r>
    <x v="5"/>
    <x v="2"/>
    <s v="S40000004"/>
    <x v="44"/>
    <n v="139"/>
    <m/>
    <m/>
    <m/>
    <n v="102"/>
    <m/>
    <n v="37"/>
  </r>
  <r>
    <x v="5"/>
    <x v="2"/>
    <s v="S40000005"/>
    <x v="45"/>
    <n v="171"/>
    <m/>
    <m/>
    <m/>
    <n v="141"/>
    <m/>
    <n v="30"/>
  </r>
  <r>
    <x v="5"/>
    <x v="3"/>
    <s v="S92000003"/>
    <x v="46"/>
    <n v="659"/>
    <n v="207"/>
    <m/>
    <m/>
    <n v="303"/>
    <m/>
    <n v="149"/>
  </r>
  <r>
    <x v="6"/>
    <x v="0"/>
    <s v="S40000003"/>
    <x v="21"/>
    <n v="439"/>
    <m/>
    <n v="174"/>
    <m/>
    <m/>
    <n v="212"/>
    <n v="53"/>
  </r>
  <r>
    <x v="6"/>
    <x v="0"/>
    <s v="S40000003"/>
    <x v="1"/>
    <n v="249"/>
    <m/>
    <n v="192"/>
    <m/>
    <m/>
    <n v="5"/>
    <n v="52"/>
  </r>
  <r>
    <x v="6"/>
    <x v="0"/>
    <s v="S40000003"/>
    <x v="2"/>
    <n v="129"/>
    <m/>
    <n v="80"/>
    <m/>
    <m/>
    <m/>
    <n v="49"/>
  </r>
  <r>
    <x v="6"/>
    <x v="0"/>
    <s v="S40000003"/>
    <x v="29"/>
    <n v="79"/>
    <m/>
    <m/>
    <m/>
    <m/>
    <m/>
    <n v="79"/>
  </r>
  <r>
    <x v="6"/>
    <x v="0"/>
    <s v="S40000003"/>
    <x v="4"/>
    <n v="50"/>
    <m/>
    <m/>
    <m/>
    <m/>
    <m/>
    <n v="50"/>
  </r>
  <r>
    <x v="6"/>
    <x v="0"/>
    <s v="S40000003"/>
    <x v="30"/>
    <n v="517"/>
    <m/>
    <m/>
    <m/>
    <m/>
    <m/>
    <n v="517"/>
  </r>
  <r>
    <x v="6"/>
    <x v="0"/>
    <s v="S40000003"/>
    <x v="8"/>
    <n v="112"/>
    <m/>
    <n v="42"/>
    <m/>
    <m/>
    <m/>
    <n v="70"/>
  </r>
  <r>
    <x v="6"/>
    <x v="0"/>
    <s v="S40000003"/>
    <x v="11"/>
    <n v="201"/>
    <m/>
    <n v="104"/>
    <m/>
    <m/>
    <n v="22"/>
    <n v="75"/>
  </r>
  <r>
    <x v="6"/>
    <x v="0"/>
    <s v="S40000003"/>
    <x v="28"/>
    <n v="200"/>
    <m/>
    <n v="37"/>
    <m/>
    <m/>
    <m/>
    <n v="163"/>
  </r>
  <r>
    <x v="6"/>
    <x v="0"/>
    <s v="S40000003"/>
    <x v="23"/>
    <n v="117"/>
    <m/>
    <n v="15"/>
    <m/>
    <m/>
    <m/>
    <n v="102"/>
  </r>
  <r>
    <x v="6"/>
    <x v="0"/>
    <s v="S40000003"/>
    <x v="16"/>
    <n v="105"/>
    <m/>
    <n v="55"/>
    <m/>
    <m/>
    <m/>
    <n v="50"/>
  </r>
  <r>
    <x v="6"/>
    <x v="0"/>
    <s v="S40000003"/>
    <x v="17"/>
    <n v="256"/>
    <m/>
    <n v="86"/>
    <m/>
    <m/>
    <n v="2"/>
    <n v="168"/>
  </r>
  <r>
    <x v="6"/>
    <x v="0"/>
    <s v="S40000003"/>
    <x v="24"/>
    <n v="93"/>
    <m/>
    <n v="20"/>
    <m/>
    <m/>
    <m/>
    <n v="73"/>
  </r>
  <r>
    <x v="6"/>
    <x v="0"/>
    <s v="S40000004"/>
    <x v="22"/>
    <n v="314"/>
    <m/>
    <n v="8"/>
    <m/>
    <m/>
    <m/>
    <n v="306"/>
  </r>
  <r>
    <x v="6"/>
    <x v="0"/>
    <s v="S40000004"/>
    <x v="0"/>
    <n v="50"/>
    <m/>
    <n v="25"/>
    <m/>
    <m/>
    <m/>
    <n v="25"/>
  </r>
  <r>
    <x v="6"/>
    <x v="0"/>
    <s v="S40000004"/>
    <x v="3"/>
    <n v="90"/>
    <m/>
    <n v="65"/>
    <m/>
    <m/>
    <m/>
    <n v="25"/>
  </r>
  <r>
    <x v="6"/>
    <x v="0"/>
    <s v="S40000004"/>
    <x v="6"/>
    <n v="145"/>
    <m/>
    <n v="57"/>
    <m/>
    <m/>
    <m/>
    <n v="88"/>
  </r>
  <r>
    <x v="6"/>
    <x v="0"/>
    <s v="S40000004"/>
    <x v="31"/>
    <n v="382"/>
    <m/>
    <n v="113"/>
    <m/>
    <m/>
    <m/>
    <n v="269"/>
  </r>
  <r>
    <x v="6"/>
    <x v="0"/>
    <s v="S40000004"/>
    <x v="9"/>
    <n v="39"/>
    <m/>
    <n v="13"/>
    <m/>
    <m/>
    <m/>
    <n v="26"/>
  </r>
  <r>
    <x v="6"/>
    <x v="0"/>
    <s v="S40000004"/>
    <x v="14"/>
    <n v="201"/>
    <m/>
    <n v="148"/>
    <m/>
    <m/>
    <m/>
    <n v="53"/>
  </r>
  <r>
    <x v="6"/>
    <x v="0"/>
    <s v="S40000004"/>
    <x v="18"/>
    <n v="126"/>
    <m/>
    <n v="75"/>
    <m/>
    <m/>
    <m/>
    <n v="51"/>
  </r>
  <r>
    <x v="6"/>
    <x v="0"/>
    <s v="S40000004"/>
    <x v="25"/>
    <n v="123"/>
    <m/>
    <n v="65"/>
    <m/>
    <m/>
    <m/>
    <n v="58"/>
  </r>
  <r>
    <x v="6"/>
    <x v="0"/>
    <s v="S40000005"/>
    <x v="19"/>
    <n v="163"/>
    <m/>
    <n v="8"/>
    <m/>
    <m/>
    <m/>
    <n v="155"/>
  </r>
  <r>
    <x v="6"/>
    <x v="0"/>
    <s v="S40000005"/>
    <x v="20"/>
    <n v="317"/>
    <m/>
    <n v="285"/>
    <m/>
    <m/>
    <m/>
    <n v="32"/>
  </r>
  <r>
    <x v="6"/>
    <x v="0"/>
    <s v="S40000005"/>
    <x v="26"/>
    <n v="130"/>
    <m/>
    <n v="103"/>
    <m/>
    <m/>
    <m/>
    <n v="27"/>
  </r>
  <r>
    <x v="6"/>
    <x v="0"/>
    <s v="S40000005"/>
    <x v="27"/>
    <n v="194"/>
    <m/>
    <n v="12"/>
    <m/>
    <m/>
    <m/>
    <n v="182"/>
  </r>
  <r>
    <x v="6"/>
    <x v="0"/>
    <s v="S40000005"/>
    <x v="7"/>
    <n v="645"/>
    <m/>
    <n v="525"/>
    <m/>
    <m/>
    <n v="49"/>
    <n v="71"/>
  </r>
  <r>
    <x v="6"/>
    <x v="0"/>
    <s v="S40000005"/>
    <x v="10"/>
    <n v="155"/>
    <m/>
    <n v="121"/>
    <m/>
    <m/>
    <n v="4"/>
    <n v="30"/>
  </r>
  <r>
    <x v="6"/>
    <x v="0"/>
    <s v="S40000005"/>
    <x v="5"/>
    <n v="135"/>
    <m/>
    <n v="135"/>
    <m/>
    <m/>
    <m/>
    <m/>
  </r>
  <r>
    <x v="6"/>
    <x v="0"/>
    <s v="S40000005"/>
    <x v="12"/>
    <n v="109"/>
    <m/>
    <n v="109"/>
    <m/>
    <m/>
    <m/>
    <m/>
  </r>
  <r>
    <x v="6"/>
    <x v="0"/>
    <s v="S40000005"/>
    <x v="13"/>
    <n v="219"/>
    <m/>
    <n v="131"/>
    <m/>
    <m/>
    <n v="21"/>
    <n v="67"/>
  </r>
  <r>
    <x v="6"/>
    <x v="0"/>
    <s v="S40000005"/>
    <x v="15"/>
    <n v="134"/>
    <m/>
    <n v="134"/>
    <m/>
    <m/>
    <m/>
    <m/>
  </r>
  <r>
    <x v="6"/>
    <x v="1"/>
    <m/>
    <x v="47"/>
    <n v="42"/>
    <m/>
    <m/>
    <n v="4"/>
    <m/>
    <m/>
    <n v="38"/>
  </r>
  <r>
    <x v="6"/>
    <x v="1"/>
    <s v="S40000003"/>
    <x v="33"/>
    <n v="31"/>
    <m/>
    <m/>
    <n v="3"/>
    <m/>
    <m/>
    <n v="28"/>
  </r>
  <r>
    <x v="6"/>
    <x v="1"/>
    <s v="S40000003"/>
    <x v="1"/>
    <n v="24"/>
    <m/>
    <m/>
    <n v="2"/>
    <m/>
    <m/>
    <n v="22"/>
  </r>
  <r>
    <x v="6"/>
    <x v="1"/>
    <s v="S40000003"/>
    <x v="34"/>
    <n v="30"/>
    <m/>
    <m/>
    <n v="2"/>
    <m/>
    <m/>
    <n v="28"/>
  </r>
  <r>
    <x v="6"/>
    <x v="1"/>
    <s v="S40000003"/>
    <x v="36"/>
    <n v="13"/>
    <m/>
    <m/>
    <m/>
    <m/>
    <m/>
    <n v="13"/>
  </r>
  <r>
    <x v="6"/>
    <x v="1"/>
    <s v="S40000003"/>
    <x v="30"/>
    <n v="25"/>
    <m/>
    <m/>
    <m/>
    <m/>
    <m/>
    <n v="25"/>
  </r>
  <r>
    <x v="6"/>
    <x v="1"/>
    <s v="S40000003"/>
    <x v="28"/>
    <n v="16"/>
    <m/>
    <m/>
    <m/>
    <m/>
    <m/>
    <n v="16"/>
  </r>
  <r>
    <x v="6"/>
    <x v="1"/>
    <s v="S40000003"/>
    <x v="17"/>
    <n v="18"/>
    <m/>
    <m/>
    <n v="2"/>
    <m/>
    <m/>
    <n v="16"/>
  </r>
  <r>
    <x v="6"/>
    <x v="1"/>
    <s v="S40000004"/>
    <x v="35"/>
    <n v="32"/>
    <m/>
    <m/>
    <n v="3"/>
    <m/>
    <m/>
    <n v="29"/>
  </r>
  <r>
    <x v="6"/>
    <x v="1"/>
    <s v="S40000004"/>
    <x v="37"/>
    <n v="28"/>
    <m/>
    <m/>
    <m/>
    <m/>
    <m/>
    <n v="28"/>
  </r>
  <r>
    <x v="6"/>
    <x v="1"/>
    <s v="S40000004"/>
    <x v="38"/>
    <n v="20"/>
    <m/>
    <m/>
    <n v="1"/>
    <m/>
    <m/>
    <n v="19"/>
  </r>
  <r>
    <x v="6"/>
    <x v="1"/>
    <s v="S40000005"/>
    <x v="19"/>
    <n v="13"/>
    <m/>
    <m/>
    <m/>
    <m/>
    <m/>
    <n v="13"/>
  </r>
  <r>
    <x v="6"/>
    <x v="1"/>
    <s v="S40000005"/>
    <x v="32"/>
    <n v="30"/>
    <m/>
    <m/>
    <n v="5"/>
    <m/>
    <m/>
    <n v="25"/>
  </r>
  <r>
    <x v="6"/>
    <x v="1"/>
    <s v="S40000005"/>
    <x v="42"/>
    <n v="33"/>
    <m/>
    <m/>
    <n v="2"/>
    <m/>
    <m/>
    <n v="31"/>
  </r>
  <r>
    <x v="6"/>
    <x v="1"/>
    <s v="S40000005"/>
    <x v="39"/>
    <n v="45"/>
    <m/>
    <m/>
    <n v="7"/>
    <m/>
    <m/>
    <n v="38"/>
  </r>
  <r>
    <x v="6"/>
    <x v="1"/>
    <s v="S40000005"/>
    <x v="41"/>
    <n v="19"/>
    <m/>
    <m/>
    <n v="5"/>
    <m/>
    <m/>
    <n v="14"/>
  </r>
  <r>
    <x v="6"/>
    <x v="2"/>
    <s v="S40000003"/>
    <x v="43"/>
    <n v="345"/>
    <m/>
    <m/>
    <m/>
    <n v="242"/>
    <m/>
    <n v="103"/>
  </r>
  <r>
    <x v="6"/>
    <x v="2"/>
    <s v="S40000004"/>
    <x v="44"/>
    <n v="147"/>
    <m/>
    <m/>
    <m/>
    <n v="95"/>
    <m/>
    <n v="52"/>
  </r>
  <r>
    <x v="6"/>
    <x v="2"/>
    <s v="S40000005"/>
    <x v="45"/>
    <n v="174"/>
    <m/>
    <m/>
    <m/>
    <n v="132"/>
    <m/>
    <n v="42"/>
  </r>
  <r>
    <x v="6"/>
    <x v="3"/>
    <s v="S92000003"/>
    <x v="46"/>
    <n v="627"/>
    <n v="188"/>
    <m/>
    <m/>
    <n v="349"/>
    <m/>
    <n v="90"/>
  </r>
</pivotCacheRecords>
</file>

<file path=xl/pivotCache/pivotCacheRecords7.xml><?xml version="1.0" encoding="utf-8"?>
<pivotCacheRecords xmlns="http://schemas.openxmlformats.org/spreadsheetml/2006/main" xmlns:r="http://schemas.openxmlformats.org/officeDocument/2006/relationships" count="192">
  <r>
    <x v="0"/>
    <x v="0"/>
    <s v="S12000033"/>
    <n v="3"/>
    <n v="1"/>
    <m/>
    <n v="4"/>
  </r>
  <r>
    <x v="0"/>
    <x v="1"/>
    <s v="S12000034"/>
    <n v="1"/>
    <n v="23"/>
    <m/>
    <n v="24"/>
  </r>
  <r>
    <x v="0"/>
    <x v="2"/>
    <s v="S12000041"/>
    <n v="1"/>
    <n v="5"/>
    <m/>
    <n v="6"/>
  </r>
  <r>
    <x v="0"/>
    <x v="3"/>
    <s v="S12000035"/>
    <n v="2"/>
    <n v="12"/>
    <n v="25"/>
    <n v="39"/>
  </r>
  <r>
    <x v="0"/>
    <x v="4"/>
    <s v="S12000036"/>
    <n v="7"/>
    <n v="1"/>
    <m/>
    <n v="8"/>
  </r>
  <r>
    <x v="0"/>
    <x v="5"/>
    <s v="S12000005"/>
    <n v="1"/>
    <n v="1"/>
    <m/>
    <n v="2"/>
  </r>
  <r>
    <x v="0"/>
    <x v="6"/>
    <s v="S12000006"/>
    <n v="1"/>
    <n v="15"/>
    <n v="1"/>
    <n v="17"/>
  </r>
  <r>
    <x v="0"/>
    <x v="7"/>
    <s v="S12000042"/>
    <n v="4"/>
    <m/>
    <m/>
    <n v="4"/>
  </r>
  <r>
    <x v="0"/>
    <x v="8"/>
    <s v="S12000008"/>
    <n v="1"/>
    <n v="7"/>
    <m/>
    <n v="8"/>
  </r>
  <r>
    <x v="0"/>
    <x v="9"/>
    <s v="S12000045"/>
    <n v="3"/>
    <m/>
    <m/>
    <n v="3"/>
  </r>
  <r>
    <x v="0"/>
    <x v="10"/>
    <s v="S12000010"/>
    <n v="1"/>
    <n v="5"/>
    <m/>
    <n v="6"/>
  </r>
  <r>
    <x v="0"/>
    <x v="11"/>
    <s v="S12000011"/>
    <n v="2"/>
    <m/>
    <m/>
    <n v="2"/>
  </r>
  <r>
    <x v="0"/>
    <x v="12"/>
    <s v="S12000014"/>
    <n v="3"/>
    <n v="2"/>
    <m/>
    <n v="5"/>
  </r>
  <r>
    <x v="0"/>
    <x v="13"/>
    <s v="S12000047"/>
    <n v="5"/>
    <n v="8"/>
    <m/>
    <n v="13"/>
  </r>
  <r>
    <x v="0"/>
    <x v="14"/>
    <s v="S12000046"/>
    <n v="11"/>
    <m/>
    <m/>
    <n v="11"/>
  </r>
  <r>
    <x v="0"/>
    <x v="15"/>
    <s v="S12000017"/>
    <n v="1"/>
    <n v="51"/>
    <n v="9"/>
    <n v="61"/>
  </r>
  <r>
    <x v="0"/>
    <x v="16"/>
    <s v="S12000018"/>
    <n v="2"/>
    <n v="1"/>
    <m/>
    <n v="3"/>
  </r>
  <r>
    <x v="0"/>
    <x v="17"/>
    <s v="S12000019"/>
    <n v="1"/>
    <n v="1"/>
    <m/>
    <n v="2"/>
  </r>
  <r>
    <x v="0"/>
    <x v="18"/>
    <s v="S12000020"/>
    <n v="1"/>
    <n v="10"/>
    <n v="1"/>
    <n v="12"/>
  </r>
  <r>
    <x v="0"/>
    <x v="19"/>
    <s v="S12000013"/>
    <m/>
    <n v="14"/>
    <m/>
    <n v="14"/>
  </r>
  <r>
    <x v="0"/>
    <x v="20"/>
    <s v="S12000021"/>
    <n v="3"/>
    <n v="8"/>
    <n v="3"/>
    <n v="14"/>
  </r>
  <r>
    <x v="0"/>
    <x v="21"/>
    <s v="S12000044"/>
    <n v="4"/>
    <n v="3"/>
    <m/>
    <n v="7"/>
  </r>
  <r>
    <x v="0"/>
    <x v="22"/>
    <s v="S12000023"/>
    <m/>
    <n v="12"/>
    <m/>
    <n v="12"/>
  </r>
  <r>
    <x v="0"/>
    <x v="23"/>
    <s v="S12000024"/>
    <n v="1"/>
    <n v="10"/>
    <n v="3"/>
    <n v="14"/>
  </r>
  <r>
    <x v="0"/>
    <x v="24"/>
    <s v="S12000038"/>
    <n v="3"/>
    <m/>
    <m/>
    <n v="3"/>
  </r>
  <r>
    <x v="0"/>
    <x v="25"/>
    <s v="S12000026"/>
    <n v="2"/>
    <n v="11"/>
    <m/>
    <n v="13"/>
  </r>
  <r>
    <x v="0"/>
    <x v="26"/>
    <s v="S12000027"/>
    <m/>
    <n v="14"/>
    <m/>
    <n v="14"/>
  </r>
  <r>
    <x v="0"/>
    <x v="27"/>
    <s v="S12000028"/>
    <n v="1"/>
    <n v="4"/>
    <m/>
    <n v="5"/>
  </r>
  <r>
    <x v="0"/>
    <x v="28"/>
    <s v="S12000029"/>
    <n v="4"/>
    <n v="7"/>
    <n v="1"/>
    <n v="12"/>
  </r>
  <r>
    <x v="0"/>
    <x v="29"/>
    <s v="S12000030"/>
    <n v="1"/>
    <n v="9"/>
    <m/>
    <n v="10"/>
  </r>
  <r>
    <x v="0"/>
    <x v="30"/>
    <s v="S12000039"/>
    <n v="2"/>
    <n v="1"/>
    <m/>
    <n v="3"/>
  </r>
  <r>
    <x v="0"/>
    <x v="31"/>
    <s v="S12000040"/>
    <n v="2"/>
    <n v="4"/>
    <m/>
    <n v="6"/>
  </r>
  <r>
    <x v="1"/>
    <x v="0"/>
    <s v="S12000033"/>
    <n v="3"/>
    <n v="1"/>
    <m/>
    <n v="4"/>
  </r>
  <r>
    <x v="1"/>
    <x v="1"/>
    <s v="S12000034"/>
    <n v="1"/>
    <n v="23"/>
    <m/>
    <n v="24"/>
  </r>
  <r>
    <x v="1"/>
    <x v="2"/>
    <s v="S12000041"/>
    <n v="1"/>
    <n v="5"/>
    <m/>
    <n v="6"/>
  </r>
  <r>
    <x v="1"/>
    <x v="3"/>
    <s v="S12000035"/>
    <n v="2"/>
    <n v="12"/>
    <n v="25"/>
    <n v="39"/>
  </r>
  <r>
    <x v="1"/>
    <x v="4"/>
    <s v="S12000036"/>
    <n v="7"/>
    <n v="1"/>
    <m/>
    <n v="8"/>
  </r>
  <r>
    <x v="1"/>
    <x v="5"/>
    <s v="S12000005"/>
    <n v="1"/>
    <n v="1"/>
    <m/>
    <n v="2"/>
  </r>
  <r>
    <x v="1"/>
    <x v="6"/>
    <s v="S12000006"/>
    <n v="1"/>
    <n v="15"/>
    <n v="1"/>
    <n v="17"/>
  </r>
  <r>
    <x v="1"/>
    <x v="7"/>
    <s v="S12000042"/>
    <n v="4"/>
    <m/>
    <m/>
    <n v="4"/>
  </r>
  <r>
    <x v="1"/>
    <x v="8"/>
    <s v="S12000008"/>
    <n v="1"/>
    <n v="7"/>
    <m/>
    <n v="8"/>
  </r>
  <r>
    <x v="1"/>
    <x v="9"/>
    <s v="S12000045"/>
    <n v="3"/>
    <m/>
    <m/>
    <n v="3"/>
  </r>
  <r>
    <x v="1"/>
    <x v="10"/>
    <s v="S12000010"/>
    <n v="1"/>
    <n v="5"/>
    <m/>
    <n v="6"/>
  </r>
  <r>
    <x v="1"/>
    <x v="11"/>
    <s v="S12000011"/>
    <n v="2"/>
    <m/>
    <m/>
    <n v="2"/>
  </r>
  <r>
    <x v="1"/>
    <x v="12"/>
    <s v="S12000014"/>
    <n v="3"/>
    <n v="2"/>
    <m/>
    <n v="5"/>
  </r>
  <r>
    <x v="1"/>
    <x v="13"/>
    <s v="S12000047"/>
    <n v="5"/>
    <n v="8"/>
    <m/>
    <n v="13"/>
  </r>
  <r>
    <x v="1"/>
    <x v="14"/>
    <s v="S12000046"/>
    <n v="11"/>
    <m/>
    <m/>
    <n v="11"/>
  </r>
  <r>
    <x v="1"/>
    <x v="15"/>
    <s v="S12000017"/>
    <n v="1"/>
    <n v="51"/>
    <n v="9"/>
    <n v="61"/>
  </r>
  <r>
    <x v="1"/>
    <x v="16"/>
    <s v="S12000018"/>
    <n v="2"/>
    <n v="1"/>
    <m/>
    <n v="3"/>
  </r>
  <r>
    <x v="1"/>
    <x v="17"/>
    <s v="S12000019"/>
    <n v="1"/>
    <n v="1"/>
    <m/>
    <n v="2"/>
  </r>
  <r>
    <x v="1"/>
    <x v="18"/>
    <s v="S12000020"/>
    <n v="1"/>
    <n v="10"/>
    <n v="1"/>
    <n v="12"/>
  </r>
  <r>
    <x v="1"/>
    <x v="19"/>
    <s v="S12000013"/>
    <m/>
    <n v="14"/>
    <m/>
    <n v="14"/>
  </r>
  <r>
    <x v="1"/>
    <x v="20"/>
    <s v="S12000021"/>
    <n v="3"/>
    <n v="8"/>
    <n v="3"/>
    <n v="14"/>
  </r>
  <r>
    <x v="1"/>
    <x v="21"/>
    <s v="S12000044"/>
    <n v="4"/>
    <n v="3"/>
    <m/>
    <n v="7"/>
  </r>
  <r>
    <x v="1"/>
    <x v="22"/>
    <s v="S12000023"/>
    <m/>
    <n v="12"/>
    <m/>
    <n v="12"/>
  </r>
  <r>
    <x v="1"/>
    <x v="23"/>
    <s v="S12000024"/>
    <n v="1"/>
    <n v="10"/>
    <n v="3"/>
    <n v="14"/>
  </r>
  <r>
    <x v="1"/>
    <x v="24"/>
    <s v="S12000038"/>
    <n v="3"/>
    <m/>
    <m/>
    <n v="3"/>
  </r>
  <r>
    <x v="1"/>
    <x v="25"/>
    <s v="S12000026"/>
    <n v="2"/>
    <n v="11"/>
    <m/>
    <n v="13"/>
  </r>
  <r>
    <x v="1"/>
    <x v="26"/>
    <s v="S12000027"/>
    <m/>
    <n v="14"/>
    <m/>
    <n v="14"/>
  </r>
  <r>
    <x v="1"/>
    <x v="27"/>
    <s v="S12000028"/>
    <n v="1"/>
    <n v="4"/>
    <m/>
    <n v="5"/>
  </r>
  <r>
    <x v="1"/>
    <x v="28"/>
    <s v="S12000029"/>
    <n v="4"/>
    <n v="7"/>
    <n v="1"/>
    <n v="12"/>
  </r>
  <r>
    <x v="1"/>
    <x v="29"/>
    <s v="S12000030"/>
    <n v="1"/>
    <n v="9"/>
    <m/>
    <n v="10"/>
  </r>
  <r>
    <x v="1"/>
    <x v="30"/>
    <s v="S12000039"/>
    <n v="2"/>
    <n v="1"/>
    <m/>
    <n v="3"/>
  </r>
  <r>
    <x v="1"/>
    <x v="31"/>
    <s v="S12000040"/>
    <n v="2"/>
    <n v="4"/>
    <m/>
    <n v="6"/>
  </r>
  <r>
    <x v="2"/>
    <x v="0"/>
    <s v="S12000033"/>
    <n v="3"/>
    <n v="1"/>
    <m/>
    <n v="4"/>
  </r>
  <r>
    <x v="2"/>
    <x v="1"/>
    <s v="S12000034"/>
    <n v="1"/>
    <n v="23"/>
    <m/>
    <n v="24"/>
  </r>
  <r>
    <x v="2"/>
    <x v="2"/>
    <s v="S12000041"/>
    <n v="1"/>
    <n v="5"/>
    <m/>
    <n v="6"/>
  </r>
  <r>
    <x v="2"/>
    <x v="3"/>
    <s v="S12000035"/>
    <n v="2"/>
    <n v="12"/>
    <n v="25"/>
    <n v="39"/>
  </r>
  <r>
    <x v="2"/>
    <x v="4"/>
    <s v="S12000036"/>
    <n v="7"/>
    <n v="1"/>
    <m/>
    <n v="8"/>
  </r>
  <r>
    <x v="2"/>
    <x v="5"/>
    <s v="S12000005"/>
    <n v="1"/>
    <n v="1"/>
    <m/>
    <n v="2"/>
  </r>
  <r>
    <x v="2"/>
    <x v="6"/>
    <s v="S12000006"/>
    <n v="1"/>
    <n v="15"/>
    <n v="1"/>
    <n v="17"/>
  </r>
  <r>
    <x v="2"/>
    <x v="7"/>
    <s v="S12000042"/>
    <n v="4"/>
    <m/>
    <m/>
    <n v="4"/>
  </r>
  <r>
    <x v="2"/>
    <x v="8"/>
    <s v="S12000008"/>
    <n v="1"/>
    <n v="7"/>
    <m/>
    <n v="8"/>
  </r>
  <r>
    <x v="2"/>
    <x v="9"/>
    <s v="S12000045"/>
    <n v="3"/>
    <m/>
    <m/>
    <n v="3"/>
  </r>
  <r>
    <x v="2"/>
    <x v="10"/>
    <s v="S12000010"/>
    <n v="1"/>
    <n v="5"/>
    <m/>
    <n v="6"/>
  </r>
  <r>
    <x v="2"/>
    <x v="11"/>
    <s v="S12000011"/>
    <n v="2"/>
    <m/>
    <m/>
    <n v="2"/>
  </r>
  <r>
    <x v="2"/>
    <x v="12"/>
    <s v="S12000014"/>
    <n v="3"/>
    <n v="2"/>
    <m/>
    <n v="5"/>
  </r>
  <r>
    <x v="2"/>
    <x v="13"/>
    <s v="S12000047"/>
    <n v="5"/>
    <n v="8"/>
    <m/>
    <n v="13"/>
  </r>
  <r>
    <x v="2"/>
    <x v="14"/>
    <s v="S12000046"/>
    <n v="11"/>
    <m/>
    <m/>
    <n v="11"/>
  </r>
  <r>
    <x v="2"/>
    <x v="15"/>
    <s v="S12000017"/>
    <n v="1"/>
    <n v="51"/>
    <n v="9"/>
    <n v="61"/>
  </r>
  <r>
    <x v="2"/>
    <x v="16"/>
    <s v="S12000018"/>
    <n v="2"/>
    <n v="1"/>
    <m/>
    <n v="3"/>
  </r>
  <r>
    <x v="2"/>
    <x v="17"/>
    <s v="S12000019"/>
    <n v="1"/>
    <n v="1"/>
    <m/>
    <n v="2"/>
  </r>
  <r>
    <x v="2"/>
    <x v="18"/>
    <s v="S12000020"/>
    <n v="1"/>
    <n v="10"/>
    <n v="1"/>
    <n v="12"/>
  </r>
  <r>
    <x v="2"/>
    <x v="19"/>
    <s v="S12000013"/>
    <m/>
    <n v="14"/>
    <m/>
    <n v="14"/>
  </r>
  <r>
    <x v="2"/>
    <x v="20"/>
    <s v="S12000021"/>
    <n v="3"/>
    <n v="8"/>
    <n v="3"/>
    <n v="14"/>
  </r>
  <r>
    <x v="2"/>
    <x v="21"/>
    <s v="S12000044"/>
    <n v="4"/>
    <n v="3"/>
    <m/>
    <n v="7"/>
  </r>
  <r>
    <x v="2"/>
    <x v="22"/>
    <s v="S12000023"/>
    <m/>
    <n v="12"/>
    <m/>
    <n v="12"/>
  </r>
  <r>
    <x v="2"/>
    <x v="23"/>
    <s v="S12000024"/>
    <n v="1"/>
    <n v="10"/>
    <n v="3"/>
    <n v="14"/>
  </r>
  <r>
    <x v="2"/>
    <x v="24"/>
    <s v="S12000038"/>
    <n v="3"/>
    <m/>
    <m/>
    <n v="3"/>
  </r>
  <r>
    <x v="2"/>
    <x v="25"/>
    <s v="S12000026"/>
    <n v="2"/>
    <n v="11"/>
    <m/>
    <n v="13"/>
  </r>
  <r>
    <x v="2"/>
    <x v="26"/>
    <s v="S12000027"/>
    <m/>
    <n v="14"/>
    <m/>
    <n v="14"/>
  </r>
  <r>
    <x v="2"/>
    <x v="27"/>
    <s v="S12000028"/>
    <n v="1"/>
    <n v="4"/>
    <m/>
    <n v="5"/>
  </r>
  <r>
    <x v="2"/>
    <x v="28"/>
    <s v="S12000029"/>
    <n v="4"/>
    <n v="7"/>
    <n v="1"/>
    <n v="12"/>
  </r>
  <r>
    <x v="2"/>
    <x v="29"/>
    <s v="S12000030"/>
    <n v="1"/>
    <n v="9"/>
    <m/>
    <n v="10"/>
  </r>
  <r>
    <x v="2"/>
    <x v="30"/>
    <s v="S12000039"/>
    <n v="2"/>
    <n v="1"/>
    <m/>
    <n v="3"/>
  </r>
  <r>
    <x v="2"/>
    <x v="31"/>
    <s v="S12000040"/>
    <n v="2"/>
    <n v="4"/>
    <m/>
    <n v="6"/>
  </r>
  <r>
    <x v="3"/>
    <x v="0"/>
    <s v="S12000033"/>
    <n v="3"/>
    <n v="1"/>
    <m/>
    <n v="4"/>
  </r>
  <r>
    <x v="3"/>
    <x v="1"/>
    <s v="S12000034"/>
    <n v="1"/>
    <n v="23"/>
    <m/>
    <n v="24"/>
  </r>
  <r>
    <x v="3"/>
    <x v="2"/>
    <s v="S12000041"/>
    <n v="1"/>
    <n v="5"/>
    <m/>
    <n v="6"/>
  </r>
  <r>
    <x v="3"/>
    <x v="3"/>
    <s v="S12000035"/>
    <n v="2"/>
    <n v="12"/>
    <n v="25"/>
    <n v="39"/>
  </r>
  <r>
    <x v="3"/>
    <x v="4"/>
    <s v="S12000036"/>
    <n v="7"/>
    <n v="1"/>
    <m/>
    <n v="8"/>
  </r>
  <r>
    <x v="3"/>
    <x v="5"/>
    <s v="S12000005"/>
    <n v="1"/>
    <n v="1"/>
    <m/>
    <n v="2"/>
  </r>
  <r>
    <x v="3"/>
    <x v="6"/>
    <s v="S12000006"/>
    <n v="1"/>
    <n v="15"/>
    <n v="1"/>
    <n v="17"/>
  </r>
  <r>
    <x v="3"/>
    <x v="7"/>
    <s v="S12000042"/>
    <n v="4"/>
    <m/>
    <m/>
    <n v="4"/>
  </r>
  <r>
    <x v="3"/>
    <x v="8"/>
    <s v="S12000008"/>
    <n v="1"/>
    <n v="7"/>
    <m/>
    <n v="8"/>
  </r>
  <r>
    <x v="3"/>
    <x v="9"/>
    <s v="S12000045"/>
    <n v="3"/>
    <m/>
    <m/>
    <n v="3"/>
  </r>
  <r>
    <x v="3"/>
    <x v="10"/>
    <s v="S12000010"/>
    <n v="1"/>
    <n v="5"/>
    <m/>
    <n v="6"/>
  </r>
  <r>
    <x v="3"/>
    <x v="11"/>
    <s v="S12000011"/>
    <n v="2"/>
    <m/>
    <m/>
    <n v="2"/>
  </r>
  <r>
    <x v="3"/>
    <x v="12"/>
    <s v="S12000014"/>
    <n v="3"/>
    <n v="2"/>
    <m/>
    <n v="5"/>
  </r>
  <r>
    <x v="3"/>
    <x v="13"/>
    <s v="S12000047"/>
    <n v="5"/>
    <n v="8"/>
    <m/>
    <n v="13"/>
  </r>
  <r>
    <x v="3"/>
    <x v="14"/>
    <s v="S12000046"/>
    <n v="11"/>
    <m/>
    <m/>
    <n v="11"/>
  </r>
  <r>
    <x v="3"/>
    <x v="15"/>
    <s v="S12000017"/>
    <n v="1"/>
    <n v="51"/>
    <n v="9"/>
    <n v="61"/>
  </r>
  <r>
    <x v="3"/>
    <x v="16"/>
    <s v="S12000018"/>
    <n v="2"/>
    <n v="1"/>
    <m/>
    <n v="3"/>
  </r>
  <r>
    <x v="3"/>
    <x v="17"/>
    <s v="S12000019"/>
    <n v="1"/>
    <n v="1"/>
    <m/>
    <n v="2"/>
  </r>
  <r>
    <x v="3"/>
    <x v="18"/>
    <s v="S12000020"/>
    <n v="1"/>
    <n v="10"/>
    <n v="1"/>
    <n v="12"/>
  </r>
  <r>
    <x v="3"/>
    <x v="19"/>
    <s v="S12000013"/>
    <m/>
    <n v="14"/>
    <m/>
    <n v="14"/>
  </r>
  <r>
    <x v="3"/>
    <x v="20"/>
    <s v="S12000021"/>
    <n v="3"/>
    <n v="8"/>
    <n v="3"/>
    <n v="14"/>
  </r>
  <r>
    <x v="3"/>
    <x v="21"/>
    <s v="S12000044"/>
    <n v="4"/>
    <n v="3"/>
    <m/>
    <n v="7"/>
  </r>
  <r>
    <x v="3"/>
    <x v="22"/>
    <s v="S12000023"/>
    <m/>
    <n v="12"/>
    <m/>
    <n v="12"/>
  </r>
  <r>
    <x v="3"/>
    <x v="23"/>
    <s v="S12000024"/>
    <n v="1"/>
    <n v="10"/>
    <n v="3"/>
    <n v="14"/>
  </r>
  <r>
    <x v="3"/>
    <x v="24"/>
    <s v="S12000038"/>
    <n v="3"/>
    <m/>
    <m/>
    <n v="3"/>
  </r>
  <r>
    <x v="3"/>
    <x v="25"/>
    <s v="S12000026"/>
    <n v="2"/>
    <n v="11"/>
    <m/>
    <n v="13"/>
  </r>
  <r>
    <x v="3"/>
    <x v="26"/>
    <s v="S12000027"/>
    <m/>
    <n v="14"/>
    <m/>
    <n v="14"/>
  </r>
  <r>
    <x v="3"/>
    <x v="27"/>
    <s v="S12000028"/>
    <n v="1"/>
    <n v="4"/>
    <m/>
    <n v="5"/>
  </r>
  <r>
    <x v="3"/>
    <x v="28"/>
    <s v="S12000029"/>
    <n v="4"/>
    <n v="7"/>
    <n v="1"/>
    <n v="12"/>
  </r>
  <r>
    <x v="3"/>
    <x v="29"/>
    <s v="S12000030"/>
    <n v="1"/>
    <n v="9"/>
    <m/>
    <n v="10"/>
  </r>
  <r>
    <x v="3"/>
    <x v="30"/>
    <s v="S12000039"/>
    <n v="2"/>
    <n v="1"/>
    <m/>
    <n v="3"/>
  </r>
  <r>
    <x v="3"/>
    <x v="31"/>
    <s v="S12000040"/>
    <n v="2"/>
    <n v="4"/>
    <m/>
    <n v="6"/>
  </r>
  <r>
    <x v="4"/>
    <x v="0"/>
    <s v="S12000033"/>
    <n v="3"/>
    <n v="1"/>
    <m/>
    <n v="4"/>
  </r>
  <r>
    <x v="4"/>
    <x v="1"/>
    <s v="S12000034"/>
    <n v="1"/>
    <n v="23"/>
    <m/>
    <n v="24"/>
  </r>
  <r>
    <x v="4"/>
    <x v="2"/>
    <s v="S12000041"/>
    <n v="1"/>
    <n v="5"/>
    <m/>
    <n v="6"/>
  </r>
  <r>
    <x v="4"/>
    <x v="3"/>
    <s v="S12000035"/>
    <n v="2"/>
    <n v="12"/>
    <n v="25"/>
    <n v="39"/>
  </r>
  <r>
    <x v="4"/>
    <x v="4"/>
    <s v="S12000036"/>
    <n v="7"/>
    <n v="1"/>
    <m/>
    <n v="8"/>
  </r>
  <r>
    <x v="4"/>
    <x v="5"/>
    <s v="S12000005"/>
    <n v="1"/>
    <n v="1"/>
    <m/>
    <n v="2"/>
  </r>
  <r>
    <x v="4"/>
    <x v="6"/>
    <s v="S12000006"/>
    <n v="1"/>
    <n v="15"/>
    <n v="1"/>
    <n v="17"/>
  </r>
  <r>
    <x v="4"/>
    <x v="7"/>
    <s v="S12000042"/>
    <n v="4"/>
    <m/>
    <m/>
    <n v="4"/>
  </r>
  <r>
    <x v="4"/>
    <x v="8"/>
    <s v="S12000008"/>
    <n v="1"/>
    <n v="7"/>
    <m/>
    <n v="8"/>
  </r>
  <r>
    <x v="4"/>
    <x v="9"/>
    <s v="S12000045"/>
    <n v="3"/>
    <m/>
    <m/>
    <n v="3"/>
  </r>
  <r>
    <x v="4"/>
    <x v="10"/>
    <s v="S12000010"/>
    <n v="1"/>
    <n v="5"/>
    <m/>
    <n v="6"/>
  </r>
  <r>
    <x v="4"/>
    <x v="11"/>
    <s v="S12000011"/>
    <n v="2"/>
    <m/>
    <m/>
    <n v="2"/>
  </r>
  <r>
    <x v="4"/>
    <x v="12"/>
    <s v="S12000014"/>
    <n v="3"/>
    <n v="2"/>
    <m/>
    <n v="5"/>
  </r>
  <r>
    <x v="4"/>
    <x v="13"/>
    <s v="S12000047"/>
    <n v="5"/>
    <n v="8"/>
    <m/>
    <n v="13"/>
  </r>
  <r>
    <x v="4"/>
    <x v="14"/>
    <s v="S12000049"/>
    <n v="11"/>
    <m/>
    <m/>
    <n v="11"/>
  </r>
  <r>
    <x v="4"/>
    <x v="15"/>
    <s v="S12000017"/>
    <n v="1"/>
    <n v="51"/>
    <n v="9"/>
    <n v="61"/>
  </r>
  <r>
    <x v="4"/>
    <x v="16"/>
    <s v="S12000018"/>
    <n v="2"/>
    <n v="1"/>
    <m/>
    <n v="3"/>
  </r>
  <r>
    <x v="4"/>
    <x v="17"/>
    <s v="S12000019"/>
    <n v="1"/>
    <n v="1"/>
    <m/>
    <n v="2"/>
  </r>
  <r>
    <x v="4"/>
    <x v="18"/>
    <s v="S12000020"/>
    <n v="1"/>
    <n v="10"/>
    <n v="1"/>
    <n v="12"/>
  </r>
  <r>
    <x v="4"/>
    <x v="19"/>
    <s v="S12000013"/>
    <m/>
    <n v="14"/>
    <m/>
    <n v="14"/>
  </r>
  <r>
    <x v="4"/>
    <x v="20"/>
    <s v="S12000021"/>
    <n v="3"/>
    <n v="8"/>
    <n v="3"/>
    <n v="14"/>
  </r>
  <r>
    <x v="4"/>
    <x v="21"/>
    <s v="S12000050"/>
    <n v="4"/>
    <n v="3"/>
    <m/>
    <n v="7"/>
  </r>
  <r>
    <x v="4"/>
    <x v="22"/>
    <s v="S12000023"/>
    <m/>
    <n v="12"/>
    <m/>
    <n v="12"/>
  </r>
  <r>
    <x v="4"/>
    <x v="23"/>
    <s v="S12000024"/>
    <n v="1"/>
    <n v="10"/>
    <n v="3"/>
    <n v="14"/>
  </r>
  <r>
    <x v="4"/>
    <x v="24"/>
    <s v="S12000038"/>
    <n v="3"/>
    <m/>
    <m/>
    <n v="3"/>
  </r>
  <r>
    <x v="4"/>
    <x v="25"/>
    <s v="S12000026"/>
    <n v="2"/>
    <n v="11"/>
    <m/>
    <n v="13"/>
  </r>
  <r>
    <x v="4"/>
    <x v="26"/>
    <s v="S12000027"/>
    <m/>
    <n v="14"/>
    <m/>
    <n v="14"/>
  </r>
  <r>
    <x v="4"/>
    <x v="27"/>
    <s v="S12000028"/>
    <n v="1"/>
    <n v="4"/>
    <m/>
    <n v="5"/>
  </r>
  <r>
    <x v="4"/>
    <x v="28"/>
    <s v="S12000029"/>
    <n v="4"/>
    <n v="7"/>
    <n v="1"/>
    <n v="12"/>
  </r>
  <r>
    <x v="4"/>
    <x v="29"/>
    <s v="S12000030"/>
    <n v="1"/>
    <n v="9"/>
    <m/>
    <n v="10"/>
  </r>
  <r>
    <x v="4"/>
    <x v="30"/>
    <s v="S12000039"/>
    <n v="2"/>
    <n v="1"/>
    <m/>
    <n v="3"/>
  </r>
  <r>
    <x v="4"/>
    <x v="31"/>
    <s v="S12000040"/>
    <n v="2"/>
    <n v="4"/>
    <m/>
    <n v="6"/>
  </r>
  <r>
    <x v="5"/>
    <x v="0"/>
    <s v="S12000033"/>
    <n v="3"/>
    <n v="1"/>
    <m/>
    <n v="4"/>
  </r>
  <r>
    <x v="5"/>
    <x v="1"/>
    <s v="S12000034"/>
    <n v="1"/>
    <n v="23"/>
    <m/>
    <n v="24"/>
  </r>
  <r>
    <x v="5"/>
    <x v="2"/>
    <s v="S12000041"/>
    <n v="1"/>
    <n v="5"/>
    <m/>
    <n v="6"/>
  </r>
  <r>
    <x v="5"/>
    <x v="3"/>
    <s v="S12000035"/>
    <n v="2"/>
    <n v="12"/>
    <n v="25"/>
    <n v="39"/>
  </r>
  <r>
    <x v="5"/>
    <x v="4"/>
    <s v="S12000036"/>
    <n v="7"/>
    <n v="1"/>
    <m/>
    <n v="8"/>
  </r>
  <r>
    <x v="5"/>
    <x v="5"/>
    <s v="S12000005"/>
    <n v="1"/>
    <n v="1"/>
    <m/>
    <n v="2"/>
  </r>
  <r>
    <x v="5"/>
    <x v="6"/>
    <s v="S12000006"/>
    <n v="1"/>
    <n v="15"/>
    <n v="1"/>
    <n v="17"/>
  </r>
  <r>
    <x v="5"/>
    <x v="7"/>
    <s v="S12000042"/>
    <n v="4"/>
    <m/>
    <m/>
    <n v="4"/>
  </r>
  <r>
    <x v="5"/>
    <x v="8"/>
    <s v="S12000008"/>
    <n v="1"/>
    <n v="7"/>
    <m/>
    <n v="8"/>
  </r>
  <r>
    <x v="5"/>
    <x v="9"/>
    <s v="S12000045"/>
    <n v="3"/>
    <m/>
    <m/>
    <n v="3"/>
  </r>
  <r>
    <x v="5"/>
    <x v="10"/>
    <s v="S12000010"/>
    <n v="1"/>
    <n v="5"/>
    <m/>
    <n v="6"/>
  </r>
  <r>
    <x v="5"/>
    <x v="11"/>
    <s v="S12000011"/>
    <n v="2"/>
    <m/>
    <m/>
    <n v="2"/>
  </r>
  <r>
    <x v="5"/>
    <x v="12"/>
    <s v="S12000014"/>
    <n v="3"/>
    <n v="2"/>
    <m/>
    <n v="5"/>
  </r>
  <r>
    <x v="5"/>
    <x v="13"/>
    <s v="S12000047"/>
    <n v="5"/>
    <n v="8"/>
    <m/>
    <n v="13"/>
  </r>
  <r>
    <x v="5"/>
    <x v="14"/>
    <s v="S12000049"/>
    <n v="11"/>
    <m/>
    <m/>
    <n v="11"/>
  </r>
  <r>
    <x v="5"/>
    <x v="15"/>
    <s v="S12000017"/>
    <n v="1"/>
    <n v="51"/>
    <n v="9"/>
    <n v="61"/>
  </r>
  <r>
    <x v="5"/>
    <x v="16"/>
    <s v="S12000018"/>
    <n v="2"/>
    <n v="1"/>
    <m/>
    <n v="3"/>
  </r>
  <r>
    <x v="5"/>
    <x v="17"/>
    <s v="S12000019"/>
    <n v="1"/>
    <n v="1"/>
    <m/>
    <n v="2"/>
  </r>
  <r>
    <x v="5"/>
    <x v="18"/>
    <s v="S12000020"/>
    <n v="1"/>
    <n v="10"/>
    <n v="1"/>
    <n v="12"/>
  </r>
  <r>
    <x v="5"/>
    <x v="19"/>
    <s v="S12000013"/>
    <m/>
    <n v="14"/>
    <m/>
    <n v="14"/>
  </r>
  <r>
    <x v="5"/>
    <x v="20"/>
    <s v="S12000021"/>
    <n v="3"/>
    <n v="8"/>
    <n v="3"/>
    <n v="14"/>
  </r>
  <r>
    <x v="5"/>
    <x v="21"/>
    <s v="S12000050"/>
    <n v="4"/>
    <n v="3"/>
    <m/>
    <n v="7"/>
  </r>
  <r>
    <x v="5"/>
    <x v="22"/>
    <s v="S12000023"/>
    <m/>
    <n v="12"/>
    <m/>
    <n v="12"/>
  </r>
  <r>
    <x v="5"/>
    <x v="23"/>
    <s v="S12000024"/>
    <n v="1"/>
    <n v="10"/>
    <n v="3"/>
    <n v="14"/>
  </r>
  <r>
    <x v="5"/>
    <x v="24"/>
    <s v="S12000038"/>
    <n v="3"/>
    <m/>
    <m/>
    <n v="3"/>
  </r>
  <r>
    <x v="5"/>
    <x v="25"/>
    <s v="S12000026"/>
    <n v="2"/>
    <n v="11"/>
    <m/>
    <n v="13"/>
  </r>
  <r>
    <x v="5"/>
    <x v="26"/>
    <s v="S12000027"/>
    <m/>
    <n v="14"/>
    <m/>
    <n v="14"/>
  </r>
  <r>
    <x v="5"/>
    <x v="27"/>
    <s v="S12000028"/>
    <n v="1"/>
    <n v="4"/>
    <m/>
    <n v="5"/>
  </r>
  <r>
    <x v="5"/>
    <x v="28"/>
    <s v="S12000029"/>
    <n v="4"/>
    <n v="7"/>
    <n v="1"/>
    <n v="12"/>
  </r>
  <r>
    <x v="5"/>
    <x v="29"/>
    <s v="S12000030"/>
    <n v="1"/>
    <n v="9"/>
    <m/>
    <n v="10"/>
  </r>
  <r>
    <x v="5"/>
    <x v="30"/>
    <s v="S12000039"/>
    <n v="2"/>
    <n v="1"/>
    <m/>
    <n v="3"/>
  </r>
  <r>
    <x v="5"/>
    <x v="31"/>
    <s v="S12000040"/>
    <n v="2"/>
    <n v="4"/>
    <m/>
    <n v="6"/>
  </r>
</pivotCacheRecords>
</file>

<file path=xl/pivotCache/pivotCacheRecords8.xml><?xml version="1.0" encoding="utf-8"?>
<pivotCacheRecords xmlns="http://schemas.openxmlformats.org/spreadsheetml/2006/main" xmlns:r="http://schemas.openxmlformats.org/officeDocument/2006/relationships" count="64">
  <r>
    <x v="0"/>
    <x v="0"/>
    <s v="S12000033"/>
    <n v="4"/>
    <n v="1"/>
    <m/>
    <n v="3"/>
    <m/>
    <m/>
  </r>
  <r>
    <x v="0"/>
    <x v="1"/>
    <s v="S12000034"/>
    <n v="24"/>
    <n v="23"/>
    <m/>
    <m/>
    <m/>
    <n v="1"/>
  </r>
  <r>
    <x v="0"/>
    <x v="2"/>
    <s v="S12000041"/>
    <n v="6"/>
    <n v="5"/>
    <m/>
    <m/>
    <m/>
    <n v="1"/>
  </r>
  <r>
    <x v="0"/>
    <x v="3"/>
    <s v="S12000035"/>
    <n v="39"/>
    <n v="12"/>
    <n v="25"/>
    <m/>
    <m/>
    <n v="2"/>
  </r>
  <r>
    <x v="0"/>
    <x v="4"/>
    <s v="S12000036"/>
    <n v="8"/>
    <n v="1"/>
    <m/>
    <n v="7"/>
    <m/>
    <m/>
  </r>
  <r>
    <x v="0"/>
    <x v="5"/>
    <s v="S12000005"/>
    <n v="2"/>
    <n v="1"/>
    <m/>
    <m/>
    <m/>
    <n v="1"/>
  </r>
  <r>
    <x v="0"/>
    <x v="6"/>
    <s v="S12000006"/>
    <n v="17"/>
    <n v="15"/>
    <n v="1"/>
    <m/>
    <m/>
    <n v="1"/>
  </r>
  <r>
    <x v="0"/>
    <x v="7"/>
    <s v="S12000042"/>
    <n v="4"/>
    <m/>
    <m/>
    <n v="3"/>
    <m/>
    <n v="1"/>
  </r>
  <r>
    <x v="0"/>
    <x v="8"/>
    <s v="S12000008"/>
    <n v="8"/>
    <n v="7"/>
    <m/>
    <n v="1"/>
    <m/>
    <m/>
  </r>
  <r>
    <x v="0"/>
    <x v="9"/>
    <s v="S12000045"/>
    <n v="3"/>
    <m/>
    <m/>
    <n v="3"/>
    <m/>
    <m/>
  </r>
  <r>
    <x v="0"/>
    <x v="10"/>
    <s v="S12000010"/>
    <n v="6"/>
    <n v="5"/>
    <m/>
    <n v="1"/>
    <m/>
    <m/>
  </r>
  <r>
    <x v="0"/>
    <x v="11"/>
    <s v="S12000011"/>
    <n v="2"/>
    <m/>
    <m/>
    <n v="2"/>
    <m/>
    <m/>
  </r>
  <r>
    <x v="0"/>
    <x v="12"/>
    <s v="S12000014"/>
    <n v="5"/>
    <n v="2"/>
    <m/>
    <m/>
    <m/>
    <n v="3"/>
  </r>
  <r>
    <x v="0"/>
    <x v="13"/>
    <s v="S12000047"/>
    <n v="13"/>
    <n v="8"/>
    <m/>
    <n v="5"/>
    <m/>
    <m/>
  </r>
  <r>
    <x v="0"/>
    <x v="14"/>
    <s v="S12000049"/>
    <n v="11"/>
    <m/>
    <m/>
    <n v="11"/>
    <m/>
    <m/>
  </r>
  <r>
    <x v="0"/>
    <x v="15"/>
    <s v="S12000017"/>
    <n v="61"/>
    <n v="51"/>
    <n v="9"/>
    <m/>
    <m/>
    <n v="1"/>
  </r>
  <r>
    <x v="0"/>
    <x v="16"/>
    <s v="S12000018"/>
    <n v="3"/>
    <n v="1"/>
    <m/>
    <m/>
    <m/>
    <n v="2"/>
  </r>
  <r>
    <x v="0"/>
    <x v="17"/>
    <s v="S12000019"/>
    <n v="2"/>
    <n v="1"/>
    <m/>
    <n v="1"/>
    <m/>
    <m/>
  </r>
  <r>
    <x v="0"/>
    <x v="18"/>
    <s v="S12000020"/>
    <n v="12"/>
    <n v="10"/>
    <n v="1"/>
    <m/>
    <m/>
    <n v="1"/>
  </r>
  <r>
    <x v="0"/>
    <x v="19"/>
    <s v="S12000013"/>
    <n v="14"/>
    <n v="14"/>
    <m/>
    <m/>
    <m/>
    <m/>
  </r>
  <r>
    <x v="0"/>
    <x v="20"/>
    <s v="S12000021"/>
    <n v="14"/>
    <n v="8"/>
    <n v="3"/>
    <n v="1"/>
    <m/>
    <n v="2"/>
  </r>
  <r>
    <x v="0"/>
    <x v="21"/>
    <s v="S12000050"/>
    <n v="7"/>
    <n v="3"/>
    <m/>
    <n v="4"/>
    <m/>
    <m/>
  </r>
  <r>
    <x v="0"/>
    <x v="22"/>
    <s v="S12000023"/>
    <n v="12"/>
    <n v="12"/>
    <m/>
    <m/>
    <m/>
    <m/>
  </r>
  <r>
    <x v="0"/>
    <x v="23"/>
    <s v="S12000024"/>
    <n v="14"/>
    <n v="10"/>
    <n v="3"/>
    <n v="1"/>
    <m/>
    <m/>
  </r>
  <r>
    <x v="0"/>
    <x v="24"/>
    <s v="S12000038"/>
    <n v="3"/>
    <m/>
    <m/>
    <n v="2"/>
    <m/>
    <n v="1"/>
  </r>
  <r>
    <x v="0"/>
    <x v="25"/>
    <s v="S12000026"/>
    <n v="13"/>
    <n v="11"/>
    <m/>
    <m/>
    <m/>
    <n v="2"/>
  </r>
  <r>
    <x v="0"/>
    <x v="26"/>
    <s v="S12000027"/>
    <n v="14"/>
    <n v="14"/>
    <m/>
    <m/>
    <m/>
    <m/>
  </r>
  <r>
    <x v="0"/>
    <x v="27"/>
    <s v="S12000028"/>
    <n v="5"/>
    <n v="4"/>
    <m/>
    <m/>
    <m/>
    <n v="1"/>
  </r>
  <r>
    <x v="0"/>
    <x v="28"/>
    <s v="S12000029"/>
    <n v="12"/>
    <n v="7"/>
    <n v="1"/>
    <n v="3"/>
    <m/>
    <n v="1"/>
  </r>
  <r>
    <x v="0"/>
    <x v="29"/>
    <s v="S12000030"/>
    <n v="10"/>
    <n v="9"/>
    <m/>
    <n v="1"/>
    <m/>
    <m/>
  </r>
  <r>
    <x v="0"/>
    <x v="30"/>
    <s v="S12000039"/>
    <n v="3"/>
    <n v="1"/>
    <m/>
    <n v="1"/>
    <m/>
    <n v="1"/>
  </r>
  <r>
    <x v="0"/>
    <x v="31"/>
    <s v="S12000040"/>
    <n v="6"/>
    <n v="4"/>
    <m/>
    <m/>
    <n v="1"/>
    <n v="1"/>
  </r>
  <r>
    <x v="1"/>
    <x v="0"/>
    <s v="S12000033"/>
    <n v="4"/>
    <n v="1"/>
    <m/>
    <n v="3"/>
    <m/>
    <m/>
  </r>
  <r>
    <x v="1"/>
    <x v="1"/>
    <s v="S12000034"/>
    <n v="24"/>
    <n v="23"/>
    <m/>
    <m/>
    <m/>
    <n v="1"/>
  </r>
  <r>
    <x v="1"/>
    <x v="2"/>
    <s v="S12000041"/>
    <n v="6"/>
    <n v="5"/>
    <m/>
    <m/>
    <m/>
    <n v="1"/>
  </r>
  <r>
    <x v="1"/>
    <x v="3"/>
    <s v="S12000035"/>
    <n v="39"/>
    <n v="12"/>
    <n v="25"/>
    <m/>
    <m/>
    <n v="2"/>
  </r>
  <r>
    <x v="1"/>
    <x v="4"/>
    <s v="S12000036"/>
    <n v="8"/>
    <n v="1"/>
    <m/>
    <n v="7"/>
    <m/>
    <m/>
  </r>
  <r>
    <x v="1"/>
    <x v="5"/>
    <s v="S12000005"/>
    <n v="2"/>
    <n v="1"/>
    <m/>
    <m/>
    <m/>
    <n v="1"/>
  </r>
  <r>
    <x v="1"/>
    <x v="6"/>
    <s v="S12000006"/>
    <n v="17"/>
    <n v="15"/>
    <n v="1"/>
    <m/>
    <m/>
    <n v="1"/>
  </r>
  <r>
    <x v="1"/>
    <x v="7"/>
    <s v="S12000042"/>
    <n v="4"/>
    <m/>
    <m/>
    <n v="3"/>
    <m/>
    <n v="1"/>
  </r>
  <r>
    <x v="1"/>
    <x v="8"/>
    <s v="S12000008"/>
    <n v="8"/>
    <n v="7"/>
    <m/>
    <n v="1"/>
    <m/>
    <m/>
  </r>
  <r>
    <x v="1"/>
    <x v="9"/>
    <s v="S12000045"/>
    <n v="3"/>
    <m/>
    <m/>
    <n v="3"/>
    <m/>
    <m/>
  </r>
  <r>
    <x v="1"/>
    <x v="10"/>
    <s v="S12000010"/>
    <n v="6"/>
    <n v="5"/>
    <m/>
    <n v="1"/>
    <m/>
    <m/>
  </r>
  <r>
    <x v="1"/>
    <x v="11"/>
    <s v="S12000011"/>
    <n v="2"/>
    <m/>
    <m/>
    <n v="2"/>
    <m/>
    <m/>
  </r>
  <r>
    <x v="1"/>
    <x v="12"/>
    <s v="S12000014"/>
    <n v="5"/>
    <n v="2"/>
    <m/>
    <m/>
    <m/>
    <n v="3"/>
  </r>
  <r>
    <x v="1"/>
    <x v="13"/>
    <s v="S12000047"/>
    <n v="13"/>
    <n v="8"/>
    <m/>
    <n v="5"/>
    <m/>
    <m/>
  </r>
  <r>
    <x v="1"/>
    <x v="14"/>
    <s v="S12000049"/>
    <n v="11"/>
    <m/>
    <m/>
    <n v="11"/>
    <m/>
    <m/>
  </r>
  <r>
    <x v="1"/>
    <x v="15"/>
    <s v="S12000017"/>
    <n v="61"/>
    <n v="51"/>
    <n v="9"/>
    <m/>
    <m/>
    <n v="1"/>
  </r>
  <r>
    <x v="1"/>
    <x v="16"/>
    <s v="S12000018"/>
    <n v="3"/>
    <n v="1"/>
    <m/>
    <m/>
    <m/>
    <n v="2"/>
  </r>
  <r>
    <x v="1"/>
    <x v="17"/>
    <s v="S12000019"/>
    <n v="2"/>
    <n v="1"/>
    <m/>
    <n v="1"/>
    <m/>
    <m/>
  </r>
  <r>
    <x v="1"/>
    <x v="18"/>
    <s v="S12000020"/>
    <n v="12"/>
    <n v="10"/>
    <n v="1"/>
    <m/>
    <m/>
    <n v="1"/>
  </r>
  <r>
    <x v="1"/>
    <x v="19"/>
    <s v="S12000013"/>
    <n v="14"/>
    <n v="14"/>
    <m/>
    <m/>
    <m/>
    <m/>
  </r>
  <r>
    <x v="1"/>
    <x v="20"/>
    <s v="S12000021"/>
    <n v="14"/>
    <n v="8"/>
    <n v="3"/>
    <n v="1"/>
    <m/>
    <n v="2"/>
  </r>
  <r>
    <x v="1"/>
    <x v="21"/>
    <s v="S12000050"/>
    <n v="7"/>
    <n v="3"/>
    <m/>
    <n v="4"/>
    <m/>
    <m/>
  </r>
  <r>
    <x v="1"/>
    <x v="22"/>
    <s v="S12000023"/>
    <n v="12"/>
    <n v="12"/>
    <m/>
    <m/>
    <m/>
    <m/>
  </r>
  <r>
    <x v="1"/>
    <x v="23"/>
    <s v="S12000024"/>
    <n v="14"/>
    <n v="10"/>
    <n v="3"/>
    <n v="1"/>
    <m/>
    <m/>
  </r>
  <r>
    <x v="1"/>
    <x v="24"/>
    <s v="S12000038"/>
    <n v="3"/>
    <m/>
    <m/>
    <n v="2"/>
    <m/>
    <n v="1"/>
  </r>
  <r>
    <x v="1"/>
    <x v="25"/>
    <s v="S12000026"/>
    <n v="13"/>
    <n v="11"/>
    <m/>
    <m/>
    <m/>
    <n v="2"/>
  </r>
  <r>
    <x v="1"/>
    <x v="26"/>
    <s v="S12000027"/>
    <n v="14"/>
    <n v="14"/>
    <m/>
    <m/>
    <m/>
    <m/>
  </r>
  <r>
    <x v="1"/>
    <x v="27"/>
    <s v="S12000028"/>
    <n v="5"/>
    <n v="4"/>
    <m/>
    <m/>
    <m/>
    <n v="1"/>
  </r>
  <r>
    <x v="1"/>
    <x v="28"/>
    <s v="S12000029"/>
    <n v="12"/>
    <n v="7"/>
    <n v="1"/>
    <n v="3"/>
    <m/>
    <n v="1"/>
  </r>
  <r>
    <x v="1"/>
    <x v="29"/>
    <s v="S12000030"/>
    <n v="10"/>
    <n v="9"/>
    <m/>
    <n v="1"/>
    <m/>
    <m/>
  </r>
  <r>
    <x v="1"/>
    <x v="30"/>
    <s v="S12000039"/>
    <n v="3"/>
    <n v="1"/>
    <m/>
    <n v="1"/>
    <m/>
    <n v="1"/>
  </r>
  <r>
    <x v="1"/>
    <x v="31"/>
    <s v="S12000040"/>
    <n v="6"/>
    <n v="4"/>
    <m/>
    <m/>
    <n v="1"/>
    <n v="1"/>
  </r>
</pivotCacheRecords>
</file>

<file path=xl/pivotCache/pivotCacheRecords9.xml><?xml version="1.0" encoding="utf-8"?>
<pivotCacheRecords xmlns="http://schemas.openxmlformats.org/spreadsheetml/2006/main" xmlns:r="http://schemas.openxmlformats.org/officeDocument/2006/relationships" count="90">
  <r>
    <x v="0"/>
    <x v="0"/>
    <s v="Hospital / Prison"/>
    <n v="334"/>
    <n v="93"/>
    <n v="14"/>
    <n v="164"/>
    <n v="60"/>
    <n v="3"/>
  </r>
  <r>
    <x v="0"/>
    <x v="1"/>
    <s v="Care Home"/>
    <n v="1506"/>
    <n v="191"/>
    <n v="538"/>
    <n v="711"/>
    <n v="15"/>
    <n v="51"/>
  </r>
  <r>
    <x v="0"/>
    <x v="2"/>
    <s v="HMO"/>
    <n v="1947"/>
    <n v="55"/>
    <n v="247"/>
    <n v="1599"/>
    <n v="1"/>
    <n v="45"/>
  </r>
  <r>
    <x v="0"/>
    <x v="3"/>
    <s v="Hostel"/>
    <n v="138"/>
    <n v="83"/>
    <n v="6"/>
    <n v="37"/>
    <n v="12"/>
    <m/>
  </r>
  <r>
    <x v="0"/>
    <x v="4"/>
    <s v="Hotel"/>
    <n v="1109"/>
    <n v="487"/>
    <n v="18"/>
    <n v="517"/>
    <n v="86"/>
    <n v="1"/>
  </r>
  <r>
    <x v="0"/>
    <x v="5"/>
    <s v="Other Sleeping Accommodation"/>
    <n v="251"/>
    <n v="20"/>
    <n v="86"/>
    <n v="137"/>
    <n v="1"/>
    <n v="7"/>
  </r>
  <r>
    <x v="0"/>
    <x v="6"/>
    <s v="Further Education"/>
    <n v="28"/>
    <n v="18"/>
    <m/>
    <n v="9"/>
    <n v="1"/>
    <m/>
  </r>
  <r>
    <x v="0"/>
    <x v="7"/>
    <s v="Public Building"/>
    <n v="68"/>
    <n v="37"/>
    <n v="2"/>
    <n v="27"/>
    <m/>
    <n v="2"/>
  </r>
  <r>
    <x v="0"/>
    <x v="8"/>
    <s v="Licensed Premises"/>
    <n v="596"/>
    <n v="83"/>
    <n v="165"/>
    <n v="331"/>
    <n v="3"/>
    <n v="14"/>
  </r>
  <r>
    <x v="0"/>
    <x v="9"/>
    <s v="School"/>
    <n v="260"/>
    <n v="23"/>
    <n v="113"/>
    <n v="114"/>
    <n v="2"/>
    <n v="8"/>
  </r>
  <r>
    <x v="0"/>
    <x v="10"/>
    <s v="Shop"/>
    <n v="683"/>
    <n v="222"/>
    <n v="259"/>
    <n v="173"/>
    <n v="2"/>
    <n v="27"/>
  </r>
  <r>
    <x v="0"/>
    <x v="11"/>
    <s v="Other Premises Open to Public"/>
    <n v="356"/>
    <n v="165"/>
    <n v="13"/>
    <n v="170"/>
    <n v="5"/>
    <n v="3"/>
  </r>
  <r>
    <x v="0"/>
    <x v="12"/>
    <s v="Factory or Warehouse"/>
    <n v="412"/>
    <n v="50"/>
    <n v="113"/>
    <n v="243"/>
    <n v="4"/>
    <n v="2"/>
  </r>
  <r>
    <x v="0"/>
    <x v="13"/>
    <s v="Office"/>
    <n v="344"/>
    <n v="68"/>
    <n v="49"/>
    <n v="209"/>
    <n v="1"/>
    <n v="17"/>
  </r>
  <r>
    <x v="0"/>
    <x v="14"/>
    <s v="Other Workplace"/>
    <n v="174"/>
    <n v="32"/>
    <n v="10"/>
    <n v="127"/>
    <n v="5"/>
    <m/>
  </r>
  <r>
    <x v="1"/>
    <x v="0"/>
    <s v="Hospital / Prison"/>
    <n v="451"/>
    <n v="118"/>
    <n v="24"/>
    <n v="255"/>
    <n v="45"/>
    <n v="9"/>
  </r>
  <r>
    <x v="1"/>
    <x v="1"/>
    <s v="Care Home"/>
    <n v="1760"/>
    <n v="241"/>
    <n v="598"/>
    <n v="822"/>
    <n v="24"/>
    <n v="75"/>
  </r>
  <r>
    <x v="1"/>
    <x v="2"/>
    <s v="HMO"/>
    <n v="3062"/>
    <n v="91"/>
    <n v="272"/>
    <n v="2548"/>
    <n v="10"/>
    <n v="141"/>
  </r>
  <r>
    <x v="1"/>
    <x v="3"/>
    <s v="Hostel"/>
    <n v="119"/>
    <n v="43"/>
    <n v="5"/>
    <n v="49"/>
    <n v="21"/>
    <n v="1"/>
  </r>
  <r>
    <x v="1"/>
    <x v="4"/>
    <s v="Hotel"/>
    <n v="1263"/>
    <n v="329"/>
    <n v="53"/>
    <n v="815"/>
    <n v="65"/>
    <n v="1"/>
  </r>
  <r>
    <x v="1"/>
    <x v="5"/>
    <s v="Other Sleeping Accommodation"/>
    <n v="351"/>
    <n v="41"/>
    <n v="82"/>
    <n v="198"/>
    <n v="1"/>
    <n v="29"/>
  </r>
  <r>
    <x v="1"/>
    <x v="6"/>
    <s v="Further Education"/>
    <n v="36"/>
    <n v="15"/>
    <m/>
    <n v="21"/>
    <m/>
    <m/>
  </r>
  <r>
    <x v="1"/>
    <x v="7"/>
    <s v="Public Building"/>
    <n v="49"/>
    <n v="24"/>
    <n v="3"/>
    <n v="22"/>
    <m/>
    <m/>
  </r>
  <r>
    <x v="1"/>
    <x v="8"/>
    <s v="Licensed Premises"/>
    <n v="494"/>
    <n v="74"/>
    <n v="148"/>
    <n v="250"/>
    <n v="5"/>
    <n v="17"/>
  </r>
  <r>
    <x v="1"/>
    <x v="9"/>
    <s v="School"/>
    <n v="228"/>
    <n v="41"/>
    <n v="53"/>
    <n v="125"/>
    <m/>
    <n v="9"/>
  </r>
  <r>
    <x v="1"/>
    <x v="10"/>
    <s v="Shop"/>
    <n v="639"/>
    <n v="172"/>
    <n v="197"/>
    <n v="228"/>
    <n v="6"/>
    <n v="36"/>
  </r>
  <r>
    <x v="1"/>
    <x v="11"/>
    <s v="Other Premises Open to Public"/>
    <n v="320"/>
    <n v="84"/>
    <n v="8"/>
    <n v="217"/>
    <n v="7"/>
    <n v="4"/>
  </r>
  <r>
    <x v="1"/>
    <x v="12"/>
    <s v="Factory or Warehouse"/>
    <n v="485"/>
    <n v="44"/>
    <n v="170"/>
    <n v="267"/>
    <n v="3"/>
    <n v="1"/>
  </r>
  <r>
    <x v="1"/>
    <x v="13"/>
    <s v="Office"/>
    <n v="379"/>
    <n v="84"/>
    <n v="35"/>
    <n v="240"/>
    <n v="5"/>
    <n v="15"/>
  </r>
  <r>
    <x v="1"/>
    <x v="14"/>
    <s v="Other Workplace"/>
    <n v="198"/>
    <n v="26"/>
    <n v="39"/>
    <n v="128"/>
    <n v="5"/>
    <m/>
  </r>
  <r>
    <x v="2"/>
    <x v="0"/>
    <s v="Hospital / Prison"/>
    <n v="396"/>
    <n v="51"/>
    <n v="17"/>
    <n v="314"/>
    <n v="6"/>
    <n v="8"/>
  </r>
  <r>
    <x v="2"/>
    <x v="1"/>
    <s v="Care Home"/>
    <n v="1719"/>
    <n v="219"/>
    <n v="638"/>
    <n v="783"/>
    <n v="12"/>
    <n v="67"/>
  </r>
  <r>
    <x v="2"/>
    <x v="2"/>
    <s v="HMO"/>
    <n v="2650"/>
    <n v="106"/>
    <n v="343"/>
    <n v="2130"/>
    <n v="2"/>
    <n v="69"/>
  </r>
  <r>
    <x v="2"/>
    <x v="3"/>
    <s v="Hostel"/>
    <n v="128"/>
    <n v="27"/>
    <n v="10"/>
    <n v="83"/>
    <n v="3"/>
    <n v="5"/>
  </r>
  <r>
    <x v="2"/>
    <x v="4"/>
    <s v="Hotel"/>
    <n v="1138"/>
    <n v="248"/>
    <n v="57"/>
    <n v="800"/>
    <n v="33"/>
    <m/>
  </r>
  <r>
    <x v="2"/>
    <x v="5"/>
    <s v="Other Sleeping Accommodation"/>
    <n v="371"/>
    <n v="35"/>
    <n v="84"/>
    <n v="245"/>
    <m/>
    <n v="7"/>
  </r>
  <r>
    <x v="2"/>
    <x v="6"/>
    <s v="Further Education"/>
    <n v="21"/>
    <n v="3"/>
    <m/>
    <n v="16"/>
    <n v="1"/>
    <n v="1"/>
  </r>
  <r>
    <x v="2"/>
    <x v="7"/>
    <s v="Public Building"/>
    <n v="66"/>
    <n v="10"/>
    <n v="1"/>
    <n v="55"/>
    <m/>
    <m/>
  </r>
  <r>
    <x v="2"/>
    <x v="8"/>
    <s v="Licensed Premises"/>
    <n v="482"/>
    <n v="85"/>
    <n v="55"/>
    <n v="327"/>
    <n v="8"/>
    <n v="7"/>
  </r>
  <r>
    <x v="2"/>
    <x v="9"/>
    <s v="School"/>
    <n v="363"/>
    <n v="55"/>
    <n v="38"/>
    <n v="241"/>
    <n v="10"/>
    <n v="19"/>
  </r>
  <r>
    <x v="2"/>
    <x v="10"/>
    <s v="Shop"/>
    <n v="523"/>
    <n v="52"/>
    <n v="46"/>
    <n v="346"/>
    <n v="2"/>
    <n v="77"/>
  </r>
  <r>
    <x v="2"/>
    <x v="11"/>
    <s v="Other Premises Open to Public"/>
    <n v="235"/>
    <n v="59"/>
    <n v="8"/>
    <n v="160"/>
    <n v="2"/>
    <n v="6"/>
  </r>
  <r>
    <x v="2"/>
    <x v="12"/>
    <s v="Factory or Warehouse"/>
    <n v="329"/>
    <n v="52"/>
    <n v="49"/>
    <n v="225"/>
    <n v="3"/>
    <m/>
  </r>
  <r>
    <x v="2"/>
    <x v="13"/>
    <s v="Office"/>
    <n v="275"/>
    <n v="46"/>
    <n v="25"/>
    <n v="191"/>
    <n v="8"/>
    <n v="5"/>
  </r>
  <r>
    <x v="2"/>
    <x v="14"/>
    <s v="Other Workplace"/>
    <n v="243"/>
    <n v="56"/>
    <n v="38"/>
    <n v="145"/>
    <n v="4"/>
    <m/>
  </r>
  <r>
    <x v="3"/>
    <x v="0"/>
    <s v="Hospital / Prison"/>
    <n v="367"/>
    <n v="71"/>
    <n v="25"/>
    <n v="262"/>
    <n v="4"/>
    <n v="5"/>
  </r>
  <r>
    <x v="3"/>
    <x v="1"/>
    <s v="Care Home"/>
    <n v="1653"/>
    <n v="201"/>
    <n v="580"/>
    <n v="791"/>
    <n v="9"/>
    <n v="72"/>
  </r>
  <r>
    <x v="3"/>
    <x v="2"/>
    <s v="HMO"/>
    <n v="2077"/>
    <n v="203"/>
    <n v="246"/>
    <n v="1559"/>
    <m/>
    <n v="69"/>
  </r>
  <r>
    <x v="3"/>
    <x v="3"/>
    <s v="Hostel"/>
    <n v="104"/>
    <n v="21"/>
    <n v="12"/>
    <n v="63"/>
    <n v="2"/>
    <n v="6"/>
  </r>
  <r>
    <x v="3"/>
    <x v="4"/>
    <s v="Hotel"/>
    <n v="1167"/>
    <n v="256"/>
    <n v="73"/>
    <n v="819"/>
    <n v="17"/>
    <n v="2"/>
  </r>
  <r>
    <x v="3"/>
    <x v="5"/>
    <s v="Other Sleeping Accommodation"/>
    <n v="408"/>
    <n v="53"/>
    <n v="81"/>
    <n v="273"/>
    <m/>
    <n v="1"/>
  </r>
  <r>
    <x v="3"/>
    <x v="6"/>
    <s v="Further Education"/>
    <n v="37"/>
    <n v="14"/>
    <m/>
    <n v="21"/>
    <n v="1"/>
    <n v="1"/>
  </r>
  <r>
    <x v="3"/>
    <x v="7"/>
    <s v="Public Building"/>
    <n v="59"/>
    <n v="12"/>
    <n v="2"/>
    <n v="42"/>
    <n v="2"/>
    <n v="1"/>
  </r>
  <r>
    <x v="3"/>
    <x v="8"/>
    <s v="Licensed Premises"/>
    <n v="332"/>
    <n v="70"/>
    <n v="35"/>
    <n v="219"/>
    <n v="3"/>
    <n v="5"/>
  </r>
  <r>
    <x v="3"/>
    <x v="9"/>
    <s v="School"/>
    <n v="268"/>
    <n v="29"/>
    <n v="35"/>
    <n v="178"/>
    <n v="2"/>
    <n v="24"/>
  </r>
  <r>
    <x v="3"/>
    <x v="10"/>
    <s v="Shop"/>
    <n v="362"/>
    <n v="55"/>
    <n v="48"/>
    <n v="231"/>
    <n v="1"/>
    <n v="27"/>
  </r>
  <r>
    <x v="3"/>
    <x v="11"/>
    <s v="Other Premises Open to Public"/>
    <n v="240"/>
    <n v="62"/>
    <n v="6"/>
    <n v="166"/>
    <n v="2"/>
    <n v="4"/>
  </r>
  <r>
    <x v="3"/>
    <x v="12"/>
    <s v="Factory or Warehouse"/>
    <n v="228"/>
    <n v="44"/>
    <n v="32"/>
    <n v="150"/>
    <m/>
    <n v="2"/>
  </r>
  <r>
    <x v="3"/>
    <x v="13"/>
    <s v="Office"/>
    <n v="220"/>
    <n v="55"/>
    <n v="18"/>
    <n v="140"/>
    <n v="3"/>
    <n v="4"/>
  </r>
  <r>
    <x v="3"/>
    <x v="14"/>
    <s v="Other Workplace"/>
    <n v="113"/>
    <n v="17"/>
    <n v="19"/>
    <n v="72"/>
    <n v="4"/>
    <n v="1"/>
  </r>
  <r>
    <x v="4"/>
    <x v="0"/>
    <s v="Hospital / Prison"/>
    <n v="471"/>
    <n v="70"/>
    <n v="36"/>
    <n v="353"/>
    <n v="5"/>
    <n v="7"/>
  </r>
  <r>
    <x v="4"/>
    <x v="1"/>
    <s v="Care Home"/>
    <n v="1775"/>
    <n v="201"/>
    <n v="668"/>
    <n v="807"/>
    <n v="7"/>
    <n v="92"/>
  </r>
  <r>
    <x v="4"/>
    <x v="2"/>
    <s v="HMO"/>
    <n v="1862"/>
    <n v="109"/>
    <n v="263"/>
    <n v="1407"/>
    <n v="2"/>
    <n v="81"/>
  </r>
  <r>
    <x v="4"/>
    <x v="3"/>
    <s v="Hostel"/>
    <n v="88"/>
    <n v="12"/>
    <n v="10"/>
    <n v="59"/>
    <n v="2"/>
    <n v="5"/>
  </r>
  <r>
    <x v="4"/>
    <x v="4"/>
    <s v="Hotel"/>
    <n v="1030"/>
    <n v="209"/>
    <n v="70"/>
    <n v="734"/>
    <n v="17"/>
    <m/>
  </r>
  <r>
    <x v="4"/>
    <x v="5"/>
    <s v="Other Sleeping Accommodation"/>
    <n v="323"/>
    <n v="28"/>
    <n v="92"/>
    <n v="199"/>
    <m/>
    <n v="4"/>
  </r>
  <r>
    <x v="4"/>
    <x v="6"/>
    <s v="Further Education"/>
    <n v="31"/>
    <n v="5"/>
    <n v="2"/>
    <n v="23"/>
    <m/>
    <n v="1"/>
  </r>
  <r>
    <x v="4"/>
    <x v="7"/>
    <s v="Public Building"/>
    <n v="60"/>
    <n v="14"/>
    <n v="2"/>
    <n v="43"/>
    <m/>
    <n v="1"/>
  </r>
  <r>
    <x v="4"/>
    <x v="8"/>
    <s v="Licensed Premises"/>
    <n v="374"/>
    <n v="84"/>
    <n v="36"/>
    <n v="247"/>
    <n v="1"/>
    <n v="6"/>
  </r>
  <r>
    <x v="4"/>
    <x v="9"/>
    <s v="School"/>
    <n v="470"/>
    <n v="66"/>
    <n v="41"/>
    <n v="325"/>
    <n v="3"/>
    <n v="35"/>
  </r>
  <r>
    <x v="4"/>
    <x v="10"/>
    <s v="Shop"/>
    <n v="382"/>
    <n v="45"/>
    <n v="49"/>
    <n v="267"/>
    <n v="3"/>
    <n v="18"/>
  </r>
  <r>
    <x v="4"/>
    <x v="11"/>
    <s v="Other Premises Open to Public"/>
    <n v="283"/>
    <n v="59"/>
    <n v="20"/>
    <n v="196"/>
    <n v="6"/>
    <n v="2"/>
  </r>
  <r>
    <x v="4"/>
    <x v="12"/>
    <s v="Factory or Warehouse"/>
    <n v="267"/>
    <n v="51"/>
    <n v="42"/>
    <n v="173"/>
    <n v="1"/>
    <m/>
  </r>
  <r>
    <x v="4"/>
    <x v="13"/>
    <s v="Office"/>
    <n v="267"/>
    <n v="62"/>
    <n v="29"/>
    <n v="170"/>
    <n v="4"/>
    <n v="2"/>
  </r>
  <r>
    <x v="4"/>
    <x v="14"/>
    <s v="Other Workplace"/>
    <n v="189"/>
    <n v="33"/>
    <n v="34"/>
    <n v="121"/>
    <n v="1"/>
    <m/>
  </r>
  <r>
    <x v="5"/>
    <x v="0"/>
    <s v="Hospital / Prison"/>
    <n v="298"/>
    <n v="27"/>
    <n v="19"/>
    <n v="239"/>
    <n v="2"/>
    <n v="11"/>
  </r>
  <r>
    <x v="5"/>
    <x v="1"/>
    <s v="Care Home"/>
    <n v="1486"/>
    <n v="187"/>
    <n v="634"/>
    <n v="562"/>
    <n v="8"/>
    <n v="95"/>
  </r>
  <r>
    <x v="5"/>
    <x v="2"/>
    <s v="HMO"/>
    <n v="1951"/>
    <n v="154"/>
    <n v="218"/>
    <n v="1510"/>
    <m/>
    <n v="69"/>
  </r>
  <r>
    <x v="5"/>
    <x v="3"/>
    <s v="Hostel"/>
    <n v="71"/>
    <n v="13"/>
    <n v="8"/>
    <n v="42"/>
    <n v="2"/>
    <n v="6"/>
  </r>
  <r>
    <x v="5"/>
    <x v="4"/>
    <s v="Hotel"/>
    <n v="1081"/>
    <n v="191"/>
    <n v="131"/>
    <n v="746"/>
    <n v="12"/>
    <n v="1"/>
  </r>
  <r>
    <x v="5"/>
    <x v="5"/>
    <s v="Other Sleeping Accommodation"/>
    <n v="470"/>
    <n v="28"/>
    <n v="92"/>
    <n v="335"/>
    <m/>
    <n v="15"/>
  </r>
  <r>
    <x v="5"/>
    <x v="6"/>
    <s v="Further Education"/>
    <n v="25"/>
    <n v="2"/>
    <n v="5"/>
    <n v="18"/>
    <m/>
    <m/>
  </r>
  <r>
    <x v="5"/>
    <x v="7"/>
    <s v="Public Building"/>
    <n v="39"/>
    <n v="12"/>
    <n v="3"/>
    <n v="24"/>
    <m/>
    <m/>
  </r>
  <r>
    <x v="5"/>
    <x v="8"/>
    <s v="Licensed Premises"/>
    <n v="289"/>
    <n v="73"/>
    <n v="38"/>
    <n v="167"/>
    <n v="2"/>
    <n v="9"/>
  </r>
  <r>
    <x v="5"/>
    <x v="9"/>
    <s v="School"/>
    <n v="271"/>
    <n v="44"/>
    <n v="30"/>
    <n v="170"/>
    <n v="4"/>
    <n v="23"/>
  </r>
  <r>
    <x v="5"/>
    <x v="10"/>
    <s v="Shop"/>
    <n v="358"/>
    <n v="46"/>
    <n v="72"/>
    <n v="179"/>
    <m/>
    <n v="61"/>
  </r>
  <r>
    <x v="5"/>
    <x v="11"/>
    <s v="Other Premises Open to Public"/>
    <n v="279"/>
    <n v="66"/>
    <n v="8"/>
    <n v="202"/>
    <n v="1"/>
    <n v="2"/>
  </r>
  <r>
    <x v="5"/>
    <x v="12"/>
    <s v="Factory or Warehouse"/>
    <n v="241"/>
    <n v="53"/>
    <n v="46"/>
    <n v="137"/>
    <n v="2"/>
    <n v="3"/>
  </r>
  <r>
    <x v="5"/>
    <x v="13"/>
    <s v="Office"/>
    <n v="285"/>
    <n v="90"/>
    <n v="19"/>
    <n v="168"/>
    <n v="4"/>
    <n v="4"/>
  </r>
  <r>
    <x v="5"/>
    <x v="14"/>
    <s v="Other Workplace"/>
    <n v="117"/>
    <n v="41"/>
    <n v="23"/>
    <n v="51"/>
    <n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pivotTable1.xml><?xml version="1.0" encoding="utf-8"?>
<pivotTableDefinition xmlns="http://schemas.openxmlformats.org/spreadsheetml/2006/main" name="PivotTable2" cacheId="35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D2:D4" firstHeaderRow="1" firstDataRow="1" firstDataCol="1"/>
  <pivotFields count="1">
    <pivotField axis="axisRow" subtotalTop="0" showAll="0">
      <items count="3">
        <item h="1" x="0"/>
        <item x="1"/>
        <item t="default"/>
      </items>
    </pivotField>
  </pivotFields>
  <rowFields count="1">
    <field x="0"/>
  </rowFields>
  <rowItems count="2">
    <i>
      <x v="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2" cacheId="38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0:H46" firstHeaderRow="1" firstDataRow="2" firstDataCol="1" rowPageCount="2" colPageCount="1"/>
  <pivotFields count="5">
    <pivotField axis="axisPage" subtotalTop="0" showAll="0">
      <items count="4">
        <item x="0"/>
        <item x="1"/>
        <item x="2"/>
        <item t="default"/>
      </items>
    </pivotField>
    <pivotField axis="axisPage" subtotalTop="0" showAll="0">
      <items count="4">
        <item x="1"/>
        <item x="0"/>
        <item x="2"/>
        <item t="default"/>
      </items>
    </pivotField>
    <pivotField axis="axisRow" subtotalTop="0" showAll="0">
      <items count="19">
        <item x="0"/>
        <item x="1"/>
        <item m="1" x="17"/>
        <item x="12"/>
        <item x="14"/>
        <item x="13"/>
        <item x="8"/>
        <item x="9"/>
        <item x="15"/>
        <item x="10"/>
        <item x="2"/>
        <item x="4"/>
        <item x="3"/>
        <item x="11"/>
        <item x="5"/>
        <item x="6"/>
        <item x="7"/>
        <item x="16"/>
        <item t="default"/>
      </items>
    </pivotField>
    <pivotField axis="axisCol" subtotalTop="0" showAll="0">
      <items count="8">
        <item x="1"/>
        <item x="5"/>
        <item x="2"/>
        <item x="3"/>
        <item x="4"/>
        <item x="0"/>
        <item x="6"/>
        <item t="default"/>
      </items>
    </pivotField>
    <pivotField dataField="1" subtotalTop="0" showAll="0"/>
  </pivotFields>
  <rowFields count="1">
    <field x="2"/>
  </rowFields>
  <rowItems count="15">
    <i>
      <x/>
    </i>
    <i>
      <x v="1"/>
    </i>
    <i>
      <x v="3"/>
    </i>
    <i>
      <x v="4"/>
    </i>
    <i>
      <x v="7"/>
    </i>
    <i>
      <x v="8"/>
    </i>
    <i>
      <x v="9"/>
    </i>
    <i>
      <x v="10"/>
    </i>
    <i>
      <x v="11"/>
    </i>
    <i>
      <x v="12"/>
    </i>
    <i>
      <x v="13"/>
    </i>
    <i>
      <x v="14"/>
    </i>
    <i>
      <x v="15"/>
    </i>
    <i>
      <x v="16"/>
    </i>
    <i t="grand">
      <x/>
    </i>
  </rowItems>
  <colFields count="1">
    <field x="3"/>
  </colFields>
  <colItems count="7">
    <i>
      <x/>
    </i>
    <i>
      <x v="1"/>
    </i>
    <i>
      <x v="2"/>
    </i>
    <i>
      <x v="3"/>
    </i>
    <i>
      <x v="4"/>
    </i>
    <i>
      <x v="5"/>
    </i>
    <i t="grand">
      <x/>
    </i>
  </colItems>
  <pageFields count="2">
    <pageField fld="0" item="1" hier="-1"/>
    <pageField fld="1"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3" cacheId="35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G60" firstHeaderRow="0" firstDataRow="1" firstDataCol="1" rowPageCount="1" colPageCount="1"/>
  <pivotFields count="11">
    <pivotField axis="axisPage" multipleItemSelectionAllowed="1" showAll="0">
      <items count="8">
        <item h="1" x="0"/>
        <item h="1" x="1"/>
        <item h="1" x="2"/>
        <item h="1" x="3"/>
        <item h="1" x="4"/>
        <item h="1" x="5"/>
        <item x="6"/>
        <item t="default"/>
      </items>
    </pivotField>
    <pivotField axis="axisRow" showAll="0">
      <items count="5">
        <item x="0"/>
        <item x="1"/>
        <item x="2"/>
        <item x="3"/>
        <item t="default"/>
      </items>
    </pivotField>
    <pivotField showAll="0"/>
    <pivotField axis="axisRow" showAll="0">
      <items count="49">
        <item x="19"/>
        <item x="20"/>
        <item x="32"/>
        <item x="26"/>
        <item x="21"/>
        <item x="33"/>
        <item x="22"/>
        <item x="0"/>
        <item x="1"/>
        <item x="27"/>
        <item x="42"/>
        <item x="44"/>
        <item x="2"/>
        <item x="34"/>
        <item x="29"/>
        <item x="3"/>
        <item x="35"/>
        <item x="4"/>
        <item x="36"/>
        <item x="37"/>
        <item x="6"/>
        <item x="38"/>
        <item x="31"/>
        <item x="30"/>
        <item x="7"/>
        <item x="39"/>
        <item x="8"/>
        <item x="9"/>
        <item x="10"/>
        <item x="5"/>
        <item x="45"/>
        <item x="11"/>
        <item x="28"/>
        <item x="12"/>
        <item x="13"/>
        <item x="23"/>
        <item x="46"/>
        <item x="14"/>
        <item x="15"/>
        <item x="16"/>
        <item x="17"/>
        <item x="18"/>
        <item x="40"/>
        <item x="43"/>
        <item x="24"/>
        <item x="25"/>
        <item x="41"/>
        <item x="47"/>
        <item t="default"/>
      </items>
    </pivotField>
    <pivotField showAll="0"/>
    <pivotField dataField="1" showAll="0"/>
    <pivotField dataField="1" showAll="0"/>
    <pivotField dataField="1" showAll="0"/>
    <pivotField dataField="1" showAll="0"/>
    <pivotField dataField="1" showAll="0"/>
    <pivotField dataField="1" showAll="0"/>
  </pivotFields>
  <rowFields count="2">
    <field x="1"/>
    <field x="3"/>
  </rowFields>
  <rowItems count="57">
    <i>
      <x/>
    </i>
    <i r="1">
      <x/>
    </i>
    <i r="1">
      <x v="1"/>
    </i>
    <i r="1">
      <x v="3"/>
    </i>
    <i r="1">
      <x v="4"/>
    </i>
    <i r="1">
      <x v="6"/>
    </i>
    <i r="1">
      <x v="7"/>
    </i>
    <i r="1">
      <x v="8"/>
    </i>
    <i r="1">
      <x v="9"/>
    </i>
    <i r="1">
      <x v="12"/>
    </i>
    <i r="1">
      <x v="14"/>
    </i>
    <i r="1">
      <x v="15"/>
    </i>
    <i r="1">
      <x v="17"/>
    </i>
    <i r="1">
      <x v="20"/>
    </i>
    <i r="1">
      <x v="22"/>
    </i>
    <i r="1">
      <x v="23"/>
    </i>
    <i r="1">
      <x v="24"/>
    </i>
    <i r="1">
      <x v="26"/>
    </i>
    <i r="1">
      <x v="27"/>
    </i>
    <i r="1">
      <x v="28"/>
    </i>
    <i r="1">
      <x v="29"/>
    </i>
    <i r="1">
      <x v="31"/>
    </i>
    <i r="1">
      <x v="32"/>
    </i>
    <i r="1">
      <x v="33"/>
    </i>
    <i r="1">
      <x v="34"/>
    </i>
    <i r="1">
      <x v="35"/>
    </i>
    <i r="1">
      <x v="37"/>
    </i>
    <i r="1">
      <x v="38"/>
    </i>
    <i r="1">
      <x v="39"/>
    </i>
    <i r="1">
      <x v="40"/>
    </i>
    <i r="1">
      <x v="41"/>
    </i>
    <i r="1">
      <x v="44"/>
    </i>
    <i r="1">
      <x v="45"/>
    </i>
    <i>
      <x v="1"/>
    </i>
    <i r="1">
      <x/>
    </i>
    <i r="1">
      <x v="2"/>
    </i>
    <i r="1">
      <x v="5"/>
    </i>
    <i r="1">
      <x v="8"/>
    </i>
    <i r="1">
      <x v="10"/>
    </i>
    <i r="1">
      <x v="13"/>
    </i>
    <i r="1">
      <x v="16"/>
    </i>
    <i r="1">
      <x v="18"/>
    </i>
    <i r="1">
      <x v="19"/>
    </i>
    <i r="1">
      <x v="21"/>
    </i>
    <i r="1">
      <x v="23"/>
    </i>
    <i r="1">
      <x v="25"/>
    </i>
    <i r="1">
      <x v="32"/>
    </i>
    <i r="1">
      <x v="40"/>
    </i>
    <i r="1">
      <x v="46"/>
    </i>
    <i r="1">
      <x v="47"/>
    </i>
    <i>
      <x v="2"/>
    </i>
    <i r="1">
      <x v="11"/>
    </i>
    <i r="1">
      <x v="30"/>
    </i>
    <i r="1">
      <x v="43"/>
    </i>
    <i>
      <x v="3"/>
    </i>
    <i r="1">
      <x v="36"/>
    </i>
    <i t="grand">
      <x/>
    </i>
  </rowItems>
  <colFields count="1">
    <field x="-2"/>
  </colFields>
  <colItems count="6">
    <i>
      <x/>
    </i>
    <i i="1">
      <x v="1"/>
    </i>
    <i i="2">
      <x v="2"/>
    </i>
    <i i="3">
      <x v="3"/>
    </i>
    <i i="4">
      <x v="4"/>
    </i>
    <i i="5">
      <x v="5"/>
    </i>
  </colItems>
  <pageFields count="1">
    <pageField fld="0" hier="-1"/>
  </pageFields>
  <dataFields count="6">
    <dataField name="Sum of WT" fld="10" baseField="3" baseItem="0"/>
    <dataField name="Sum of RDS" fld="6" baseField="3" baseItem="0"/>
    <dataField name="Sum of RDS Fulltime" fld="7" baseField="3" baseItem="7"/>
    <dataField name="Sum of Control" fld="5" baseField="3" baseItem="0"/>
    <dataField name="Sum of Support" fld="8" baseField="3" baseItem="0"/>
    <dataField name="Sum of Vol"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3" cacheId="35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8" firstHeaderRow="0" firstDataRow="1" firstDataCol="1" rowPageCount="1" colPageCount="1"/>
  <pivotFields count="10">
    <pivotField axis="axisPage" subtotalTop="0" showAll="0">
      <items count="3">
        <item x="0"/>
        <item x="1"/>
        <item t="default"/>
      </items>
    </pivotField>
    <pivotField axis="axisRow" subtotalTop="0" showAll="0">
      <items count="5">
        <item x="0"/>
        <item x="1"/>
        <item x="2"/>
        <item x="3"/>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5">
    <i>
      <x/>
    </i>
    <i>
      <x v="1"/>
    </i>
    <i>
      <x v="2"/>
    </i>
    <i>
      <x v="3"/>
    </i>
    <i t="grand">
      <x/>
    </i>
  </rowItems>
  <colFields count="1">
    <field x="-2"/>
  </colFields>
  <colItems count="7">
    <i>
      <x/>
    </i>
    <i i="1">
      <x v="1"/>
    </i>
    <i i="2">
      <x v="2"/>
    </i>
    <i i="3">
      <x v="3"/>
    </i>
    <i i="4">
      <x v="4"/>
    </i>
    <i i="5">
      <x v="5"/>
    </i>
    <i i="6">
      <x v="6"/>
    </i>
  </colItems>
  <pageFields count="1">
    <pageField fld="0" item="1" hier="-1"/>
  </pageFields>
  <dataFields count="7">
    <dataField name="Sum of Brigade Manager" fld="4" baseField="1" baseItem="0"/>
    <dataField name="Sum of Area Manager" fld="3" baseField="1" baseItem="0"/>
    <dataField name="Sum of Group Manager" fld="7" baseField="1" baseItem="0"/>
    <dataField name="Sum of Station Manager" fld="8" baseField="1" baseItem="0"/>
    <dataField name="Sum of Watch Manager" fld="9" baseField="1" baseItem="0"/>
    <dataField name="Sum of Crew Manager" fld="5" baseField="1" baseItem="0"/>
    <dataField name="Sum of Firefighter"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4" cacheId="38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H57" firstHeaderRow="0" firstDataRow="1" firstDataCol="1" rowPageCount="1" colPageCount="1"/>
  <pivotFields count="12">
    <pivotField axis="axisPage" multipleItemSelectionAllowed="1" showAll="0" defaultSubtotal="0">
      <items count="7">
        <item h="1" x="0"/>
        <item h="1" x="1"/>
        <item h="1" x="2"/>
        <item h="1" x="3"/>
        <item h="1" x="4"/>
        <item h="1" x="5"/>
        <item x="6"/>
      </items>
    </pivotField>
    <pivotField axis="axisRow" showAll="0">
      <items count="5">
        <item x="0"/>
        <item x="1"/>
        <item x="2"/>
        <item x="3"/>
        <item t="default"/>
      </items>
    </pivotField>
    <pivotField showAll="0"/>
    <pivotField axis="axisRow" showAll="0">
      <items count="49">
        <item x="19"/>
        <item x="20"/>
        <item x="32"/>
        <item x="26"/>
        <item x="21"/>
        <item x="33"/>
        <item x="22"/>
        <item x="0"/>
        <item x="1"/>
        <item x="27"/>
        <item x="42"/>
        <item x="44"/>
        <item x="2"/>
        <item x="34"/>
        <item x="29"/>
        <item x="3"/>
        <item x="35"/>
        <item x="4"/>
        <item x="36"/>
        <item x="37"/>
        <item x="6"/>
        <item x="38"/>
        <item x="31"/>
        <item x="30"/>
        <item x="7"/>
        <item x="39"/>
        <item x="8"/>
        <item x="9"/>
        <item x="10"/>
        <item x="5"/>
        <item x="45"/>
        <item x="11"/>
        <item x="28"/>
        <item x="12"/>
        <item x="13"/>
        <item x="23"/>
        <item x="46"/>
        <item x="14"/>
        <item x="15"/>
        <item x="16"/>
        <item x="17"/>
        <item x="18"/>
        <item x="40"/>
        <item x="43"/>
        <item x="24"/>
        <item x="25"/>
        <item x="41"/>
        <item x="47"/>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2">
    <field x="1"/>
    <field x="3"/>
  </rowFields>
  <rowItems count="54">
    <i>
      <x/>
    </i>
    <i r="1">
      <x/>
    </i>
    <i r="1">
      <x v="1"/>
    </i>
    <i r="1">
      <x v="3"/>
    </i>
    <i r="1">
      <x v="4"/>
    </i>
    <i r="1">
      <x v="6"/>
    </i>
    <i r="1">
      <x v="7"/>
    </i>
    <i r="1">
      <x v="8"/>
    </i>
    <i r="1">
      <x v="9"/>
    </i>
    <i r="1">
      <x v="12"/>
    </i>
    <i r="1">
      <x v="14"/>
    </i>
    <i r="1">
      <x v="15"/>
    </i>
    <i r="1">
      <x v="17"/>
    </i>
    <i r="1">
      <x v="20"/>
    </i>
    <i r="1">
      <x v="22"/>
    </i>
    <i r="1">
      <x v="23"/>
    </i>
    <i r="1">
      <x v="24"/>
    </i>
    <i r="1">
      <x v="26"/>
    </i>
    <i r="1">
      <x v="27"/>
    </i>
    <i r="1">
      <x v="28"/>
    </i>
    <i r="1">
      <x v="31"/>
    </i>
    <i r="1">
      <x v="32"/>
    </i>
    <i r="1">
      <x v="34"/>
    </i>
    <i r="1">
      <x v="35"/>
    </i>
    <i r="1">
      <x v="37"/>
    </i>
    <i r="1">
      <x v="39"/>
    </i>
    <i r="1">
      <x v="40"/>
    </i>
    <i r="1">
      <x v="41"/>
    </i>
    <i r="1">
      <x v="44"/>
    </i>
    <i r="1">
      <x v="45"/>
    </i>
    <i>
      <x v="1"/>
    </i>
    <i r="1">
      <x/>
    </i>
    <i r="1">
      <x v="2"/>
    </i>
    <i r="1">
      <x v="5"/>
    </i>
    <i r="1">
      <x v="8"/>
    </i>
    <i r="1">
      <x v="10"/>
    </i>
    <i r="1">
      <x v="13"/>
    </i>
    <i r="1">
      <x v="16"/>
    </i>
    <i r="1">
      <x v="18"/>
    </i>
    <i r="1">
      <x v="19"/>
    </i>
    <i r="1">
      <x v="21"/>
    </i>
    <i r="1">
      <x v="23"/>
    </i>
    <i r="1">
      <x v="25"/>
    </i>
    <i r="1">
      <x v="32"/>
    </i>
    <i r="1">
      <x v="40"/>
    </i>
    <i r="1">
      <x v="46"/>
    </i>
    <i r="1">
      <x v="47"/>
    </i>
    <i>
      <x v="2"/>
    </i>
    <i r="1">
      <x v="11"/>
    </i>
    <i r="1">
      <x v="30"/>
    </i>
    <i r="1">
      <x v="43"/>
    </i>
    <i>
      <x v="3"/>
    </i>
    <i r="1">
      <x v="36"/>
    </i>
    <i t="grand">
      <x/>
    </i>
  </rowItems>
  <colFields count="1">
    <field x="-2"/>
  </colFields>
  <colItems count="7">
    <i>
      <x/>
    </i>
    <i i="1">
      <x v="1"/>
    </i>
    <i i="2">
      <x v="2"/>
    </i>
    <i i="3">
      <x v="3"/>
    </i>
    <i i="4">
      <x v="4"/>
    </i>
    <i i="5">
      <x v="5"/>
    </i>
    <i i="6">
      <x v="6"/>
    </i>
  </colItems>
  <pageFields count="1">
    <pageField fld="0" hier="-1"/>
  </pageFields>
  <dataFields count="7">
    <dataField name="Sum of Brigade Commander" fld="6" baseField="1" baseItem="0"/>
    <dataField name="Sum of Area Commander" fld="5" baseField="1" baseItem="0"/>
    <dataField name="Sum of Group Commander" fld="9" baseField="1" baseItem="0"/>
    <dataField name="Sum of Station Commander" fld="10" baseField="1" baseItem="0"/>
    <dataField name="Sum of Watch Commander" fld="11" baseField="0" baseItem="0"/>
    <dataField name="Sum of Crew Commander" fld="7" baseField="1" baseItem="0"/>
    <dataField name="Sum of Firefighter"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6" cacheId="37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D34" firstHeaderRow="0" firstDataRow="1" firstDataCol="1" rowPageCount="1" colPageCount="1"/>
  <pivotFields count="8">
    <pivotField axis="axisPage" showAll="0">
      <items count="8">
        <item x="0"/>
        <item x="1"/>
        <item x="2"/>
        <item x="3"/>
        <item x="4"/>
        <item x="5"/>
        <item x="6"/>
        <item t="default"/>
      </items>
    </pivotField>
    <pivotField axis="axisRow" showAll="0">
      <items count="2">
        <item x="0"/>
        <item t="default"/>
      </items>
    </pivotField>
    <pivotField showAll="0"/>
    <pivotField axis="axisRow" showAll="0">
      <items count="33">
        <item x="19"/>
        <item x="20"/>
        <item x="26"/>
        <item x="21"/>
        <item x="22"/>
        <item x="0"/>
        <item x="1"/>
        <item x="27"/>
        <item x="2"/>
        <item x="29"/>
        <item x="3"/>
        <item x="4"/>
        <item x="6"/>
        <item x="31"/>
        <item x="30"/>
        <item x="7"/>
        <item x="8"/>
        <item x="9"/>
        <item x="10"/>
        <item x="5"/>
        <item x="11"/>
        <item x="28"/>
        <item x="12"/>
        <item x="13"/>
        <item x="23"/>
        <item x="14"/>
        <item x="15"/>
        <item x="16"/>
        <item x="17"/>
        <item x="18"/>
        <item x="24"/>
        <item x="25"/>
        <item t="default"/>
      </items>
    </pivotField>
    <pivotField showAll="0"/>
    <pivotField dataField="1" showAll="0"/>
    <pivotField dataField="1" showAll="0"/>
    <pivotField dataField="1" showAll="0"/>
  </pivotFields>
  <rowFields count="2">
    <field x="1"/>
    <field x="3"/>
  </rowFields>
  <rowItems count="31">
    <i>
      <x/>
    </i>
    <i r="1">
      <x/>
    </i>
    <i r="1">
      <x v="1"/>
    </i>
    <i r="1">
      <x v="2"/>
    </i>
    <i r="1">
      <x v="3"/>
    </i>
    <i r="1">
      <x v="4"/>
    </i>
    <i r="1">
      <x v="5"/>
    </i>
    <i r="1">
      <x v="6"/>
    </i>
    <i r="1">
      <x v="7"/>
    </i>
    <i r="1">
      <x v="8"/>
    </i>
    <i r="1">
      <x v="10"/>
    </i>
    <i r="1">
      <x v="12"/>
    </i>
    <i r="1">
      <x v="13"/>
    </i>
    <i r="1">
      <x v="15"/>
    </i>
    <i r="1">
      <x v="16"/>
    </i>
    <i r="1">
      <x v="17"/>
    </i>
    <i r="1">
      <x v="18"/>
    </i>
    <i r="1">
      <x v="19"/>
    </i>
    <i r="1">
      <x v="20"/>
    </i>
    <i r="1">
      <x v="21"/>
    </i>
    <i r="1">
      <x v="22"/>
    </i>
    <i r="1">
      <x v="23"/>
    </i>
    <i r="1">
      <x v="24"/>
    </i>
    <i r="1">
      <x v="25"/>
    </i>
    <i r="1">
      <x v="26"/>
    </i>
    <i r="1">
      <x v="27"/>
    </i>
    <i r="1">
      <x v="28"/>
    </i>
    <i r="1">
      <x v="29"/>
    </i>
    <i r="1">
      <x v="30"/>
    </i>
    <i r="1">
      <x v="31"/>
    </i>
    <i t="grand">
      <x/>
    </i>
  </rowItems>
  <colFields count="1">
    <field x="-2"/>
  </colFields>
  <colItems count="3">
    <i>
      <x/>
    </i>
    <i i="1">
      <x v="1"/>
    </i>
    <i i="2">
      <x v="2"/>
    </i>
  </colItems>
  <pageFields count="1">
    <pageField fld="0" item="6" hier="-1"/>
  </pageFields>
  <dataFields count="3">
    <dataField name="Sum of Watch Commander" fld="5" baseField="1" baseItem="0"/>
    <dataField name="Sum of Crew Commander" fld="6" baseField="0" baseItem="0"/>
    <dataField name="Sum of Firefighte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PivotTable1" cacheId="38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G8" firstHeaderRow="0" firstDataRow="1" firstDataCol="1" rowPageCount="1" colPageCount="1"/>
  <pivotFields count="9">
    <pivotField axis="axisPage" showAll="0">
      <items count="8">
        <item x="0"/>
        <item x="1"/>
        <item x="2"/>
        <item x="3"/>
        <item x="4"/>
        <item x="5"/>
        <item x="6"/>
        <item t="default"/>
      </items>
    </pivotField>
    <pivotField axis="axisRow" showAll="0">
      <items count="5">
        <item x="0"/>
        <item x="1"/>
        <item x="2"/>
        <item x="3"/>
        <item t="default"/>
      </items>
    </pivotField>
    <pivotField dataField="1" showAll="0"/>
    <pivotField dataField="1" showAll="0"/>
    <pivotField dataField="1" showAll="0"/>
    <pivotField showAll="0"/>
    <pivotField dataField="1" showAll="0"/>
    <pivotField dataField="1" showAll="0"/>
    <pivotField dataField="1" showAll="0"/>
  </pivotFields>
  <rowFields count="1">
    <field x="1"/>
  </rowFields>
  <rowItems count="5">
    <i>
      <x/>
    </i>
    <i>
      <x v="1"/>
    </i>
    <i>
      <x v="2"/>
    </i>
    <i>
      <x v="3"/>
    </i>
    <i t="grand">
      <x/>
    </i>
  </rowItems>
  <colFields count="1">
    <field x="-2"/>
  </colFields>
  <colItems count="6">
    <i>
      <x/>
    </i>
    <i i="1">
      <x v="1"/>
    </i>
    <i i="2">
      <x v="2"/>
    </i>
    <i i="3">
      <x v="3"/>
    </i>
    <i i="4">
      <x v="4"/>
    </i>
    <i i="5">
      <x v="5"/>
    </i>
  </colItems>
  <pageFields count="1">
    <pageField fld="0" item="6" hier="-1"/>
  </pageFields>
  <dataFields count="6">
    <dataField name="Sum of WT" fld="8" baseField="0" baseItem="0"/>
    <dataField name="Sum of RDS" fld="4" baseField="1" baseItem="0"/>
    <dataField name="Sum of Control" fld="3" baseField="1" baseItem="0"/>
    <dataField name="Sum of Support" fld="6" baseField="1" baseItem="0"/>
    <dataField name="Sum of Vol" fld="7" baseField="1"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PivotTable3" cacheId="38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0:I36" firstHeaderRow="0" firstDataRow="1" firstDataCol="1" rowPageCount="1" colPageCount="1"/>
  <pivotFields count="10">
    <pivotField axis="axisPage" showAll="0">
      <items count="8">
        <item x="0"/>
        <item x="1"/>
        <item x="2"/>
        <item x="3"/>
        <item x="4"/>
        <item x="5"/>
        <item x="6"/>
        <item t="default"/>
      </items>
    </pivotField>
    <pivotField axis="axisRow" showAll="0">
      <items count="6">
        <item x="0"/>
        <item x="1"/>
        <item x="3"/>
        <item x="2"/>
        <item x="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6">
    <i>
      <x/>
    </i>
    <i>
      <x v="1"/>
    </i>
    <i>
      <x v="2"/>
    </i>
    <i>
      <x v="3"/>
    </i>
    <i>
      <x v="4"/>
    </i>
    <i t="grand">
      <x/>
    </i>
  </rowItems>
  <colFields count="1">
    <field x="-2"/>
  </colFields>
  <colItems count="8">
    <i>
      <x/>
    </i>
    <i i="1">
      <x v="1"/>
    </i>
    <i i="2">
      <x v="2"/>
    </i>
    <i i="3">
      <x v="3"/>
    </i>
    <i i="4">
      <x v="4"/>
    </i>
    <i i="5">
      <x v="5"/>
    </i>
    <i i="6">
      <x v="6"/>
    </i>
    <i i="7">
      <x v="7"/>
    </i>
  </colItems>
  <pageFields count="1">
    <pageField fld="0" item="6" hier="-1"/>
  </pageFields>
  <dataFields count="8">
    <dataField name="Sum of Brigade Manager" fld="4" baseField="1" baseItem="0"/>
    <dataField name="Sum of Area Manager" fld="3" baseField="1" baseItem="0"/>
    <dataField name="Sum of Group Manager" fld="7" baseField="1" baseItem="0"/>
    <dataField name="Sum of Station Manager" fld="8" baseField="1" baseItem="1"/>
    <dataField name="Sum of Watch Manager" fld="9" baseField="0" baseItem="0"/>
    <dataField name="Sum of Crew Manager" fld="5" baseField="0" baseItem="0"/>
    <dataField name="Sum of Firefighter" fld="6"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PivotTable2" cacheId="38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0:I25" firstHeaderRow="0" firstDataRow="1" firstDataCol="1" rowPageCount="1" colPageCount="1"/>
  <pivotFields count="10">
    <pivotField axis="axisPage" showAll="0">
      <items count="8">
        <item x="0"/>
        <item x="1"/>
        <item x="2"/>
        <item x="3"/>
        <item x="4"/>
        <item x="5"/>
        <item x="6"/>
        <item t="default"/>
      </items>
    </pivotField>
    <pivotField axis="axisRow" showAll="0">
      <items count="5">
        <item x="0"/>
        <item x="1"/>
        <item x="2"/>
        <item x="3"/>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8">
    <i>
      <x/>
    </i>
    <i i="1">
      <x v="1"/>
    </i>
    <i i="2">
      <x v="2"/>
    </i>
    <i i="3">
      <x v="3"/>
    </i>
    <i i="4">
      <x v="4"/>
    </i>
    <i i="5">
      <x v="5"/>
    </i>
    <i i="6">
      <x v="6"/>
    </i>
    <i i="7">
      <x v="7"/>
    </i>
  </colItems>
  <pageFields count="1">
    <pageField fld="0" item="6" hier="-1"/>
  </pageFields>
  <dataFields count="8">
    <dataField name="Sum of Brigade Manager" fld="4" baseField="1" baseItem="0"/>
    <dataField name="Sum of Area Manager" fld="3" baseField="1" baseItem="0"/>
    <dataField name="Sum of Group Manager" fld="7" baseField="1" baseItem="0"/>
    <dataField name="Sum of Station Manager" fld="8" baseField="1" baseItem="0"/>
    <dataField name="Sum of Watch Manager" fld="9" baseField="0" baseItem="0"/>
    <dataField name="Sum of Crew Manager" fld="5" baseField="1" baseItem="0"/>
    <dataField name="Sum of Firefighter" fld="6" baseField="1"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ivotTable9" cacheId="39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5:D54" firstHeaderRow="0" firstDataRow="1" firstDataCol="1" rowPageCount="1" colPageCount="1"/>
  <pivotFields count="8">
    <pivotField axis="axisPage" showAll="0">
      <items count="8">
        <item x="0"/>
        <item x="1"/>
        <item x="2"/>
        <item x="3"/>
        <item x="4"/>
        <item x="5"/>
        <item x="6"/>
        <item t="default"/>
      </items>
    </pivotField>
    <pivotField axis="axisRow" showAll="0">
      <items count="3">
        <item x="0"/>
        <item x="1"/>
        <item t="default"/>
      </items>
    </pivotField>
    <pivotField showAll="0"/>
    <pivotField axis="axisRow" showAll="0">
      <items count="33">
        <item x="19"/>
        <item x="20"/>
        <item x="26"/>
        <item x="21"/>
        <item x="22"/>
        <item x="0"/>
        <item x="1"/>
        <item x="27"/>
        <item x="2"/>
        <item x="29"/>
        <item x="3"/>
        <item x="4"/>
        <item x="6"/>
        <item x="31"/>
        <item x="30"/>
        <item x="7"/>
        <item x="8"/>
        <item x="9"/>
        <item x="10"/>
        <item x="5"/>
        <item x="11"/>
        <item x="28"/>
        <item x="12"/>
        <item x="13"/>
        <item x="23"/>
        <item x="14"/>
        <item x="15"/>
        <item x="16"/>
        <item x="17"/>
        <item x="18"/>
        <item x="24"/>
        <item x="25"/>
        <item t="default"/>
      </items>
    </pivotField>
    <pivotField showAll="0"/>
    <pivotField dataField="1" showAll="0"/>
    <pivotField dataField="1" showAll="0"/>
    <pivotField dataField="1" showAll="0"/>
  </pivotFields>
  <rowFields count="2">
    <field x="1"/>
    <field x="3"/>
  </rowFields>
  <rowItems count="9">
    <i>
      <x/>
    </i>
    <i r="1">
      <x v="3"/>
    </i>
    <i r="1">
      <x v="6"/>
    </i>
    <i r="1">
      <x v="15"/>
    </i>
    <i r="1">
      <x v="18"/>
    </i>
    <i r="1">
      <x v="20"/>
    </i>
    <i r="1">
      <x v="23"/>
    </i>
    <i r="1">
      <x v="28"/>
    </i>
    <i t="grand">
      <x/>
    </i>
  </rowItems>
  <colFields count="1">
    <field x="-2"/>
  </colFields>
  <colItems count="3">
    <i>
      <x/>
    </i>
    <i i="1">
      <x v="1"/>
    </i>
    <i i="2">
      <x v="2"/>
    </i>
  </colItems>
  <pageFields count="1">
    <pageField fld="0" item="6" hier="-1"/>
  </pageFields>
  <dataFields count="3">
    <dataField name="Sum of Watch Manager" fld="5" baseField="1" baseItem="0"/>
    <dataField name="Sum of Crew Manager" fld="6" baseField="1" baseItem="0"/>
    <dataField name="Sum of Firefighter"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PivotTable8" cacheId="37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4:I31" firstHeaderRow="0" firstDataRow="1" firstDataCol="1" rowPageCount="1" colPageCount="1"/>
  <pivotFields count="12">
    <pivotField axis="axisPage" showAll="0">
      <items count="8">
        <item x="0"/>
        <item x="1"/>
        <item x="2"/>
        <item x="3"/>
        <item x="4"/>
        <item x="5"/>
        <item x="6"/>
        <item t="default"/>
      </items>
    </pivotField>
    <pivotField axis="axisRow" showAll="0">
      <items count="3">
        <item x="0"/>
        <item x="1"/>
        <item t="default"/>
      </items>
    </pivotField>
    <pivotField showAll="0"/>
    <pivotField axis="axisRow" showAll="0">
      <items count="5">
        <item x="1"/>
        <item x="2"/>
        <item x="3"/>
        <item x="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3"/>
  </rowFields>
  <rowItems count="7">
    <i>
      <x/>
    </i>
    <i r="1">
      <x/>
    </i>
    <i r="1">
      <x v="1"/>
    </i>
    <i r="1">
      <x v="3"/>
    </i>
    <i>
      <x v="1"/>
    </i>
    <i r="1">
      <x v="2"/>
    </i>
    <i t="grand">
      <x/>
    </i>
  </rowItems>
  <colFields count="1">
    <field x="-2"/>
  </colFields>
  <colItems count="8">
    <i>
      <x/>
    </i>
    <i i="1">
      <x v="1"/>
    </i>
    <i i="2">
      <x v="2"/>
    </i>
    <i i="3">
      <x v="3"/>
    </i>
    <i i="4">
      <x v="4"/>
    </i>
    <i i="5">
      <x v="5"/>
    </i>
    <i i="6">
      <x v="6"/>
    </i>
    <i i="7">
      <x v="7"/>
    </i>
  </colItems>
  <pageFields count="1">
    <pageField fld="0" item="6" hier="-1"/>
  </pageFields>
  <dataFields count="8">
    <dataField name="Sum of Director" fld="5" baseField="3" baseItem="1"/>
    <dataField name="Sum of Service Manager" fld="6" baseField="0" baseItem="0"/>
    <dataField name="Sum of Team Leader" fld="7" baseField="0" baseItem="0"/>
    <dataField name="Sum of Professional" fld="8" baseField="0" baseItem="0"/>
    <dataField name="Sum of Specialist Technical" fld="9" baseField="0" baseItem="0"/>
    <dataField name="Sum of Tech Support" fld="10" baseField="0" baseItem="0"/>
    <dataField name="Sum of Administration" fld="11" baseField="3" baseItem="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2" cacheId="36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1:G74" firstHeaderRow="0" firstDataRow="1" firstDataCol="1" rowPageCount="1" colPageCount="1"/>
  <pivotFields count="9">
    <pivotField axis="axisPage" showAll="0">
      <items count="3">
        <item x="0"/>
        <item x="1"/>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6">
    <i>
      <x/>
    </i>
    <i i="1">
      <x v="1"/>
    </i>
    <i i="2">
      <x v="2"/>
    </i>
    <i i="3">
      <x v="3"/>
    </i>
    <i i="4">
      <x v="4"/>
    </i>
    <i i="5">
      <x v="5"/>
    </i>
  </colItems>
  <pageFields count="1">
    <pageField fld="0" item="1" hier="-1"/>
  </pageFields>
  <dataFields count="6">
    <dataField name="Sum of Wholetime" fld="6" baseField="1" baseItem="0"/>
    <dataField name="Sum of Wholetime and Retained" fld="8" baseField="1" baseItem="0"/>
    <dataField name="Sum of Wholetime and Day" fld="7" baseField="1" baseItem="0"/>
    <dataField name="Sum of Volunteer" fld="5" baseField="1" baseItem="0"/>
    <dataField name="Sum of Retained" fld="4" baseField="1" baseItem="0"/>
    <dataField name="Sum of Total"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PivotTable7" cacheId="37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G6" firstHeaderRow="0" firstDataRow="1" firstDataCol="1" rowPageCount="1" colPageCount="1"/>
  <pivotFields count="11">
    <pivotField axis="axisPage" showAll="0">
      <items count="8">
        <item x="0"/>
        <item x="1"/>
        <item x="2"/>
        <item x="3"/>
        <item x="4"/>
        <item x="5"/>
        <item x="6"/>
        <item t="default"/>
      </items>
    </pivotField>
    <pivotField axis="axisRow" showAll="0">
      <items count="2">
        <item x="0"/>
        <item t="default"/>
      </items>
    </pivotField>
    <pivotField axis="axisRow" showAll="0">
      <items count="2">
        <item x="0"/>
        <item t="default"/>
      </items>
    </pivotField>
    <pivotField showAll="0"/>
    <pivotField showAll="0"/>
    <pivotField dataField="1" showAll="0"/>
    <pivotField dataField="1" showAll="0" defaultSubtotal="0"/>
    <pivotField dataField="1" showAll="0" defaultSubtotal="0"/>
    <pivotField dataField="1" showAll="0"/>
    <pivotField dataField="1" showAll="0"/>
    <pivotField dataField="1" showAll="0"/>
  </pivotFields>
  <rowFields count="2">
    <field x="1"/>
    <field x="2"/>
  </rowFields>
  <rowItems count="3">
    <i>
      <x/>
    </i>
    <i r="1">
      <x/>
    </i>
    <i t="grand">
      <x/>
    </i>
  </rowItems>
  <colFields count="1">
    <field x="-2"/>
  </colFields>
  <colItems count="6">
    <i>
      <x/>
    </i>
    <i i="1">
      <x v="1"/>
    </i>
    <i i="2">
      <x v="2"/>
    </i>
    <i i="3">
      <x v="3"/>
    </i>
    <i i="4">
      <x v="4"/>
    </i>
    <i i="5">
      <x v="5"/>
    </i>
  </colItems>
  <pageFields count="1">
    <pageField fld="0" item="6" hier="-1"/>
  </pageFields>
  <dataFields count="6">
    <dataField name="Sum of Area Manager" fld="5" baseField="1" baseItem="0"/>
    <dataField name="Sum of Group Manager" fld="6" baseField="0" baseItem="0"/>
    <dataField name="Sum of Station Manager" fld="7" baseField="0" baseItem="0"/>
    <dataField name="Sum of Watch Manager" fld="8" baseField="0" baseItem="0"/>
    <dataField name="Sum of Crew Manager" fld="9" baseField="0" baseItem="0"/>
    <dataField name="Sum of Control Operator"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le10" cacheId="37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H62" firstHeaderRow="0" firstDataRow="1" firstDataCol="1" rowPageCount="1" colPageCount="1"/>
  <pivotFields count="12">
    <pivotField axis="axisPage" showAll="0">
      <items count="8">
        <item x="0"/>
        <item x="1"/>
        <item x="2"/>
        <item x="3"/>
        <item x="4"/>
        <item x="5"/>
        <item x="6"/>
        <item t="default"/>
      </items>
    </pivotField>
    <pivotField axis="axisRow" showAll="0">
      <items count="7">
        <item x="0"/>
        <item x="1"/>
        <item x="2"/>
        <item x="3"/>
        <item x="5"/>
        <item x="4"/>
        <item t="default"/>
      </items>
    </pivotField>
    <pivotField showAll="0"/>
    <pivotField axis="axisRow" showAll="0">
      <items count="50">
        <item x="20"/>
        <item x="21"/>
        <item x="33"/>
        <item x="0"/>
        <item x="27"/>
        <item x="22"/>
        <item x="34"/>
        <item x="23"/>
        <item x="1"/>
        <item x="2"/>
        <item x="28"/>
        <item x="43"/>
        <item x="45"/>
        <item x="3"/>
        <item x="35"/>
        <item x="30"/>
        <item x="4"/>
        <item x="36"/>
        <item x="5"/>
        <item x="37"/>
        <item x="38"/>
        <item x="7"/>
        <item x="39"/>
        <item x="32"/>
        <item x="31"/>
        <item x="8"/>
        <item x="40"/>
        <item x="9"/>
        <item x="10"/>
        <item x="11"/>
        <item x="46"/>
        <item x="12"/>
        <item x="29"/>
        <item x="14"/>
        <item x="24"/>
        <item x="47"/>
        <item x="15"/>
        <item x="17"/>
        <item x="18"/>
        <item x="19"/>
        <item x="41"/>
        <item x="44"/>
        <item x="25"/>
        <item x="26"/>
        <item x="42"/>
        <item x="6"/>
        <item x="13"/>
        <item x="16"/>
        <item x="48"/>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2">
    <field x="1"/>
    <field x="3"/>
  </rowFields>
  <rowItems count="59">
    <i>
      <x/>
    </i>
    <i r="1">
      <x/>
    </i>
    <i r="1">
      <x v="1"/>
    </i>
    <i r="1">
      <x v="3"/>
    </i>
    <i r="1">
      <x v="4"/>
    </i>
    <i r="1">
      <x v="5"/>
    </i>
    <i r="1">
      <x v="7"/>
    </i>
    <i r="1">
      <x v="8"/>
    </i>
    <i r="1">
      <x v="9"/>
    </i>
    <i r="1">
      <x v="10"/>
    </i>
    <i r="1">
      <x v="13"/>
    </i>
    <i r="1">
      <x v="15"/>
    </i>
    <i r="1">
      <x v="16"/>
    </i>
    <i r="1">
      <x v="18"/>
    </i>
    <i r="1">
      <x v="21"/>
    </i>
    <i r="1">
      <x v="23"/>
    </i>
    <i r="1">
      <x v="24"/>
    </i>
    <i r="1">
      <x v="25"/>
    </i>
    <i r="1">
      <x v="27"/>
    </i>
    <i r="1">
      <x v="28"/>
    </i>
    <i r="1">
      <x v="29"/>
    </i>
    <i r="1">
      <x v="31"/>
    </i>
    <i r="1">
      <x v="32"/>
    </i>
    <i r="1">
      <x v="33"/>
    </i>
    <i r="1">
      <x v="34"/>
    </i>
    <i r="1">
      <x v="36"/>
    </i>
    <i r="1">
      <x v="37"/>
    </i>
    <i r="1">
      <x v="38"/>
    </i>
    <i r="1">
      <x v="39"/>
    </i>
    <i r="1">
      <x v="42"/>
    </i>
    <i r="1">
      <x v="43"/>
    </i>
    <i>
      <x v="1"/>
    </i>
    <i r="1">
      <x/>
    </i>
    <i r="1">
      <x v="2"/>
    </i>
    <i r="1">
      <x v="3"/>
    </i>
    <i r="1">
      <x v="6"/>
    </i>
    <i r="1">
      <x v="9"/>
    </i>
    <i r="1">
      <x v="11"/>
    </i>
    <i r="1">
      <x v="14"/>
    </i>
    <i r="1">
      <x v="17"/>
    </i>
    <i r="1">
      <x v="19"/>
    </i>
    <i r="1">
      <x v="20"/>
    </i>
    <i r="1">
      <x v="22"/>
    </i>
    <i r="1">
      <x v="24"/>
    </i>
    <i r="1">
      <x v="26"/>
    </i>
    <i r="1">
      <x v="32"/>
    </i>
    <i r="1">
      <x v="38"/>
    </i>
    <i r="1">
      <x v="44"/>
    </i>
    <i r="1">
      <x v="48"/>
    </i>
    <i>
      <x v="2"/>
    </i>
    <i r="1">
      <x v="3"/>
    </i>
    <i r="1">
      <x v="12"/>
    </i>
    <i r="1">
      <x v="30"/>
    </i>
    <i r="1">
      <x v="41"/>
    </i>
    <i>
      <x v="3"/>
    </i>
    <i r="1">
      <x v="35"/>
    </i>
    <i>
      <x v="5"/>
    </i>
    <i r="1">
      <x v="35"/>
    </i>
    <i t="grand">
      <x/>
    </i>
  </rowItems>
  <colFields count="1">
    <field x="-2"/>
  </colFields>
  <colItems count="7">
    <i>
      <x/>
    </i>
    <i i="1">
      <x v="1"/>
    </i>
    <i i="2">
      <x v="2"/>
    </i>
    <i i="3">
      <x v="3"/>
    </i>
    <i i="4">
      <x v="4"/>
    </i>
    <i i="5">
      <x v="5"/>
    </i>
    <i i="6">
      <x v="6"/>
    </i>
  </colItems>
  <pageFields count="1">
    <pageField fld="0" item="6" hier="-1"/>
  </pageFields>
  <dataFields count="7">
    <dataField name="Sum of Brigade Manager" fld="6" baseField="1" baseItem="0"/>
    <dataField name="Sum of Area Manager" fld="5" baseField="1" baseItem="0"/>
    <dataField name="Sum of Group Manager" fld="9" baseField="1" baseItem="0"/>
    <dataField name="Sum of Station Manager" fld="10" baseField="1" baseItem="0"/>
    <dataField name="Sum of Watch Manager" fld="11" baseField="1" baseItem="0"/>
    <dataField name="Sum of Crew Manager" fld="7" baseField="1" baseItem="0"/>
    <dataField name="Sum of Firefighter"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le11" cacheId="375"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E36" firstHeaderRow="0" firstDataRow="1" firstDataCol="1" rowPageCount="1" colPageCount="1"/>
  <pivotFields count="8">
    <pivotField axis="axisPage" multipleItemSelectionAllowed="1" showAll="0">
      <items count="8">
        <item h="1" x="0"/>
        <item h="1" x="1"/>
        <item h="1" x="2"/>
        <item h="1" x="3"/>
        <item h="1" x="4"/>
        <item h="1" x="5"/>
        <item x="6"/>
        <item t="default"/>
      </items>
    </pivotField>
    <pivotField axis="axisRow" showAll="0">
      <items count="2">
        <item x="0"/>
        <item t="default"/>
      </items>
    </pivotField>
    <pivotField showAll="0"/>
    <pivotField axis="axisRow" showAll="0">
      <items count="34">
        <item x="20"/>
        <item x="21"/>
        <item x="0"/>
        <item x="27"/>
        <item x="22"/>
        <item x="23"/>
        <item x="1"/>
        <item x="2"/>
        <item x="28"/>
        <item x="3"/>
        <item x="4"/>
        <item x="7"/>
        <item x="32"/>
        <item x="8"/>
        <item x="9"/>
        <item x="10"/>
        <item x="11"/>
        <item x="6"/>
        <item x="12"/>
        <item x="29"/>
        <item x="13"/>
        <item x="14"/>
        <item x="24"/>
        <item x="15"/>
        <item x="16"/>
        <item x="17"/>
        <item x="18"/>
        <item x="19"/>
        <item x="25"/>
        <item x="26"/>
        <item x="5"/>
        <item x="30"/>
        <item x="31"/>
        <item t="default"/>
      </items>
    </pivotField>
    <pivotField dataField="1" showAll="0"/>
    <pivotField dataField="1" showAll="0"/>
    <pivotField dataField="1" showAll="0"/>
    <pivotField dataField="1" showAll="0"/>
  </pivotFields>
  <rowFields count="2">
    <field x="1"/>
    <field x="3"/>
  </rowFields>
  <rowItems count="32">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t="grand">
      <x/>
    </i>
  </rowItems>
  <colFields count="1">
    <field x="-2"/>
  </colFields>
  <colItems count="4">
    <i>
      <x/>
    </i>
    <i i="1">
      <x v="1"/>
    </i>
    <i i="2">
      <x v="2"/>
    </i>
    <i i="3">
      <x v="3"/>
    </i>
  </colItems>
  <pageFields count="1">
    <pageField fld="0" hier="-1"/>
  </pageFields>
  <dataFields count="4">
    <dataField name="Sum of Watch Commander" fld="5" baseField="1" baseItem="0"/>
    <dataField name="Sum of Crew Commander" fld="6" baseField="1" baseItem="0"/>
    <dataField name="Sum of Firefighter" fld="7" baseField="1" baseItem="0"/>
    <dataField name="Sum of Total" fld="4"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PivotTable14" cacheId="37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H6" firstHeaderRow="0" firstDataRow="1" firstDataCol="1" rowPageCount="1" colPageCount="1"/>
  <pivotFields count="11">
    <pivotField axis="axisPage" showAll="0">
      <items count="8">
        <item x="0"/>
        <item x="1"/>
        <item x="2"/>
        <item x="3"/>
        <item x="4"/>
        <item x="5"/>
        <item x="6"/>
        <item t="default"/>
      </items>
    </pivotField>
    <pivotField axis="axisRow" showAll="0">
      <items count="2">
        <item x="0"/>
        <item t="default"/>
      </items>
    </pivotField>
    <pivotField axis="axisRow" showAll="0">
      <items count="2">
        <item x="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2">
    <field x="1"/>
    <field x="2"/>
  </rowFields>
  <rowItems count="3">
    <i>
      <x/>
    </i>
    <i r="1">
      <x/>
    </i>
    <i t="grand">
      <x/>
    </i>
  </rowItems>
  <colFields count="1">
    <field x="-2"/>
  </colFields>
  <colItems count="7">
    <i>
      <x/>
    </i>
    <i i="1">
      <x v="1"/>
    </i>
    <i i="2">
      <x v="2"/>
    </i>
    <i i="3">
      <x v="3"/>
    </i>
    <i i="4">
      <x v="4"/>
    </i>
    <i i="5">
      <x v="5"/>
    </i>
    <i i="6">
      <x v="6"/>
    </i>
  </colItems>
  <pageFields count="1">
    <pageField fld="0" item="6" hier="-1"/>
  </pageFields>
  <dataFields count="7">
    <dataField name="Sum of Area Manager" fld="5" baseField="1" baseItem="0"/>
    <dataField name="Sum of Group Manager" fld="6" baseField="0" baseItem="0"/>
    <dataField name="Sum of Station Manager" fld="7" baseField="0" baseItem="0"/>
    <dataField name="Sum of Watch Manager" fld="8" baseField="0" baseItem="0"/>
    <dataField name="Sum of Crew Manager" fld="9" baseField="0" baseItem="0"/>
    <dataField name="Sum of Control Operator" fld="10" baseField="0" baseItem="0"/>
    <dataField name="Sum of Total" fld="4"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PivotTable13" cacheId="37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0:I40" firstHeaderRow="0" firstDataRow="1" firstDataCol="1" rowPageCount="1" colPageCount="1"/>
  <pivotFields count="12">
    <pivotField axis="axisPage" showAll="0">
      <items count="8">
        <item x="0"/>
        <item x="1"/>
        <item x="2"/>
        <item x="3"/>
        <item x="4"/>
        <item x="5"/>
        <item x="6"/>
        <item t="default"/>
      </items>
    </pivotField>
    <pivotField axis="axisRow" showAll="0">
      <items count="4">
        <item x="0"/>
        <item x="1"/>
        <item x="2"/>
        <item t="default"/>
      </items>
    </pivotField>
    <pivotField showAll="0"/>
    <pivotField axis="axisRow" showAll="0">
      <items count="6">
        <item x="0"/>
        <item x="2"/>
        <item x="3"/>
        <item x="4"/>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3"/>
  </rowFields>
  <rowItems count="10">
    <i>
      <x/>
    </i>
    <i r="1">
      <x/>
    </i>
    <i r="1">
      <x v="1"/>
    </i>
    <i r="1">
      <x v="2"/>
    </i>
    <i r="1">
      <x v="4"/>
    </i>
    <i>
      <x v="1"/>
    </i>
    <i r="1">
      <x v="3"/>
    </i>
    <i>
      <x v="2"/>
    </i>
    <i r="1">
      <x v="3"/>
    </i>
    <i t="grand">
      <x/>
    </i>
  </rowItems>
  <colFields count="1">
    <field x="-2"/>
  </colFields>
  <colItems count="8">
    <i>
      <x/>
    </i>
    <i i="1">
      <x v="1"/>
    </i>
    <i i="2">
      <x v="2"/>
    </i>
    <i i="3">
      <x v="3"/>
    </i>
    <i i="4">
      <x v="4"/>
    </i>
    <i i="5">
      <x v="5"/>
    </i>
    <i i="6">
      <x v="6"/>
    </i>
    <i i="7">
      <x v="7"/>
    </i>
  </colItems>
  <pageFields count="1">
    <pageField fld="0" item="6" hier="-1"/>
  </pageFields>
  <dataFields count="8">
    <dataField name="Sum of Director" fld="5" baseField="1" baseItem="0"/>
    <dataField name="Sum of Service Manager" fld="6" baseField="0" baseItem="0"/>
    <dataField name="Sum of Team Leader" fld="7" baseField="0" baseItem="0"/>
    <dataField name="Sum of Professional" fld="8" baseField="0" baseItem="0"/>
    <dataField name="Sum of Specialist Technical" fld="9" baseField="0" baseItem="0"/>
    <dataField name="Sum of Tech Support" fld="10" baseField="0" baseItem="0"/>
    <dataField name="Sum of Administration" fld="11" baseField="0"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PivotTable15" cacheId="37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D38" firstHeaderRow="0" firstDataRow="1" firstDataCol="1" rowPageCount="1" colPageCount="1"/>
  <pivotFields count="6">
    <pivotField axis="axisPage" showAll="0">
      <items count="8">
        <item x="0"/>
        <item x="1"/>
        <item x="2"/>
        <item x="3"/>
        <item x="4"/>
        <item x="5"/>
        <item x="6"/>
        <item t="default"/>
      </items>
    </pivotField>
    <pivotField axis="axisRow" showAll="0">
      <items count="7">
        <item x="0"/>
        <item x="1"/>
        <item x="2"/>
        <item x="3"/>
        <item x="4"/>
        <item x="5"/>
        <item t="default"/>
      </items>
    </pivotField>
    <pivotField axis="axisRow" showAll="0">
      <items count="17">
        <item x="5"/>
        <item x="12"/>
        <item x="13"/>
        <item x="0"/>
        <item x="6"/>
        <item x="1"/>
        <item x="2"/>
        <item x="7"/>
        <item x="8"/>
        <item x="9"/>
        <item x="3"/>
        <item x="10"/>
        <item x="14"/>
        <item x="11"/>
        <item x="4"/>
        <item x="15"/>
        <item t="default"/>
      </items>
    </pivotField>
    <pivotField dataField="1" showAll="0"/>
    <pivotField dataField="1" showAll="0"/>
    <pivotField dataField="1" showAll="0"/>
  </pivotFields>
  <rowFields count="2">
    <field x="1"/>
    <field x="2"/>
  </rowFields>
  <rowItems count="34">
    <i>
      <x/>
    </i>
    <i r="1">
      <x v="1"/>
    </i>
    <i r="1">
      <x v="3"/>
    </i>
    <i r="1">
      <x v="5"/>
    </i>
    <i r="1">
      <x v="6"/>
    </i>
    <i r="1">
      <x v="10"/>
    </i>
    <i r="1">
      <x v="14"/>
    </i>
    <i>
      <x v="1"/>
    </i>
    <i r="1">
      <x v="3"/>
    </i>
    <i r="1">
      <x v="5"/>
    </i>
    <i r="1">
      <x v="14"/>
    </i>
    <i>
      <x v="2"/>
    </i>
    <i r="1">
      <x/>
    </i>
    <i r="1">
      <x v="4"/>
    </i>
    <i r="1">
      <x v="7"/>
    </i>
    <i r="1">
      <x v="8"/>
    </i>
    <i r="1">
      <x v="9"/>
    </i>
    <i r="1">
      <x v="11"/>
    </i>
    <i r="1">
      <x v="12"/>
    </i>
    <i>
      <x v="3"/>
    </i>
    <i r="1">
      <x v="3"/>
    </i>
    <i r="1">
      <x v="5"/>
    </i>
    <i r="1">
      <x v="14"/>
    </i>
    <i>
      <x v="4"/>
    </i>
    <i r="1">
      <x v="1"/>
    </i>
    <i r="1">
      <x v="2"/>
    </i>
    <i r="1">
      <x v="3"/>
    </i>
    <i r="1">
      <x v="5"/>
    </i>
    <i r="1">
      <x v="6"/>
    </i>
    <i r="1">
      <x v="10"/>
    </i>
    <i r="1">
      <x v="14"/>
    </i>
    <i>
      <x v="5"/>
    </i>
    <i r="1">
      <x v="14"/>
    </i>
    <i t="grand">
      <x/>
    </i>
  </rowItems>
  <colFields count="1">
    <field x="-2"/>
  </colFields>
  <colItems count="3">
    <i>
      <x/>
    </i>
    <i i="1">
      <x v="1"/>
    </i>
    <i i="2">
      <x v="2"/>
    </i>
  </colItems>
  <pageFields count="1">
    <pageField fld="0" item="6" hier="-1"/>
  </pageFields>
  <dataFields count="3">
    <dataField name="Sum of Female" fld="4" baseField="1" baseItem="0"/>
    <dataField name="Sum of Male" fld="5" baseField="1"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PivotTable16" cacheId="37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D11" firstHeaderRow="0" firstDataRow="1" firstDataCol="1" rowPageCount="1" colPageCount="1"/>
  <pivotFields count="5">
    <pivotField axis="axisPage" showAll="0">
      <items count="8">
        <item x="0"/>
        <item x="1"/>
        <item x="2"/>
        <item x="3"/>
        <item x="4"/>
        <item x="5"/>
        <item x="6"/>
        <item t="default"/>
      </items>
    </pivotField>
    <pivotField axis="axisRow" showAll="0">
      <items count="7">
        <item x="0"/>
        <item x="1"/>
        <item x="2"/>
        <item x="3"/>
        <item x="4"/>
        <item x="5"/>
        <item t="default"/>
      </items>
    </pivotField>
    <pivotField dataField="1" showAll="0"/>
    <pivotField dataField="1" showAll="0"/>
    <pivotField dataField="1" showAll="0"/>
  </pivotFields>
  <rowFields count="1">
    <field x="1"/>
  </rowFields>
  <rowItems count="7">
    <i>
      <x/>
    </i>
    <i>
      <x v="1"/>
    </i>
    <i>
      <x v="2"/>
    </i>
    <i>
      <x v="3"/>
    </i>
    <i>
      <x v="4"/>
    </i>
    <i>
      <x v="5"/>
    </i>
    <i t="grand">
      <x/>
    </i>
  </rowItems>
  <colFields count="1">
    <field x="-2"/>
  </colFields>
  <colItems count="3">
    <i>
      <x/>
    </i>
    <i i="1">
      <x v="1"/>
    </i>
    <i i="2">
      <x v="2"/>
    </i>
  </colItems>
  <pageFields count="1">
    <pageField fld="0" item="6" hier="-1"/>
  </pageFields>
  <dataFields count="3">
    <dataField name="Sum of Female" fld="3" baseField="0" baseItem="0"/>
    <dataField name="Sum of Male" fld="4"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PivotTable17" cacheId="37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D33" firstHeaderRow="0" firstDataRow="1" firstDataCol="1" rowPageCount="1" colPageCount="1"/>
  <pivotFields count="6">
    <pivotField axis="axisPage" showAll="0">
      <items count="7">
        <item x="0"/>
        <item x="1"/>
        <item x="2"/>
        <item x="3"/>
        <item x="4"/>
        <item x="5"/>
        <item t="default"/>
      </items>
    </pivotField>
    <pivotField axis="axisRow" showAll="0">
      <items count="6">
        <item x="0"/>
        <item x="1"/>
        <item x="2"/>
        <item x="3"/>
        <item x="4"/>
        <item t="default"/>
      </items>
    </pivotField>
    <pivotField axis="axisRow" showAll="0">
      <items count="16">
        <item x="5"/>
        <item x="12"/>
        <item x="13"/>
        <item x="0"/>
        <item x="6"/>
        <item x="1"/>
        <item x="2"/>
        <item x="7"/>
        <item x="8"/>
        <item x="9"/>
        <item x="3"/>
        <item x="10"/>
        <item x="11"/>
        <item x="4"/>
        <item x="14"/>
        <item t="default"/>
      </items>
    </pivotField>
    <pivotField dataField="1" showAll="0"/>
    <pivotField dataField="1" showAll="0"/>
    <pivotField dataField="1" showAll="0"/>
  </pivotFields>
  <rowFields count="2">
    <field x="1"/>
    <field x="2"/>
  </rowFields>
  <rowItems count="30">
    <i>
      <x/>
    </i>
    <i r="1">
      <x v="1"/>
    </i>
    <i r="1">
      <x v="3"/>
    </i>
    <i r="1">
      <x v="5"/>
    </i>
    <i r="1">
      <x v="6"/>
    </i>
    <i r="1">
      <x v="10"/>
    </i>
    <i r="1">
      <x v="13"/>
    </i>
    <i>
      <x v="1"/>
    </i>
    <i r="1">
      <x v="3"/>
    </i>
    <i r="1">
      <x v="5"/>
    </i>
    <i r="1">
      <x v="13"/>
    </i>
    <i>
      <x v="2"/>
    </i>
    <i r="1">
      <x/>
    </i>
    <i r="1">
      <x v="4"/>
    </i>
    <i r="1">
      <x v="7"/>
    </i>
    <i r="1">
      <x v="8"/>
    </i>
    <i r="1">
      <x v="9"/>
    </i>
    <i r="1">
      <x v="11"/>
    </i>
    <i r="1">
      <x v="12"/>
    </i>
    <i>
      <x v="3"/>
    </i>
    <i r="1">
      <x v="1"/>
    </i>
    <i r="1">
      <x v="2"/>
    </i>
    <i r="1">
      <x v="3"/>
    </i>
    <i r="1">
      <x v="5"/>
    </i>
    <i r="1">
      <x v="6"/>
    </i>
    <i r="1">
      <x v="10"/>
    </i>
    <i r="1">
      <x v="13"/>
    </i>
    <i>
      <x v="4"/>
    </i>
    <i r="1">
      <x v="13"/>
    </i>
    <i t="grand">
      <x/>
    </i>
  </rowItems>
  <colFields count="1">
    <field x="-2"/>
  </colFields>
  <colItems count="3">
    <i>
      <x/>
    </i>
    <i i="1">
      <x v="1"/>
    </i>
    <i i="2">
      <x v="2"/>
    </i>
  </colItems>
  <pageFields count="1">
    <pageField fld="0" item="5" hier="-1"/>
  </pageFields>
  <dataFields count="3">
    <dataField name="Sum of Female" fld="4" baseField="1" baseItem="0"/>
    <dataField name="Sum of Male" fld="5" baseField="1" baseItem="0"/>
    <dataField name="Sum of Total"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PivotTable18" cacheId="35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H17" firstHeaderRow="0" firstDataRow="1" firstDataCol="1" rowPageCount="1" colPageCount="1"/>
  <pivotFields count="9">
    <pivotField axis="axisPage" showAll="0">
      <items count="8">
        <item x="0"/>
        <item x="1"/>
        <item x="2"/>
        <item x="3"/>
        <item x="4"/>
        <item x="5"/>
        <item x="6"/>
        <item t="default"/>
      </items>
    </pivotField>
    <pivotField axis="axisRow" showAll="0">
      <items count="18">
        <item x="8"/>
        <item x="0"/>
        <item x="9"/>
        <item x="10"/>
        <item x="1"/>
        <item x="11"/>
        <item x="2"/>
        <item x="3"/>
        <item x="4"/>
        <item x="12"/>
        <item x="5"/>
        <item x="13"/>
        <item x="14"/>
        <item x="6"/>
        <item x="15"/>
        <item x="16"/>
        <item x="7"/>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3">
    <i>
      <x/>
    </i>
    <i>
      <x v="2"/>
    </i>
    <i>
      <x v="3"/>
    </i>
    <i>
      <x v="5"/>
    </i>
    <i>
      <x v="6"/>
    </i>
    <i>
      <x v="7"/>
    </i>
    <i>
      <x v="8"/>
    </i>
    <i>
      <x v="9"/>
    </i>
    <i>
      <x v="11"/>
    </i>
    <i>
      <x v="12"/>
    </i>
    <i>
      <x v="14"/>
    </i>
    <i>
      <x v="16"/>
    </i>
    <i t="grand">
      <x/>
    </i>
  </rowItems>
  <colFields count="1">
    <field x="-2"/>
  </colFields>
  <colItems count="7">
    <i>
      <x/>
    </i>
    <i i="1">
      <x v="1"/>
    </i>
    <i i="2">
      <x v="2"/>
    </i>
    <i i="3">
      <x v="3"/>
    </i>
    <i i="4">
      <x v="4"/>
    </i>
    <i i="5">
      <x v="5"/>
    </i>
    <i i="6">
      <x v="6"/>
    </i>
  </colItems>
  <pageFields count="1">
    <pageField fld="0" item="6" hier="-1"/>
  </pageFields>
  <dataFields count="7">
    <dataField name="Sum of WT" fld="3" baseField="1" baseItem="0"/>
    <dataField name="Sum of RDS" fld="4" baseField="1" baseItem="0"/>
    <dataField name="Sum of Control" fld="5" baseField="1" baseItem="0"/>
    <dataField name="Sum of Support" fld="6" baseField="1" baseItem="0"/>
    <dataField name="Sum of Vol" fld="7" baseField="1" baseItem="0"/>
    <dataField name="Sum of Total" fld="2" baseField="0" baseItem="0"/>
    <dataField name="Sum of RDS Fulltime" fld="8" baseField="1"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PivotTable19" cacheId="35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F14" firstHeaderRow="0" firstDataRow="1" firstDataCol="1" rowPageCount="1" colPageCount="1"/>
  <pivotFields count="8">
    <pivotField axis="axisPage" showAll="0">
      <items count="4">
        <item x="0"/>
        <item x="1"/>
        <item x="2"/>
        <item t="default"/>
      </items>
    </pivotField>
    <pivotField axis="axisRow" showAll="0">
      <items count="10">
        <item x="0"/>
        <item x="1"/>
        <item x="2"/>
        <item x="3"/>
        <item x="4"/>
        <item x="5"/>
        <item x="6"/>
        <item x="7"/>
        <item x="8"/>
        <item t="default"/>
      </items>
    </pivotField>
    <pivotField showAll="0"/>
    <pivotField dataField="1" showAll="0"/>
    <pivotField dataField="1" showAll="0"/>
    <pivotField dataField="1" showAll="0"/>
    <pivotField dataField="1" showAll="0"/>
    <pivotField dataField="1" showAll="0"/>
  </pivotFields>
  <rowFields count="1">
    <field x="1"/>
  </rowFields>
  <rowItems count="10">
    <i>
      <x/>
    </i>
    <i>
      <x v="1"/>
    </i>
    <i>
      <x v="2"/>
    </i>
    <i>
      <x v="3"/>
    </i>
    <i>
      <x v="4"/>
    </i>
    <i>
      <x v="5"/>
    </i>
    <i>
      <x v="6"/>
    </i>
    <i>
      <x v="7"/>
    </i>
    <i>
      <x v="8"/>
    </i>
    <i t="grand">
      <x/>
    </i>
  </rowItems>
  <colFields count="1">
    <field x="-2"/>
  </colFields>
  <colItems count="5">
    <i>
      <x/>
    </i>
    <i i="1">
      <x v="1"/>
    </i>
    <i i="2">
      <x v="2"/>
    </i>
    <i i="3">
      <x v="3"/>
    </i>
    <i i="4">
      <x v="4"/>
    </i>
  </colItems>
  <pageFields count="1">
    <pageField fld="0" item="2" hier="-1"/>
  </pageFields>
  <dataFields count="5">
    <dataField name="Sum of WT" fld="6" baseField="0" baseItem="0"/>
    <dataField name="Sum of RDS" fld="4" baseField="0" baseItem="0"/>
    <dataField name="Sum of Control" fld="3" baseField="0" baseItem="0"/>
    <dataField name="Sum of Vol" fld="5" baseField="0" baseItem="0"/>
    <dataField name="Sum of RDS Fulltim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1" cacheId="36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5:E38" firstHeaderRow="0" firstDataRow="1" firstDataCol="1" rowPageCount="1" colPageCount="1"/>
  <pivotFields count="7">
    <pivotField axis="axisPage" showAll="0">
      <items count="7">
        <item x="0"/>
        <item x="1"/>
        <item x="2"/>
        <item x="3"/>
        <item x="4"/>
        <item x="5"/>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5" hier="-1"/>
  </pageFields>
  <dataFields count="4">
    <dataField name="Sum of Wholetime" fld="3" baseField="1" baseItem="0"/>
    <dataField name="Sum of Retained" fld="4" baseField="1" baseItem="0"/>
    <dataField name="Sum of Volunteer" fld="5" baseField="1" baseItem="0"/>
    <dataField name="Sum of Total"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PivotTable20" cacheId="369"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4:Y16" firstHeaderRow="1" firstDataRow="3" firstDataCol="1"/>
  <pivotFields count="5">
    <pivotField axis="axisRow" showAll="0">
      <items count="10">
        <item x="0"/>
        <item x="1"/>
        <item x="2"/>
        <item x="3"/>
        <item x="4"/>
        <item x="5"/>
        <item x="6"/>
        <item x="7"/>
        <item x="8"/>
        <item t="default"/>
      </items>
    </pivotField>
    <pivotField axis="axisCol" showAll="0">
      <items count="9">
        <item x="0"/>
        <item x="1"/>
        <item x="2"/>
        <item x="3"/>
        <item x="4"/>
        <item x="5"/>
        <item x="6"/>
        <item x="7"/>
        <item t="default"/>
      </items>
    </pivotField>
    <pivotField dataField="1" showAll="0"/>
    <pivotField dataField="1" showAll="0"/>
    <pivotField dataField="1" showAll="0"/>
  </pivotFields>
  <rowFields count="1">
    <field x="0"/>
  </rowFields>
  <rowItems count="10">
    <i>
      <x/>
    </i>
    <i>
      <x v="1"/>
    </i>
    <i>
      <x v="2"/>
    </i>
    <i>
      <x v="3"/>
    </i>
    <i>
      <x v="4"/>
    </i>
    <i>
      <x v="5"/>
    </i>
    <i>
      <x v="6"/>
    </i>
    <i>
      <x v="7"/>
    </i>
    <i>
      <x v="8"/>
    </i>
    <i t="grand">
      <x/>
    </i>
  </rowItems>
  <colFields count="2">
    <field x="1"/>
    <field x="-2"/>
  </colFields>
  <colItems count="24">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colItems>
  <dataFields count="3">
    <dataField name="Sum of White" fld="2" baseField="0" baseItem="0"/>
    <dataField name="Sum of Ethnic Minority" fld="3" baseField="0" baseItem="0"/>
    <dataField name="Sum of Not Stat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PivotTable5" cacheId="39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5:H20" firstHeaderRow="1" firstDataRow="2" firstDataCol="1" rowPageCount="1" colPageCount="1"/>
  <pivotFields count="4">
    <pivotField axis="axisCol" subtotalTop="0" showAll="0">
      <items count="8">
        <item x="4"/>
        <item x="0"/>
        <item x="1"/>
        <item x="2"/>
        <item x="3"/>
        <item x="5"/>
        <item x="6"/>
        <item t="default"/>
      </items>
    </pivotField>
    <pivotField axis="axisRow" showAll="0">
      <items count="4">
        <item x="0"/>
        <item x="1"/>
        <item x="2"/>
        <item t="default"/>
      </items>
    </pivotField>
    <pivotField axis="axisPage" subtotalTop="0" showAll="0">
      <items count="3">
        <item x="0"/>
        <item x="1"/>
        <item t="default"/>
      </items>
    </pivotField>
    <pivotField dataField="1" showAll="0"/>
  </pivotFields>
  <rowFields count="1">
    <field x="1"/>
  </rowFields>
  <rowItems count="4">
    <i>
      <x/>
    </i>
    <i>
      <x v="1"/>
    </i>
    <i>
      <x v="2"/>
    </i>
    <i t="grand">
      <x/>
    </i>
  </rowItems>
  <colFields count="1">
    <field x="0"/>
  </colFields>
  <colItems count="7">
    <i>
      <x v="1"/>
    </i>
    <i>
      <x v="2"/>
    </i>
    <i>
      <x v="3"/>
    </i>
    <i>
      <x v="4"/>
    </i>
    <i>
      <x v="5"/>
    </i>
    <i>
      <x v="6"/>
    </i>
    <i t="grand">
      <x/>
    </i>
  </colItems>
  <pageFields count="1">
    <pageField fld="2" item="1" hier="-1"/>
  </pageFields>
  <dataFields count="1">
    <dataField name="Sum of Per"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name="PivotTable4" cacheId="39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8" firstHeaderRow="1" firstDataRow="2" firstDataCol="1" rowPageCount="1" colPageCount="1"/>
  <pivotFields count="5">
    <pivotField subtotalTop="0" showAll="0"/>
    <pivotField axis="axisPage" subtotalTop="0" showAll="0">
      <items count="3">
        <item x="0"/>
        <item x="1"/>
        <item t="default"/>
      </items>
    </pivotField>
    <pivotField axis="axisRow" subtotalTop="0" showAll="0">
      <items count="4">
        <item x="0"/>
        <item x="1"/>
        <item x="2"/>
        <item t="default"/>
      </items>
    </pivotField>
    <pivotField axis="axisCol" showAll="0">
      <items count="8">
        <item x="5"/>
        <item x="0"/>
        <item x="1"/>
        <item x="6"/>
        <item x="4"/>
        <item x="2"/>
        <item x="3"/>
        <item t="default"/>
      </items>
    </pivotField>
    <pivotField dataField="1" subtotalTop="0" showAll="0"/>
  </pivotFields>
  <rowFields count="1">
    <field x="2"/>
  </rowFields>
  <rowItems count="4">
    <i>
      <x/>
    </i>
    <i>
      <x v="1"/>
    </i>
    <i>
      <x v="2"/>
    </i>
    <i t="grand">
      <x/>
    </i>
  </rowItems>
  <colFields count="1">
    <field x="3"/>
  </colFields>
  <colItems count="7">
    <i>
      <x v="1"/>
    </i>
    <i>
      <x v="2"/>
    </i>
    <i>
      <x v="3"/>
    </i>
    <i>
      <x v="4"/>
    </i>
    <i>
      <x v="5"/>
    </i>
    <i>
      <x v="6"/>
    </i>
    <i t="grand">
      <x/>
    </i>
  </colItems>
  <pageFields count="1">
    <pageField fld="1" item="1"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name="PivotTable6" cacheId="39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5:F57" firstHeaderRow="1" firstDataRow="2" firstDataCol="1" rowPageCount="1" colPageCount="1"/>
  <pivotFields count="4">
    <pivotField axis="axisPage" subtotalTop="0" showAll="0">
      <items count="3">
        <item x="0"/>
        <item x="1"/>
        <item t="default"/>
      </items>
    </pivotField>
    <pivotField axis="axisRow" subtotalTop="0" showAll="0">
      <items count="12">
        <item x="0"/>
        <item x="1"/>
        <item x="2"/>
        <item x="3"/>
        <item x="4"/>
        <item x="5"/>
        <item x="6"/>
        <item x="7"/>
        <item x="8"/>
        <item x="9"/>
        <item x="10"/>
        <item t="default"/>
      </items>
    </pivotField>
    <pivotField axis="axisCol" subtotalTop="0" showAll="0">
      <items count="6">
        <item x="0"/>
        <item x="1"/>
        <item x="2"/>
        <item x="3"/>
        <item x="4"/>
        <item t="default"/>
      </items>
    </pivotField>
    <pivotField dataField="1" subtotalTop="0" showAll="0"/>
  </pivotFields>
  <rowFields count="1">
    <field x="1"/>
  </rowFields>
  <rowItems count="11">
    <i>
      <x/>
    </i>
    <i>
      <x v="1"/>
    </i>
    <i>
      <x v="2"/>
    </i>
    <i>
      <x v="3"/>
    </i>
    <i>
      <x v="4"/>
    </i>
    <i>
      <x v="5"/>
    </i>
    <i>
      <x v="6"/>
    </i>
    <i>
      <x v="7"/>
    </i>
    <i>
      <x v="8"/>
    </i>
    <i>
      <x v="10"/>
    </i>
    <i t="grand">
      <x/>
    </i>
  </rowItems>
  <colFields count="1">
    <field x="2"/>
  </colFields>
  <colItems count="5">
    <i>
      <x v="1"/>
    </i>
    <i>
      <x v="2"/>
    </i>
    <i>
      <x v="3"/>
    </i>
    <i>
      <x v="4"/>
    </i>
    <i t="grand">
      <x/>
    </i>
  </colItems>
  <pageFields count="1">
    <pageField fld="0" item="1" hier="-1"/>
  </pageFields>
  <dataFields count="1">
    <dataField name="Sum of Total Of PositionRef"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name="PivotTable3" cacheId="39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5:F29" firstHeaderRow="1" firstDataRow="2" firstDataCol="1" rowPageCount="1" colPageCount="1"/>
  <pivotFields count="4">
    <pivotField axis="axisPage" subtotalTop="0" showAll="0">
      <items count="3">
        <item x="0"/>
        <item x="1"/>
        <item t="default"/>
      </items>
    </pivotField>
    <pivotField axis="axisRow" subtotalTop="0" showAll="0">
      <items count="3">
        <item x="0"/>
        <item x="1"/>
        <item t="default"/>
      </items>
    </pivotField>
    <pivotField axis="axisCol" subtotalTop="0" showAll="0">
      <items count="6">
        <item x="0"/>
        <item x="1"/>
        <item x="2"/>
        <item x="3"/>
        <item x="4"/>
        <item t="default"/>
      </items>
    </pivotField>
    <pivotField dataField="1" subtotalTop="0" showAll="0"/>
  </pivotFields>
  <rowFields count="1">
    <field x="1"/>
  </rowFields>
  <rowItems count="3">
    <i>
      <x/>
    </i>
    <i>
      <x v="1"/>
    </i>
    <i t="grand">
      <x/>
    </i>
  </rowItems>
  <colFields count="1">
    <field x="2"/>
  </colFields>
  <colItems count="5">
    <i>
      <x v="1"/>
    </i>
    <i>
      <x v="2"/>
    </i>
    <i>
      <x v="3"/>
    </i>
    <i>
      <x v="4"/>
    </i>
    <i t="grand">
      <x/>
    </i>
  </colItems>
  <pageFields count="1">
    <pageField fld="0" item="1" hier="-1"/>
  </pageFields>
  <dataFields count="1">
    <dataField name="Sum of Total Of PositionRef"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PivotTable7" cacheId="39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G12" firstHeaderRow="1" firstDataRow="2" firstDataCol="1" rowPageCount="1" colPageCount="1"/>
  <pivotFields count="4">
    <pivotField axis="axisPage" subtotalTop="0" showAll="0">
      <items count="3">
        <item x="0"/>
        <item x="1"/>
        <item t="default"/>
      </items>
    </pivotField>
    <pivotField axis="axisRow" subtotalTop="0" showAll="0">
      <items count="12">
        <item x="0"/>
        <item x="1"/>
        <item x="2"/>
        <item x="3"/>
        <item x="4"/>
        <item x="5"/>
        <item x="6"/>
        <item x="7"/>
        <item x="8"/>
        <item x="9"/>
        <item x="10"/>
        <item t="default"/>
      </items>
    </pivotField>
    <pivotField axis="axisCol" subtotalTop="0" showAll="0">
      <items count="6">
        <item x="3"/>
        <item x="0"/>
        <item x="1"/>
        <item x="4"/>
        <item x="2"/>
        <item t="default"/>
      </items>
    </pivotField>
    <pivotField dataField="1" subtotalTop="0" showAll="0"/>
  </pivotFields>
  <rowFields count="1">
    <field x="1"/>
  </rowFields>
  <rowItems count="8">
    <i>
      <x/>
    </i>
    <i>
      <x v="1"/>
    </i>
    <i>
      <x v="2"/>
    </i>
    <i>
      <x v="3"/>
    </i>
    <i>
      <x v="4"/>
    </i>
    <i>
      <x v="5"/>
    </i>
    <i>
      <x v="7"/>
    </i>
    <i t="grand">
      <x/>
    </i>
  </rowItems>
  <colFields count="1">
    <field x="2"/>
  </colFields>
  <colItems count="6">
    <i>
      <x/>
    </i>
    <i>
      <x v="1"/>
    </i>
    <i>
      <x v="2"/>
    </i>
    <i>
      <x v="3"/>
    </i>
    <i>
      <x v="4"/>
    </i>
    <i t="grand">
      <x/>
    </i>
  </colItems>
  <pageFields count="1">
    <pageField fld="0" item="1" hier="-1"/>
  </pageFields>
  <dataFields count="1">
    <dataField name="Sum of Total Of Headcount"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PivotTable1" cacheId="36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0:U33" firstHeaderRow="1" firstDataRow="4" firstDataCol="1"/>
  <pivotFields count="8">
    <pivotField axis="axisCol" showAll="0">
      <items count="2">
        <item x="0"/>
        <item t="default"/>
      </items>
    </pivotField>
    <pivotField axis="axisCol" showAll="0">
      <items count="3">
        <item x="1"/>
        <item x="0"/>
        <item t="default"/>
      </items>
    </pivotField>
    <pivotField axis="axisRow" showAll="0">
      <items count="10">
        <item x="0"/>
        <item x="1"/>
        <item x="2"/>
        <item x="3"/>
        <item x="4"/>
        <item x="5"/>
        <item x="6"/>
        <item x="7"/>
        <item x="8"/>
        <item t="default"/>
      </items>
    </pivotField>
    <pivotField dataField="1" showAll="0"/>
    <pivotField dataField="1" showAll="0"/>
    <pivotField dataField="1" showAll="0"/>
    <pivotField dataField="1" showAll="0"/>
    <pivotField dataField="1" showAll="0"/>
  </pivotFields>
  <rowFields count="1">
    <field x="2"/>
  </rowFields>
  <rowItems count="10">
    <i>
      <x/>
    </i>
    <i>
      <x v="1"/>
    </i>
    <i>
      <x v="2"/>
    </i>
    <i>
      <x v="3"/>
    </i>
    <i>
      <x v="4"/>
    </i>
    <i>
      <x v="5"/>
    </i>
    <i>
      <x v="6"/>
    </i>
    <i>
      <x v="7"/>
    </i>
    <i>
      <x v="8"/>
    </i>
    <i t="grand">
      <x/>
    </i>
  </rowItems>
  <colFields count="3">
    <field x="0"/>
    <field x="1"/>
    <field x="-2"/>
  </colFields>
  <colItems count="20">
    <i>
      <x/>
      <x/>
      <x/>
    </i>
    <i r="2" i="1">
      <x v="1"/>
    </i>
    <i r="2" i="2">
      <x v="2"/>
    </i>
    <i r="2" i="3">
      <x v="3"/>
    </i>
    <i r="2" i="4">
      <x v="4"/>
    </i>
    <i r="1">
      <x v="1"/>
      <x/>
    </i>
    <i r="2" i="1">
      <x v="1"/>
    </i>
    <i r="2" i="2">
      <x v="2"/>
    </i>
    <i r="2" i="3">
      <x v="3"/>
    </i>
    <i r="2" i="4">
      <x v="4"/>
    </i>
    <i t="default">
      <x/>
    </i>
    <i t="default" i="1">
      <x/>
    </i>
    <i t="default" i="2">
      <x/>
    </i>
    <i t="default" i="3">
      <x/>
    </i>
    <i t="default" i="4">
      <x/>
    </i>
    <i t="grand">
      <x/>
    </i>
    <i t="grand" i="1">
      <x/>
    </i>
    <i t="grand" i="2">
      <x/>
    </i>
    <i t="grand" i="3">
      <x/>
    </i>
    <i t="grand" i="4">
      <x/>
    </i>
  </colItems>
  <dataFields count="5">
    <dataField name="Sum of Objects thrown at firefighters/appliances" fld="3" baseField="2" baseItem="0"/>
    <dataField name="Sum of Physical abuse" fld="4" baseField="2" baseItem="0"/>
    <dataField name="Sum of Verbal abuse" fld="5" baseField="2" baseItem="0"/>
    <dataField name="Sum of Other acts of aggression" fld="6" baseField="2"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name="PivotTable26" cacheId="36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Z17" firstHeaderRow="1" firstDataRow="4" firstDataCol="1"/>
  <pivotFields count="8">
    <pivotField axis="axisCol" showAll="0">
      <items count="2">
        <item x="0"/>
        <item t="default"/>
      </items>
    </pivotField>
    <pivotField axis="axisCol" showAll="0">
      <items count="3">
        <item x="1"/>
        <item x="0"/>
        <item t="default"/>
      </items>
    </pivotField>
    <pivotField axis="axisRow" showAll="0">
      <items count="10">
        <item x="0"/>
        <item x="1"/>
        <item x="2"/>
        <item x="3"/>
        <item x="4"/>
        <item x="5"/>
        <item x="6"/>
        <item x="7"/>
        <item x="8"/>
        <item t="default"/>
      </items>
    </pivotField>
    <pivotField dataField="1" showAll="0"/>
    <pivotField dataField="1" showAll="0"/>
    <pivotField dataField="1" showAll="0"/>
    <pivotField dataField="1" showAll="0"/>
    <pivotField dataField="1" showAll="0"/>
  </pivotFields>
  <rowFields count="1">
    <field x="2"/>
  </rowFields>
  <rowItems count="10">
    <i>
      <x/>
    </i>
    <i>
      <x v="1"/>
    </i>
    <i>
      <x v="2"/>
    </i>
    <i>
      <x v="3"/>
    </i>
    <i>
      <x v="4"/>
    </i>
    <i>
      <x v="5"/>
    </i>
    <i>
      <x v="6"/>
    </i>
    <i>
      <x v="7"/>
    </i>
    <i>
      <x v="8"/>
    </i>
    <i t="grand">
      <x/>
    </i>
  </rowItems>
  <colFields count="3">
    <field x="1"/>
    <field x="0"/>
    <field x="-2"/>
  </colFields>
  <colItems count="25">
    <i>
      <x/>
      <x/>
      <x/>
    </i>
    <i r="2" i="1">
      <x v="1"/>
    </i>
    <i r="2" i="2">
      <x v="2"/>
    </i>
    <i r="2" i="3">
      <x v="3"/>
    </i>
    <i r="2" i="4">
      <x v="4"/>
    </i>
    <i t="default">
      <x/>
    </i>
    <i t="default" i="1">
      <x/>
    </i>
    <i t="default" i="2">
      <x/>
    </i>
    <i t="default" i="3">
      <x/>
    </i>
    <i t="default" i="4">
      <x/>
    </i>
    <i>
      <x v="1"/>
      <x/>
      <x/>
    </i>
    <i r="2" i="1">
      <x v="1"/>
    </i>
    <i r="2" i="2">
      <x v="2"/>
    </i>
    <i r="2" i="3">
      <x v="3"/>
    </i>
    <i r="2" i="4">
      <x v="4"/>
    </i>
    <i t="default">
      <x v="1"/>
    </i>
    <i t="default" i="1">
      <x v="1"/>
    </i>
    <i t="default" i="2">
      <x v="1"/>
    </i>
    <i t="default" i="3">
      <x v="1"/>
    </i>
    <i t="default" i="4">
      <x v="1"/>
    </i>
    <i t="grand">
      <x/>
    </i>
    <i t="grand" i="1">
      <x/>
    </i>
    <i t="grand" i="2">
      <x/>
    </i>
    <i t="grand" i="3">
      <x/>
    </i>
    <i t="grand" i="4">
      <x/>
    </i>
  </colItems>
  <dataFields count="5">
    <dataField name="Sum of Objects thrown at firefighters/appliances" fld="3" baseField="2" baseItem="0"/>
    <dataField name="Sum of Physical abuse" fld="4" baseField="2" baseItem="0"/>
    <dataField name="Sum of Verbal abuse" fld="5" baseField="2" baseItem="0"/>
    <dataField name="Sum of Other acts of aggression" fld="6" baseField="2"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PivotTable1" cacheId="36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F35" firstHeaderRow="0" firstDataRow="1" firstDataCol="1"/>
  <pivotFields count="7">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5">
    <i>
      <x/>
    </i>
    <i i="1">
      <x v="1"/>
    </i>
    <i i="2">
      <x v="2"/>
    </i>
    <i i="3">
      <x v="3"/>
    </i>
    <i i="4">
      <x v="4"/>
    </i>
  </colItems>
  <dataFields count="5">
    <dataField name="Sum of 2015-16" fld="2" baseField="0" baseItem="0"/>
    <dataField name="Sum of 2016-17" fld="3" baseField="0" baseItem="0"/>
    <dataField name="Sum of 2017-18" fld="4" baseField="0" baseItem="0"/>
    <dataField name="Sum of 2018-19" fld="5" baseField="0" baseItem="0"/>
    <dataField name="Sum of 2019-20" fld="6" baseField="0"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name="PivotTable8" cacheId="38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4:N12" firstHeaderRow="1" firstDataRow="2" firstDataCol="1"/>
  <pivotFields count="5">
    <pivotField axis="axisCol" subtotalTop="0" showAll="0">
      <items count="6">
        <item x="0"/>
        <item x="1"/>
        <item x="2"/>
        <item x="3"/>
        <item x="4"/>
        <item t="default"/>
      </items>
    </pivotField>
    <pivotField axis="axisRow" subtotalTop="0" showAll="0">
      <items count="7">
        <item x="0"/>
        <item x="1"/>
        <item x="2"/>
        <item x="3"/>
        <item x="4"/>
        <item x="5"/>
        <item t="default"/>
      </items>
    </pivotField>
    <pivotField dataField="1" subtotalTop="0" showAll="0"/>
    <pivotField subtotalTop="0" showAll="0"/>
    <pivotField subtotalTop="0" showAll="0"/>
  </pivotFields>
  <rowFields count="1">
    <field x="1"/>
  </rowFields>
  <rowItems count="7">
    <i>
      <x/>
    </i>
    <i>
      <x v="1"/>
    </i>
    <i>
      <x v="2"/>
    </i>
    <i>
      <x v="3"/>
    </i>
    <i>
      <x v="4"/>
    </i>
    <i>
      <x v="5"/>
    </i>
    <i t="grand">
      <x/>
    </i>
  </rowItems>
  <colFields count="1">
    <field x="0"/>
  </colFields>
  <colItems count="6">
    <i>
      <x/>
    </i>
    <i>
      <x v="1"/>
    </i>
    <i>
      <x v="2"/>
    </i>
    <i>
      <x v="3"/>
    </i>
    <i>
      <x v="4"/>
    </i>
    <i t="grand">
      <x/>
    </i>
  </colItems>
  <dataFields count="1">
    <dataField name="Sum of Visit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386" applyNumberFormats="0" applyBorderFormats="0" applyFontFormats="0" applyPatternFormats="0" applyAlignmentFormats="0" applyWidthHeightFormats="1" dataCaption="Values" updatedVersion="6" minRefreshableVersion="3" useAutoFormatting="1" rowGrandTotals="0" itemPrintTitles="1" createdVersion="5" indent="0" outline="1" outlineData="1" multipleFieldFilters="0">
  <location ref="A4:P10" firstHeaderRow="1" firstDataRow="3" firstDataCol="1"/>
  <pivotFields count="4">
    <pivotField axis="axisRow" showAll="0">
      <items count="5">
        <item x="0"/>
        <item x="1"/>
        <item x="2"/>
        <item x="3"/>
        <item t="default"/>
      </items>
    </pivotField>
    <pivotField axis="axisCol" showAll="0" defaultSubtotal="0">
      <items count="4">
        <item x="0"/>
        <item x="1"/>
        <item x="2"/>
        <item x="3"/>
      </items>
    </pivotField>
    <pivotField axis="axisCol" showAll="0">
      <items count="7">
        <item x="2"/>
        <item x="0"/>
        <item x="1"/>
        <item x="3"/>
        <item x="4"/>
        <item x="5"/>
        <item t="default"/>
      </items>
    </pivotField>
    <pivotField dataField="1" showAll="0"/>
  </pivotFields>
  <rowFields count="1">
    <field x="0"/>
  </rowFields>
  <rowItems count="4">
    <i>
      <x/>
    </i>
    <i>
      <x v="1"/>
    </i>
    <i>
      <x v="2"/>
    </i>
    <i>
      <x v="3"/>
    </i>
  </rowItems>
  <colFields count="2">
    <field x="1"/>
    <field x="2"/>
  </colFields>
  <colItems count="15">
    <i>
      <x/>
      <x v="1"/>
    </i>
    <i r="1">
      <x v="2"/>
    </i>
    <i>
      <x v="1"/>
      <x/>
    </i>
    <i r="1">
      <x v="2"/>
    </i>
    <i r="1">
      <x v="3"/>
    </i>
    <i r="1">
      <x v="4"/>
    </i>
    <i r="1">
      <x v="5"/>
    </i>
    <i>
      <x v="2"/>
      <x/>
    </i>
    <i r="1">
      <x v="3"/>
    </i>
    <i r="1">
      <x v="4"/>
    </i>
    <i r="1">
      <x v="5"/>
    </i>
    <i>
      <x v="3"/>
      <x v="3"/>
    </i>
    <i r="1">
      <x v="4"/>
    </i>
    <i r="1">
      <x v="5"/>
    </i>
    <i t="grand">
      <x/>
    </i>
  </colItems>
  <dataFields count="1">
    <dataField name="Sum of 2017-18"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PivotTable7" cacheId="39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P16:V24" firstHeaderRow="1" firstDataRow="2" firstDataCol="1"/>
  <pivotFields count="8">
    <pivotField axis="axisRow" subtotalTop="0" showAll="0">
      <items count="7">
        <item x="0"/>
        <item x="5"/>
        <item x="1"/>
        <item x="3"/>
        <item x="4"/>
        <item x="2"/>
        <item t="default"/>
      </items>
    </pivotField>
    <pivotField axis="axisCol" subtotalTop="0" showAll="0">
      <items count="6">
        <item x="0"/>
        <item x="3"/>
        <item x="4"/>
        <item x="1"/>
        <item x="2"/>
        <item t="default"/>
      </items>
    </pivotField>
    <pivotField subtotalTop="0" showAll="0"/>
    <pivotField subtotalTop="0" showAll="0"/>
    <pivotField dataField="1" subtotalTop="0" showAll="0"/>
    <pivotField subtotalTop="0" showAll="0"/>
    <pivotField subtotalTop="0" showAll="0"/>
    <pivotField showAll="0"/>
  </pivotFields>
  <rowFields count="1">
    <field x="0"/>
  </rowFields>
  <rowItems count="7">
    <i>
      <x/>
    </i>
    <i>
      <x v="1"/>
    </i>
    <i>
      <x v="2"/>
    </i>
    <i>
      <x v="3"/>
    </i>
    <i>
      <x v="4"/>
    </i>
    <i>
      <x v="5"/>
    </i>
    <i t="grand">
      <x/>
    </i>
  </rowItems>
  <colFields count="1">
    <field x="1"/>
  </colFields>
  <colItems count="6">
    <i>
      <x/>
    </i>
    <i>
      <x v="1"/>
    </i>
    <i>
      <x v="2"/>
    </i>
    <i>
      <x v="3"/>
    </i>
    <i>
      <x v="4"/>
    </i>
    <i t="grand">
      <x/>
    </i>
  </colItems>
  <dataFields count="1">
    <dataField name="Sum of pcAlarmsFitted" fld="4" baseField="0" baseItem="0"/>
  </dataFields>
  <formats count="10">
    <format dxfId="10">
      <pivotArea type="all" dataOnly="0" outline="0" fieldPosition="0"/>
    </format>
    <format dxfId="9">
      <pivotArea outline="0" collapsedLevelsAreSubtotals="1" fieldPosition="0"/>
    </format>
    <format dxfId="8">
      <pivotArea type="origin" dataOnly="0" labelOnly="1" outline="0" fieldPosition="0"/>
    </format>
    <format dxfId="7">
      <pivotArea field="1" type="button" dataOnly="0" labelOnly="1" outline="0" axis="axisCol" fieldPosition="0"/>
    </format>
    <format dxfId="6">
      <pivotArea type="topRight" dataOnly="0" labelOnly="1" outline="0" fieldPosition="0"/>
    </format>
    <format dxfId="5">
      <pivotArea field="0" type="button" dataOnly="0" labelOnly="1" outline="0" axis="axisRow" fieldPosition="0"/>
    </format>
    <format dxfId="4">
      <pivotArea dataOnly="0" labelOnly="1" fieldPosition="0">
        <references count="1">
          <reference field="0" count="0"/>
        </references>
      </pivotArea>
    </format>
    <format dxfId="3">
      <pivotArea dataOnly="0" labelOnly="1" grandRow="1" outline="0" fieldPosition="0"/>
    </format>
    <format dxfId="2">
      <pivotArea dataOnly="0" labelOnly="1" fieldPosition="0">
        <references count="1">
          <reference field="1" count="0"/>
        </references>
      </pivotArea>
    </format>
    <format dxfId="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name="PivotTable5" cacheId="38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P2:V10" firstHeaderRow="1" firstDataRow="2" firstDataCol="1"/>
  <pivotFields count="7">
    <pivotField axis="axisRow" subtotalTop="0" showAll="0">
      <items count="7">
        <item x="0"/>
        <item x="5"/>
        <item x="1"/>
        <item x="3"/>
        <item x="4"/>
        <item x="2"/>
        <item t="default"/>
      </items>
    </pivotField>
    <pivotField axis="axisCol" subtotalTop="0" showAll="0">
      <items count="6">
        <item x="0"/>
        <item x="3"/>
        <item x="4"/>
        <item x="1"/>
        <item x="2"/>
        <item t="default"/>
      </items>
    </pivotField>
    <pivotField subtotalTop="0" showAll="0"/>
    <pivotField subtotalTop="0" showAll="0"/>
    <pivotField dataField="1" subtotalTop="0" showAll="0"/>
    <pivotField subtotalTop="0" showAll="0"/>
    <pivotField subtotalTop="0" showAll="0"/>
  </pivotFields>
  <rowFields count="1">
    <field x="0"/>
  </rowFields>
  <rowItems count="7">
    <i>
      <x/>
    </i>
    <i>
      <x v="1"/>
    </i>
    <i>
      <x v="2"/>
    </i>
    <i>
      <x v="3"/>
    </i>
    <i>
      <x v="4"/>
    </i>
    <i>
      <x v="5"/>
    </i>
    <i t="grand">
      <x/>
    </i>
  </rowItems>
  <colFields count="1">
    <field x="1"/>
  </colFields>
  <colItems count="6">
    <i>
      <x/>
    </i>
    <i>
      <x v="1"/>
    </i>
    <i>
      <x v="2"/>
    </i>
    <i>
      <x v="3"/>
    </i>
    <i>
      <x v="4"/>
    </i>
    <i t="grand">
      <x/>
    </i>
  </colItems>
  <dataFields count="1">
    <dataField name="Sum of pcAlarmsFitt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name="PivotTable9" cacheId="389"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I16:N23" firstHeaderRow="1" firstDataRow="2" firstDataCol="1"/>
  <pivotFields count="7">
    <pivotField axis="axisRow" subtotalTop="0" showAll="0">
      <items count="7">
        <item x="0"/>
        <item x="5"/>
        <item x="1"/>
        <item x="3"/>
        <item x="4"/>
        <item x="2"/>
        <item t="default"/>
      </items>
    </pivotField>
    <pivotField axis="axisCol" subtotalTop="0" showAll="0">
      <items count="6">
        <item x="0"/>
        <item x="3"/>
        <item x="4"/>
        <item x="1"/>
        <item x="2"/>
        <item t="default"/>
      </items>
    </pivotField>
    <pivotField subtotalTop="0" showAll="0"/>
    <pivotField showAll="0"/>
    <pivotField subtotalTop="0" showAll="0"/>
    <pivotField dataField="1" showAll="0"/>
    <pivotField showAll="0"/>
  </pivotFields>
  <rowFields count="1">
    <field x="0"/>
  </rowFields>
  <rowItems count="6">
    <i>
      <x/>
    </i>
    <i>
      <x v="1"/>
    </i>
    <i>
      <x v="2"/>
    </i>
    <i>
      <x v="3"/>
    </i>
    <i>
      <x v="4"/>
    </i>
    <i>
      <x v="5"/>
    </i>
  </rowItems>
  <colFields count="1">
    <field x="1"/>
  </colFields>
  <colItems count="5">
    <i>
      <x/>
    </i>
    <i>
      <x v="1"/>
    </i>
    <i>
      <x v="2"/>
    </i>
    <i>
      <x v="3"/>
    </i>
    <i>
      <x v="4"/>
    </i>
  </colItems>
  <dataFields count="1">
    <dataField name="Sum of RateAlarmsFittedper100Occupied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name="PivotTable3" cacheId="389"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I2:N9" firstHeaderRow="1" firstDataRow="2" firstDataCol="1"/>
  <pivotFields count="7">
    <pivotField axis="axisRow" subtotalTop="0" showAll="0">
      <items count="7">
        <item x="0"/>
        <item x="5"/>
        <item x="1"/>
        <item x="3"/>
        <item x="4"/>
        <item x="2"/>
        <item t="default"/>
      </items>
    </pivotField>
    <pivotField axis="axisCol" subtotalTop="0" showAll="0">
      <items count="6">
        <item x="0"/>
        <item x="3"/>
        <item x="4"/>
        <item x="1"/>
        <item x="2"/>
        <item t="default"/>
      </items>
    </pivotField>
    <pivotField dataField="1" subtotalTop="0" showAll="0"/>
    <pivotField showAll="0"/>
    <pivotField subtotalTop="0" showAll="0"/>
    <pivotField showAll="0"/>
    <pivotField showAll="0"/>
  </pivotFields>
  <rowFields count="1">
    <field x="0"/>
  </rowFields>
  <rowItems count="6">
    <i>
      <x/>
    </i>
    <i>
      <x v="1"/>
    </i>
    <i>
      <x v="2"/>
    </i>
    <i>
      <x v="3"/>
    </i>
    <i>
      <x v="4"/>
    </i>
    <i>
      <x v="5"/>
    </i>
  </rowItems>
  <colFields count="1">
    <field x="1"/>
  </colFields>
  <colItems count="5">
    <i>
      <x/>
    </i>
    <i>
      <x v="1"/>
    </i>
    <i>
      <x v="2"/>
    </i>
    <i>
      <x v="3"/>
    </i>
    <i>
      <x v="4"/>
    </i>
  </colItems>
  <dataFields count="1">
    <dataField name="Sum of Visit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name="PivotTable6" cacheId="365"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M36" firstHeaderRow="0" firstDataRow="1" firstDataCol="1" rowPageCount="1" colPageCount="1"/>
  <pivotFields count="15">
    <pivotField axis="axisPage" showAll="0">
      <items count="8">
        <item x="0"/>
        <item x="1"/>
        <item x="2"/>
        <item x="3"/>
        <item x="4"/>
        <item x="5"/>
        <item x="6"/>
        <item t="default"/>
      </items>
    </pivotField>
    <pivotField axis="axisRow" showAll="0">
      <items count="33">
        <item x="19"/>
        <item x="9"/>
        <item x="13"/>
        <item x="26"/>
        <item x="12"/>
        <item x="22"/>
        <item x="30"/>
        <item x="14"/>
        <item x="20"/>
        <item x="10"/>
        <item x="15"/>
        <item x="21"/>
        <item x="29"/>
        <item x="1"/>
        <item x="2"/>
        <item x="24"/>
        <item x="16"/>
        <item x="4"/>
        <item x="0"/>
        <item x="23"/>
        <item x="5"/>
        <item x="17"/>
        <item x="25"/>
        <item x="6"/>
        <item x="7"/>
        <item x="18"/>
        <item x="3"/>
        <item x="27"/>
        <item x="8"/>
        <item x="31"/>
        <item x="28"/>
        <item x="1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0" item="6" hier="-1"/>
  </pageFields>
  <dataFields count="12">
    <dataField name="Sum of VisitAlarmInstalled" fld="3" baseField="0" baseItem="0"/>
    <dataField name="Sum of VisitAdviceOnly" fld="4" baseField="0" baseItem="0"/>
    <dataField name="Sum of TotalVisits" fld="5" baseField="0" baseItem="0"/>
    <dataField name="Sum of TotalAlarms" fld="6" baseField="0" baseItem="0"/>
    <dataField name="Sum of TotalNewAlarms" fld="7" baseField="0" baseItem="0"/>
    <dataField name="Sum of TotalReplacedAlarms" fld="8" baseField="0" baseItem="0"/>
    <dataField name="Sum of Dwellings" fld="9" baseField="0" baseItem="0"/>
    <dataField name="Sum of VisitsPer100Dwelling" fld="10" baseField="0" baseItem="0"/>
    <dataField name="Sum of AlarmsPer100Dwelling" fld="11" baseField="0" baseItem="0"/>
    <dataField name="Sum of Households" fld="12" baseField="0" baseItem="0"/>
    <dataField name="Sum of VisitsPer100Household" fld="13" baseField="0" baseItem="0"/>
    <dataField name="Sum of AlarmsPer100Household"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name="PivotTable2" cacheId="36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P36" firstHeaderRow="0" firstDataRow="1" firstDataCol="1" rowPageCount="1" colPageCount="1"/>
  <pivotFields count="19">
    <pivotField axis="axisPage" multipleItemSelectionAllowed="1" showAll="0">
      <items count="7">
        <item h="1" x="0"/>
        <item h="1" x="1"/>
        <item h="1" x="2"/>
        <item h="1" x="3"/>
        <item h="1" x="4"/>
        <item x="5"/>
        <item t="default"/>
      </items>
    </pivotField>
    <pivotField showAll="0"/>
    <pivotField axis="axisRow" showAll="0">
      <items count="33">
        <item x="20"/>
        <item x="21"/>
        <item x="27"/>
        <item x="22"/>
        <item x="23"/>
        <item x="0"/>
        <item x="1"/>
        <item x="28"/>
        <item x="2"/>
        <item x="30"/>
        <item x="3"/>
        <item x="4"/>
        <item x="6"/>
        <item x="7"/>
        <item x="31"/>
        <item x="8"/>
        <item x="9"/>
        <item x="10"/>
        <item x="11"/>
        <item x="5"/>
        <item x="12"/>
        <item x="29"/>
        <item x="13"/>
        <item x="14"/>
        <item x="24"/>
        <item x="15"/>
        <item x="16"/>
        <item x="17"/>
        <item x="18"/>
        <item x="19"/>
        <item x="25"/>
        <item x="26"/>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2">
    <i>
      <x/>
    </i>
    <i>
      <x v="1"/>
    </i>
    <i>
      <x v="2"/>
    </i>
    <i>
      <x v="3"/>
    </i>
    <i>
      <x v="4"/>
    </i>
    <i>
      <x v="5"/>
    </i>
    <i>
      <x v="6"/>
    </i>
    <i>
      <x v="7"/>
    </i>
    <i>
      <x v="8"/>
    </i>
    <i>
      <x v="9"/>
    </i>
    <i>
      <x v="10"/>
    </i>
    <i>
      <x v="11"/>
    </i>
    <i>
      <x v="12"/>
    </i>
    <i>
      <x v="13"/>
    </i>
    <i>
      <x v="14"/>
    </i>
    <i>
      <x v="15"/>
    </i>
    <i>
      <x v="16"/>
    </i>
    <i>
      <x v="17"/>
    </i>
    <i>
      <x v="18"/>
    </i>
    <i>
      <x v="20"/>
    </i>
    <i>
      <x v="21"/>
    </i>
    <i>
      <x v="22"/>
    </i>
    <i>
      <x v="23"/>
    </i>
    <i>
      <x v="24"/>
    </i>
    <i>
      <x v="25"/>
    </i>
    <i>
      <x v="26"/>
    </i>
    <i>
      <x v="27"/>
    </i>
    <i>
      <x v="28"/>
    </i>
    <i>
      <x v="29"/>
    </i>
    <i>
      <x v="30"/>
    </i>
    <i>
      <x v="31"/>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hier="-1"/>
  </pageFields>
  <dataFields count="15">
    <dataField name="Sum of Hospital / Prison" fld="8" baseField="0" baseItem="0"/>
    <dataField name="Sum of Care Home" fld="4" baseField="0" baseItem="0"/>
    <dataField name="Sum of HMO" fld="7" baseField="0" baseItem="0"/>
    <dataField name="Sum of Hostel" fld="9" baseField="0" baseItem="0"/>
    <dataField name="Sum of Hotel" fld="10" baseField="0" baseItem="0"/>
    <dataField name="Sum of Other Sleeping Accommodation" fld="14" baseField="0" baseItem="0"/>
    <dataField name="Sum of Further Education" fld="6" baseField="0" baseItem="0"/>
    <dataField name="Sum of Public Building" fld="16" baseField="0" baseItem="0"/>
    <dataField name="Sum of Licensed Premises" fld="11" baseField="0" baseItem="0"/>
    <dataField name="Sum of School" fld="17" baseField="0" baseItem="0"/>
    <dataField name="Sum of Shop" fld="18" baseField="0" baseItem="0"/>
    <dataField name="Sum of Other Premises Open to Public" fld="13" baseField="0" baseItem="0"/>
    <dataField name="Sum of Factory or Warehouse" fld="5" baseField="0" baseItem="0"/>
    <dataField name="Sum of Office" fld="12" baseField="0" baseItem="0"/>
    <dataField name="Sum of Other Workplace"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name="PivotTable6" cacheId="36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I20" firstHeaderRow="0" firstDataRow="1" firstDataCol="1" rowPageCount="1" colPageCount="1"/>
  <pivotFields count="10">
    <pivotField axis="axisPage" showAll="0">
      <items count="7">
        <item x="0"/>
        <item x="1"/>
        <item x="2"/>
        <item x="3"/>
        <item x="4"/>
        <item x="5"/>
        <item t="default"/>
      </items>
    </pivotField>
    <pivotField axis="axisRow" showAll="0">
      <items count="16">
        <item x="0"/>
        <item x="1"/>
        <item x="2"/>
        <item x="3"/>
        <item x="4"/>
        <item x="5"/>
        <item x="6"/>
        <item x="7"/>
        <item x="8"/>
        <item x="9"/>
        <item x="10"/>
        <item x="11"/>
        <item x="12"/>
        <item x="13"/>
        <item x="1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8">
    <i>
      <x/>
    </i>
    <i i="1">
      <x v="1"/>
    </i>
    <i i="2">
      <x v="2"/>
    </i>
    <i i="3">
      <x v="3"/>
    </i>
    <i i="4">
      <x v="4"/>
    </i>
    <i i="5">
      <x v="5"/>
    </i>
    <i i="6">
      <x v="6"/>
    </i>
    <i i="7">
      <x v="7"/>
    </i>
  </colItems>
  <pageFields count="1">
    <pageField fld="0" item="5" hier="-1"/>
  </pageFields>
  <dataFields count="8">
    <dataField name="Sum of A_Tally" fld="2" baseField="0" baseItem="0"/>
    <dataField name="Sum of A_Hours" fld="3" baseField="0" baseItem="0"/>
    <dataField name="Sum of B_Tally" fld="4" baseField="0" baseItem="0"/>
    <dataField name="Sum of B_Hours" fld="5" baseField="0" baseItem="0"/>
    <dataField name="Sum of Enforcement_Tally" fld="6" baseField="1" baseItem="0"/>
    <dataField name="Sum of Enforcement_Hours" fld="7" baseField="1" baseItem="0"/>
    <dataField name="Sum of Prohibition_Tally" fld="8" baseField="1" baseItem="0"/>
    <dataField name="Sum of Prohibition_Hours" fld="9"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name="PivotTable9" cacheId="39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I36" firstHeaderRow="0" firstDataRow="1" firstDataCol="1" rowPageCount="1" colPageCount="1"/>
  <pivotFields count="11">
    <pivotField axis="axisPage" showAll="0">
      <items count="7">
        <item x="0"/>
        <item x="1"/>
        <item x="2"/>
        <item x="3"/>
        <item x="4"/>
        <item x="5"/>
        <item t="default"/>
      </items>
    </pivotField>
    <pivotField axis="axisRow" showAll="0" sortType="ascending">
      <items count="34">
        <item x="0"/>
        <item x="1"/>
        <item x="2"/>
        <item x="3"/>
        <item x="4"/>
        <item x="5"/>
        <item x="6"/>
        <item x="7"/>
        <item x="8"/>
        <item x="9"/>
        <item x="10"/>
        <item x="11"/>
        <item x="12"/>
        <item x="13"/>
        <item x="14"/>
        <item x="15"/>
        <item x="16"/>
        <item x="17"/>
        <item x="18"/>
        <item x="19"/>
        <item x="32"/>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20"/>
    </i>
    <i>
      <x v="21"/>
    </i>
    <i>
      <x v="22"/>
    </i>
    <i>
      <x v="23"/>
    </i>
    <i>
      <x v="24"/>
    </i>
    <i>
      <x v="25"/>
    </i>
    <i>
      <x v="26"/>
    </i>
    <i>
      <x v="27"/>
    </i>
    <i>
      <x v="28"/>
    </i>
    <i>
      <x v="29"/>
    </i>
    <i>
      <x v="30"/>
    </i>
    <i>
      <x v="31"/>
    </i>
    <i>
      <x v="32"/>
    </i>
    <i t="grand">
      <x/>
    </i>
  </rowItems>
  <colFields count="1">
    <field x="-2"/>
  </colFields>
  <colItems count="8">
    <i>
      <x/>
    </i>
    <i i="1">
      <x v="1"/>
    </i>
    <i i="2">
      <x v="2"/>
    </i>
    <i i="3">
      <x v="3"/>
    </i>
    <i i="4">
      <x v="4"/>
    </i>
    <i i="5">
      <x v="5"/>
    </i>
    <i i="6">
      <x v="6"/>
    </i>
    <i i="7">
      <x v="7"/>
    </i>
  </colItems>
  <pageFields count="1">
    <pageField fld="0" item="5" hier="-1"/>
  </pageFields>
  <dataFields count="8">
    <dataField name="Sum of A_Tally" fld="3" baseField="0" baseItem="0"/>
    <dataField name="Sum of A_Hours" fld="4" baseField="0" baseItem="0"/>
    <dataField name="Sum of B_Tally" fld="5" baseField="1" baseItem="0"/>
    <dataField name="Sum of B_Hours" fld="6" baseField="1" baseItem="0"/>
    <dataField name="Sum of Enforcement_Tally" fld="7" baseField="1" baseItem="0"/>
    <dataField name="Sum of Enforcement_Hours" fld="8" baseField="1" baseItem="0"/>
    <dataField name="Sum of Prohibition_Tally" fld="9" baseField="1" baseItem="0"/>
    <dataField name="Sum of Prohibition_Hours" fld="10"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name="PivotTable7" cacheId="36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G19" firstHeaderRow="0" firstDataRow="1" firstDataCol="1" rowPageCount="1" colPageCount="1"/>
  <pivotFields count="9">
    <pivotField axis="axisPage" showAll="0">
      <items count="7">
        <item x="0"/>
        <item x="1"/>
        <item x="2"/>
        <item x="3"/>
        <item x="4"/>
        <item x="5"/>
        <item t="default"/>
      </items>
    </pivotField>
    <pivotField axis="axisRow" showAll="0">
      <items count="16">
        <item x="0"/>
        <item x="1"/>
        <item x="2"/>
        <item x="3"/>
        <item x="4"/>
        <item x="5"/>
        <item x="6"/>
        <item x="7"/>
        <item x="8"/>
        <item x="9"/>
        <item x="10"/>
        <item x="11"/>
        <item x="12"/>
        <item x="13"/>
        <item x="14"/>
        <item t="default"/>
      </items>
    </pivotField>
    <pivotField showAll="0"/>
    <pivotField dataField="1" showAll="0"/>
    <pivotField dataField="1" showAll="0"/>
    <pivotField dataField="1" showAll="0"/>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6">
    <i>
      <x/>
    </i>
    <i i="1">
      <x v="1"/>
    </i>
    <i i="2">
      <x v="2"/>
    </i>
    <i i="3">
      <x v="3"/>
    </i>
    <i i="4">
      <x v="4"/>
    </i>
    <i i="5">
      <x v="5"/>
    </i>
  </colItems>
  <pageFields count="1">
    <pageField fld="0" item="5" hier="-1"/>
  </pageFields>
  <dataFields count="6">
    <dataField name="Sum of VL" fld="8" baseField="1" baseItem="0"/>
    <dataField name="Sum of L" fld="5" baseField="1" baseItem="0"/>
    <dataField name="Sum of M" fld="6" baseField="0" baseItem="0"/>
    <dataField name="Sum of H" fld="4" baseField="0" baseItem="0"/>
    <dataField name="Sum of VH" fld="7" baseField="1"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385" applyNumberFormats="0" applyBorderFormats="0" applyFontFormats="0" applyPatternFormats="0" applyAlignmentFormats="0" applyWidthHeightFormats="1" dataCaption="Values" updatedVersion="6" minRefreshableVersion="3" useAutoFormatting="1" rowGrandTotals="0" itemPrintTitles="1" createdVersion="5" indent="0" outline="1" outlineData="1" multipleFieldFilters="0">
  <location ref="A20:X27" firstHeaderRow="1" firstDataRow="3" firstDataCol="1"/>
  <pivotFields count="4">
    <pivotField axis="axisRow" showAll="0">
      <items count="6">
        <item x="0"/>
        <item x="1"/>
        <item x="2"/>
        <item x="3"/>
        <item x="4"/>
        <item t="default"/>
      </items>
    </pivotField>
    <pivotField axis="axisCol" showAll="0" defaultSubtotal="0">
      <items count="5">
        <item x="0"/>
        <item x="1"/>
        <item x="2"/>
        <item x="3"/>
        <item x="4"/>
      </items>
    </pivotField>
    <pivotField axis="axisCol" showAll="0">
      <items count="10">
        <item x="1"/>
        <item x="2"/>
        <item x="0"/>
        <item x="3"/>
        <item x="4"/>
        <item x="5"/>
        <item x="6"/>
        <item x="7"/>
        <item x="8"/>
        <item t="default"/>
      </items>
    </pivotField>
    <pivotField dataField="1" showAll="0"/>
  </pivotFields>
  <rowFields count="1">
    <field x="0"/>
  </rowFields>
  <rowItems count="5">
    <i>
      <x/>
    </i>
    <i>
      <x v="1"/>
    </i>
    <i>
      <x v="2"/>
    </i>
    <i>
      <x v="3"/>
    </i>
    <i>
      <x v="4"/>
    </i>
  </rowItems>
  <colFields count="2">
    <field x="1"/>
    <field x="2"/>
  </colFields>
  <colItems count="23">
    <i>
      <x/>
      <x v="2"/>
    </i>
    <i>
      <x v="1"/>
      <x/>
    </i>
    <i r="1">
      <x v="1"/>
    </i>
    <i r="1">
      <x v="3"/>
    </i>
    <i r="1">
      <x v="4"/>
    </i>
    <i r="1">
      <x v="5"/>
    </i>
    <i r="1">
      <x v="6"/>
    </i>
    <i r="1">
      <x v="7"/>
    </i>
    <i>
      <x v="2"/>
      <x/>
    </i>
    <i r="1">
      <x v="1"/>
    </i>
    <i r="1">
      <x v="3"/>
    </i>
    <i r="1">
      <x v="4"/>
    </i>
    <i r="1">
      <x v="5"/>
    </i>
    <i r="1">
      <x v="6"/>
    </i>
    <i r="1">
      <x v="7"/>
    </i>
    <i>
      <x v="3"/>
      <x v="1"/>
    </i>
    <i r="1">
      <x v="3"/>
    </i>
    <i r="1">
      <x v="4"/>
    </i>
    <i r="1">
      <x v="5"/>
    </i>
    <i r="1">
      <x v="6"/>
    </i>
    <i r="1">
      <x v="7"/>
    </i>
    <i>
      <x v="4"/>
      <x v="8"/>
    </i>
    <i t="grand">
      <x/>
    </i>
  </colItems>
  <dataFields count="1">
    <dataField name="Sum of 2016-17"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4" cacheId="39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7:H80" firstHeaderRow="0" firstDataRow="1" firstDataCol="1" rowPageCount="1" colPageCount="1"/>
  <pivotFields count="10">
    <pivotField axis="axisPage" showAll="0">
      <items count="5">
        <item x="0"/>
        <item x="1"/>
        <item x="2"/>
        <item x="3"/>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7">
    <i>
      <x/>
    </i>
    <i i="1">
      <x v="1"/>
    </i>
    <i i="2">
      <x v="2"/>
    </i>
    <i i="3">
      <x v="3"/>
    </i>
    <i i="4">
      <x v="4"/>
    </i>
    <i i="5">
      <x v="5"/>
    </i>
    <i i="6">
      <x v="6"/>
    </i>
  </colItems>
  <pageFields count="1">
    <pageField fld="0" item="3" hier="-1"/>
  </pageFields>
  <dataFields count="7">
    <dataField name="Sum of Total" fld="3" baseField="0" baseItem="0"/>
    <dataField name="Sum of Pumping Appliances" fld="7" baseField="0" baseItem="0"/>
    <dataField name="Sum of Combined Aerial &amp; Pumping" fld="4" baseField="1" baseItem="0"/>
    <dataField name="Sum of Primarily For Rescue Vehicles" fld="6" baseField="1" baseItem="0"/>
    <dataField name="Sum of Small Firefighting Vehicles" fld="9" baseField="1" baseItem="0"/>
    <dataField name="Sum of Operational Other" fld="5" baseField="1" baseItem="0"/>
    <dataField name="Sum of Resilience"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3" cacheId="38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7:F40" firstHeaderRow="0" firstDataRow="1" firstDataCol="1" rowPageCount="1" colPageCount="1"/>
  <pivotFields count="8">
    <pivotField axis="axisPage" showAll="0">
      <items count="6">
        <item x="0"/>
        <item x="1"/>
        <item x="2"/>
        <item x="3"/>
        <item x="4"/>
        <item t="default"/>
      </items>
    </pivotField>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5">
    <i>
      <x/>
    </i>
    <i i="1">
      <x v="1"/>
    </i>
    <i i="2">
      <x v="2"/>
    </i>
    <i i="3">
      <x v="3"/>
    </i>
    <i i="4">
      <x v="4"/>
    </i>
  </colItems>
  <pageFields count="1">
    <pageField fld="0" item="3" hier="-1"/>
  </pageFields>
  <dataFields count="5">
    <dataField name="Sum of Total" fld="3" baseField="0" baseItem="0"/>
    <dataField name="Sum of Pumping Appliances" fld="6" baseField="0" baseItem="0"/>
    <dataField name="Sum of Aerial Appliances" fld="4" baseField="1" baseItem="0"/>
    <dataField name="Sum of Other Appliances" fld="5" baseField="1" baseItem="0"/>
    <dataField name="Sum of Resilience"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2" cacheId="35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61" firstHeaderRow="0" firstDataRow="1" firstDataCol="1" rowPageCount="1" colPageCount="1"/>
  <pivotFields count="9">
    <pivotField axis="axisPage" subtotalTop="0" showAll="0">
      <items count="3">
        <item x="0"/>
        <item x="1"/>
        <item t="default"/>
      </items>
    </pivotField>
    <pivotField axis="axisRow" subtotalTop="0" showAll="0">
      <items count="5">
        <item x="0"/>
        <item x="1"/>
        <item x="2"/>
        <item x="3"/>
        <item t="default"/>
      </items>
    </pivotField>
    <pivotField subtotalTop="0" showAll="0"/>
    <pivotField axis="axisRow" subtotalTop="0" showAll="0">
      <items count="46">
        <item x="16"/>
        <item x="17"/>
        <item x="29"/>
        <item x="23"/>
        <item x="18"/>
        <item x="30"/>
        <item x="19"/>
        <item x="0"/>
        <item x="1"/>
        <item x="24"/>
        <item x="39"/>
        <item x="41"/>
        <item x="2"/>
        <item x="31"/>
        <item x="26"/>
        <item x="3"/>
        <item x="32"/>
        <item x="4"/>
        <item x="33"/>
        <item x="34"/>
        <item x="5"/>
        <item x="35"/>
        <item x="28"/>
        <item x="27"/>
        <item x="6"/>
        <item x="36"/>
        <item x="7"/>
        <item x="8"/>
        <item x="9"/>
        <item x="42"/>
        <item x="10"/>
        <item x="25"/>
        <item x="11"/>
        <item x="20"/>
        <item x="43"/>
        <item x="12"/>
        <item x="13"/>
        <item x="14"/>
        <item x="15"/>
        <item x="37"/>
        <item x="44"/>
        <item x="40"/>
        <item x="21"/>
        <item x="22"/>
        <item x="38"/>
        <item t="default"/>
      </items>
    </pivotField>
    <pivotField subtotalTop="0" showAll="0"/>
    <pivotField dataField="1" subtotalTop="0" showAll="0"/>
    <pivotField dataField="1" subtotalTop="0" showAll="0"/>
    <pivotField dataField="1" subtotalTop="0" showAll="0"/>
    <pivotField dataField="1" subtotalTop="0" showAll="0"/>
  </pivotFields>
  <rowFields count="2">
    <field x="1"/>
    <field x="3"/>
  </rowFields>
  <rowItems count="58">
    <i>
      <x/>
    </i>
    <i r="1">
      <x/>
    </i>
    <i r="1">
      <x v="1"/>
    </i>
    <i r="1">
      <x v="3"/>
    </i>
    <i r="1">
      <x v="4"/>
    </i>
    <i r="1">
      <x v="6"/>
    </i>
    <i r="1">
      <x v="7"/>
    </i>
    <i r="1">
      <x v="8"/>
    </i>
    <i r="1">
      <x v="9"/>
    </i>
    <i r="1">
      <x v="12"/>
    </i>
    <i r="1">
      <x v="14"/>
    </i>
    <i r="1">
      <x v="15"/>
    </i>
    <i r="1">
      <x v="17"/>
    </i>
    <i r="1">
      <x v="20"/>
    </i>
    <i r="1">
      <x v="22"/>
    </i>
    <i r="1">
      <x v="23"/>
    </i>
    <i r="1">
      <x v="24"/>
    </i>
    <i r="1">
      <x v="26"/>
    </i>
    <i r="1">
      <x v="27"/>
    </i>
    <i r="1">
      <x v="28"/>
    </i>
    <i r="1">
      <x v="30"/>
    </i>
    <i r="1">
      <x v="31"/>
    </i>
    <i r="1">
      <x v="32"/>
    </i>
    <i r="1">
      <x v="33"/>
    </i>
    <i r="1">
      <x v="35"/>
    </i>
    <i r="1">
      <x v="36"/>
    </i>
    <i r="1">
      <x v="37"/>
    </i>
    <i r="1">
      <x v="38"/>
    </i>
    <i r="1">
      <x v="42"/>
    </i>
    <i r="1">
      <x v="43"/>
    </i>
    <i t="default">
      <x/>
    </i>
    <i>
      <x v="1"/>
    </i>
    <i r="1">
      <x/>
    </i>
    <i r="1">
      <x v="2"/>
    </i>
    <i r="1">
      <x v="5"/>
    </i>
    <i r="1">
      <x v="8"/>
    </i>
    <i r="1">
      <x v="10"/>
    </i>
    <i r="1">
      <x v="13"/>
    </i>
    <i r="1">
      <x v="16"/>
    </i>
    <i r="1">
      <x v="18"/>
    </i>
    <i r="1">
      <x v="19"/>
    </i>
    <i r="1">
      <x v="21"/>
    </i>
    <i r="1">
      <x v="23"/>
    </i>
    <i r="1">
      <x v="25"/>
    </i>
    <i r="1">
      <x v="31"/>
    </i>
    <i r="1">
      <x v="37"/>
    </i>
    <i r="1">
      <x v="40"/>
    </i>
    <i r="1">
      <x v="44"/>
    </i>
    <i t="default">
      <x v="1"/>
    </i>
    <i>
      <x v="2"/>
    </i>
    <i r="1">
      <x v="11"/>
    </i>
    <i r="1">
      <x v="29"/>
    </i>
    <i r="1">
      <x v="41"/>
    </i>
    <i t="default">
      <x v="2"/>
    </i>
    <i>
      <x v="3"/>
    </i>
    <i r="1">
      <x v="34"/>
    </i>
    <i t="default">
      <x v="3"/>
    </i>
    <i t="grand">
      <x/>
    </i>
  </rowItems>
  <colFields count="1">
    <field x="-2"/>
  </colFields>
  <colItems count="4">
    <i>
      <x/>
    </i>
    <i i="1">
      <x v="1"/>
    </i>
    <i i="2">
      <x v="2"/>
    </i>
    <i i="3">
      <x v="3"/>
    </i>
  </colItems>
  <pageFields count="1">
    <pageField fld="0" item="1" hier="-1"/>
  </pageFields>
  <dataFields count="4">
    <dataField name="Sum of RBC" fld="7" baseField="1" baseItem="0"/>
    <dataField name="Sum of FDS" fld="6" baseField="1" baseItem="0"/>
    <dataField name="Sum of DD" fld="5" baseField="1" baseItem="0"/>
    <dataField name="Sum of WT Trainee"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1" cacheId="38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H20" firstHeaderRow="1" firstDataRow="2" firstDataCol="1" rowPageCount="2" colPageCount="1"/>
  <pivotFields count="5">
    <pivotField axis="axisPage" subtotalTop="0" showAll="0">
      <items count="4">
        <item x="0"/>
        <item x="1"/>
        <item x="2"/>
        <item t="default"/>
      </items>
    </pivotField>
    <pivotField axis="axisPage" subtotalTop="0" showAll="0">
      <items count="4">
        <item x="1"/>
        <item x="0"/>
        <item x="2"/>
        <item t="default"/>
      </items>
    </pivotField>
    <pivotField axis="axisRow" subtotalTop="0" showAll="0">
      <items count="19">
        <item x="0"/>
        <item x="1"/>
        <item m="1" x="17"/>
        <item x="12"/>
        <item x="14"/>
        <item x="13"/>
        <item x="8"/>
        <item x="9"/>
        <item x="15"/>
        <item x="10"/>
        <item x="2"/>
        <item x="4"/>
        <item x="3"/>
        <item x="11"/>
        <item x="5"/>
        <item x="6"/>
        <item x="7"/>
        <item x="16"/>
        <item t="default"/>
      </items>
    </pivotField>
    <pivotField axis="axisCol" subtotalTop="0" showAll="0">
      <items count="8">
        <item x="1"/>
        <item x="5"/>
        <item x="2"/>
        <item x="3"/>
        <item x="4"/>
        <item x="0"/>
        <item x="6"/>
        <item t="default"/>
      </items>
    </pivotField>
    <pivotField dataField="1" subtotalTop="0" showAll="0"/>
  </pivotFields>
  <rowFields count="1">
    <field x="2"/>
  </rowFields>
  <rowItems count="15">
    <i>
      <x/>
    </i>
    <i>
      <x v="1"/>
    </i>
    <i>
      <x v="3"/>
    </i>
    <i>
      <x v="4"/>
    </i>
    <i>
      <x v="7"/>
    </i>
    <i>
      <x v="8"/>
    </i>
    <i>
      <x v="9"/>
    </i>
    <i>
      <x v="10"/>
    </i>
    <i>
      <x v="11"/>
    </i>
    <i>
      <x v="12"/>
    </i>
    <i>
      <x v="13"/>
    </i>
    <i>
      <x v="14"/>
    </i>
    <i>
      <x v="15"/>
    </i>
    <i>
      <x v="16"/>
    </i>
    <i t="grand">
      <x/>
    </i>
  </rowItems>
  <colFields count="1">
    <field x="3"/>
  </colFields>
  <colItems count="7">
    <i>
      <x/>
    </i>
    <i>
      <x v="1"/>
    </i>
    <i>
      <x v="2"/>
    </i>
    <i>
      <x v="3"/>
    </i>
    <i>
      <x v="4"/>
    </i>
    <i>
      <x v="5"/>
    </i>
    <i t="grand">
      <x/>
    </i>
  </colItems>
  <pageFields count="2">
    <pageField fld="0" item="1" hier="-1"/>
    <pageField fld="1" item="1"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inYear" sourceName="FinYear">
  <pivotTables>
    <pivotTable tabId="60" name="PivotTable1"/>
  </pivotTables>
  <data>
    <tabular pivotCacheId="75" sortOrder="descending">
      <items count="7">
        <i x="6" s="1"/>
        <i x="5"/>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FinYr6" sourceName="FinYr">
  <pivotTables>
    <pivotTable tabId="68" name="PivotTable13"/>
  </pivotTables>
  <data>
    <tabular pivotCacheId="86" sortOrder="descending">
      <items count="7">
        <i x="6" s="1"/>
        <i x="5"/>
        <i x="4"/>
        <i x="3"/>
        <i x="2"/>
        <i x="1"/>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FinYr7" sourceName="FinYr">
  <pivotTables>
    <pivotTable tabId="69" name="PivotTable15"/>
  </pivotTables>
  <data>
    <tabular pivotCacheId="87" sortOrder="descending">
      <items count="7">
        <i x="6" s="1"/>
        <i x="5"/>
        <i x="4"/>
        <i x="3"/>
        <i x="2"/>
        <i x="1"/>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FinYr8" sourceName="FinYr">
  <pivotTables>
    <pivotTable tabId="70" name="PivotTable16"/>
  </pivotTables>
  <data>
    <tabular pivotCacheId="88" sortOrder="descending">
      <items count="7">
        <i x="6" s="1"/>
        <i x="5"/>
        <i x="4"/>
        <i x="3"/>
        <i x="2"/>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FinYr9" sourceName="FinYr">
  <pivotTables>
    <pivotTable tabId="71" name="PivotTable17"/>
  </pivotTables>
  <data>
    <tabular pivotCacheId="89" sortOrder="descending">
      <items count="6">
        <i x="5" s="1"/>
        <i x="4"/>
        <i x="3"/>
        <i x="2"/>
        <i x="1"/>
        <i x="0"/>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FinYr10" sourceName="FinYr">
  <pivotTables>
    <pivotTable tabId="72" name="PivotTable18"/>
  </pivotTables>
  <data>
    <tabular pivotCacheId="97" sortOrder="descending">
      <items count="7">
        <i x="6" s="1"/>
        <i x="5"/>
        <i x="4"/>
        <i x="3"/>
        <i x="2"/>
        <i x="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FinYr11" sourceName="FinYr">
  <pivotTables>
    <pivotTable tabId="73" name="PivotTable19"/>
  </pivotTables>
  <data>
    <tabular pivotCacheId="98" sortOrder="descending">
      <items count="3">
        <i x="2" s="1"/>
        <i x="1"/>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FisYr" sourceName="FisYr">
  <pivotTables>
    <pivotTable tabId="83" name="PivotTable2"/>
  </pivotTables>
  <data>
    <tabular pivotCacheId="93" sortOrder="descending">
      <items count="6">
        <i x="5" s="1"/>
        <i x="4"/>
        <i x="3"/>
        <i x="2"/>
        <i x="1"/>
        <i x="0"/>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FisYr4" sourceName="FisYr">
  <pivotTables>
    <pivotTable tabId="86" name="PivotTable3"/>
  </pivotTables>
  <data>
    <tabular pivotCacheId="72" sortOrder="descending">
      <items count="5">
        <i x="3" s="1"/>
        <i x="2"/>
        <i x="1"/>
        <i x="0"/>
        <i x="4"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FisYr5" sourceName="FisYr">
  <pivotTables>
    <pivotTable tabId="86" name="PivotTable4"/>
  </pivotTables>
  <data>
    <tabular pivotCacheId="112" sortOrder="descending">
      <items count="4">
        <i x="3" s="1"/>
        <i x="2"/>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FisYr3" sourceName="FisYr">
  <pivotTables>
    <pivotTable tabId="77" name="PivotTable21"/>
  </pivotTables>
  <data>
    <tabular pivotCacheId="71" sortOrder="descending">
      <items count="6">
        <i x="5" s="1"/>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inYear1" sourceName="FinYear">
  <pivotTables>
    <pivotTable tabId="60" name="PivotTable2"/>
  </pivotTables>
  <data>
    <tabular pivotCacheId="76" sortOrder="descending">
      <items count="7">
        <i x="6" s="1"/>
        <i x="5"/>
        <i x="4"/>
        <i x="3"/>
        <i x="2"/>
        <i x="1"/>
        <i x="0"/>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FisYr6" sourceName="FisYr">
  <pivotTables>
    <pivotTable tabId="88" name="PivotTable6"/>
  </pivotTables>
  <data>
    <tabular pivotCacheId="92" sortOrder="descending">
      <items count="7">
        <i x="6" s="1"/>
        <i x="5"/>
        <i x="4"/>
        <i x="3"/>
        <i x="2"/>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FisYr7" sourceName="FisYr">
  <pivotTables>
    <pivotTable tabId="90" name="PivotTable7"/>
  </pivotTables>
  <data>
    <tabular pivotCacheId="96" sortOrder="descending">
      <items count="6">
        <i x="5" s="1"/>
        <i x="4"/>
        <i x="3"/>
        <i x="2"/>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FinYear3" sourceName="FinYear">
  <pivotTables>
    <pivotTable tabId="60" name="PivotTable3"/>
  </pivotTables>
  <data>
    <tabular pivotCacheId="77" sortOrder="descending">
      <items count="7">
        <i x="6" s="1"/>
        <i x="5"/>
        <i x="4"/>
        <i x="3"/>
        <i x="2"/>
        <i x="1"/>
        <i x="0"/>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FinYr14" sourceName="FinYr">
  <pivotTables>
    <pivotTable tabId="63" name="PivotTable4"/>
  </pivotTables>
  <data>
    <tabular pivotCacheId="74" sortOrder="descending">
      <items count="7">
        <i x="6" s="1"/>
        <i x="5"/>
        <i x="4"/>
        <i x="3"/>
        <i x="2"/>
        <i x="1"/>
        <i x="0"/>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FinYr12" sourceName="FinYr">
  <pivotTables>
    <pivotTable tabId="67" name="PivotTable11"/>
  </pivotTables>
  <data>
    <tabular pivotCacheId="84" sortOrder="descending">
      <items count="7">
        <i x="6" s="1"/>
        <i x="5"/>
        <i x="4"/>
        <i x="3"/>
        <i x="2"/>
        <i x="1"/>
        <i x="0"/>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FisYr9" sourceName="FisYr">
  <pivotTables>
    <pivotTable tabId="84" name="PivotTable6"/>
  </pivotTables>
  <data>
    <tabular pivotCacheId="94" sortOrder="descending">
      <items count="6">
        <i x="5" s="1"/>
        <i x="4"/>
        <i x="3"/>
        <i x="2"/>
        <i x="1"/>
        <i x="0"/>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FisYr10" sourceName="FisYr">
  <pivotTables>
    <pivotTable tabId="85" name="PivotTable9"/>
  </pivotTables>
  <data>
    <tabular pivotCacheId="116" sortOrder="descending">
      <items count="6">
        <i x="5" s="1"/>
        <i x="4"/>
        <i x="3"/>
        <i x="2"/>
        <i x="1"/>
        <i x="0"/>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FinYr13" sourceName="FinYr">
  <pivotTables>
    <pivotTable tabId="62" name="PivotTable3"/>
  </pivotTables>
  <data>
    <tabular pivotCacheId="78" sortOrder="descending">
      <items count="7">
        <i x="6" s="1"/>
        <i x="5"/>
        <i x="4"/>
        <i x="3"/>
        <i x="2"/>
        <i x="1"/>
        <i x="0"/>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FinYr15" sourceName="FinYr">
  <pivotTables>
    <pivotTable tabId="130" name="PivotTable2"/>
  </pivotTables>
  <data>
    <tabular pivotCacheId="99" sortOrder="descending">
      <items count="2">
        <i x="1" s="1"/>
        <i x="0"/>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FinYear2" sourceName="FinYear">
  <pivotTables>
    <pivotTable tabId="131" name="PivotTable3"/>
  </pivotTables>
  <data>
    <tabular pivotCacheId="100" sortOrder="descending">
      <items count="2">
        <i x="1" s="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FinYr" sourceName="FinYr">
  <pivotTables>
    <pivotTable tabId="64" name="PivotTable6"/>
  </pivotTables>
  <data>
    <tabular pivotCacheId="79" sortOrder="descending">
      <items count="7">
        <i x="6" s="1"/>
        <i x="5"/>
        <i x="4"/>
        <i x="3"/>
        <i x="2"/>
        <i x="1"/>
        <i x="0"/>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FinYear5" sourceName="FinYear">
  <pivotTables>
    <pivotTable tabId="132" name="PivotTable4"/>
  </pivotTables>
  <data>
    <tabular pivotCacheId="114" sortOrder="descending">
      <items count="2">
        <i x="1" s="1"/>
        <i x="0"/>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FinYear6" sourceName="FinYear">
  <pivotTables>
    <pivotTable tabId="132" name="PivotTable5"/>
  </pivotTables>
  <data>
    <tabular pivotCacheId="107" sortOrder="descending">
      <items count="2">
        <i x="1" s="1"/>
        <i x="0"/>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FisYr15" sourceName="FisYr">
  <pivotTables>
    <pivotTable tabId="135" name="PivotTable1"/>
  </pivotTables>
  <data>
    <tabular pivotCacheId="105" sortOrder="descending">
      <items count="3">
        <i x="1" s="1"/>
        <i x="0"/>
        <i x="2"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FisYr16" sourceName="FisYr">
  <pivotTables>
    <pivotTable tabId="135" name="PivotTable2"/>
  </pivotTables>
  <data>
    <tabular pivotCacheId="105" sortOrder="descending">
      <items count="3">
        <i x="1" s="1"/>
        <i x="0"/>
        <i x="2"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FisYr8" sourceName="FisYr">
  <pivotTables>
    <pivotTable tabId="132" name="PivotTable3"/>
  </pivotTables>
  <data>
    <tabular pivotCacheId="108" sortOrder="descending">
      <items count="2">
        <i x="1" s="1"/>
        <i x="0"/>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FisYr13" sourceName="FisYr">
  <pivotTables>
    <pivotTable tabId="132" name="PivotTable6"/>
  </pivotTables>
  <data>
    <tabular pivotCacheId="109" sortOrder="descending">
      <items count="2">
        <i x="1" s="1"/>
        <i x="0"/>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FisYr14" sourceName="FisYr">
  <pivotTables>
    <pivotTable tabId="133" name="PivotTable7"/>
  </pivotTables>
  <data>
    <tabular pivotCacheId="117" sortOrder="descending">
      <items count="2">
        <i x="1" s="1"/>
        <i x="0"/>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FisYr17" sourceName="FisYr">
  <pivotTables>
    <pivotTable tabId="147" name="PivotTable2"/>
  </pivotTables>
  <data>
    <tabular pivotCacheId="119" sortOrder="descending">
      <items count="2">
        <i x="1" s="1"/>
        <i x="0"/>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FisYr18" sourceName="FisYr">
  <pivotTables>
    <pivotTable tabId="77" name="PivotTable22"/>
  </pivotTables>
  <data>
    <tabular pivotCacheId="120" sortOrder="descending">
      <items count="2">
        <i x="1" s="1"/>
        <i x="0"/>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FisYr1" sourceName="FisYr">
  <extLst>
    <x:ext xmlns:x15="http://schemas.microsoft.com/office/spreadsheetml/2010/11/main" uri="{2F2917AC-EB37-4324-AD4E-5DD8C200BD13}">
      <x15:tableSlicerCache tableId="8" column="1" sortOrder="descending"/>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FinYr1" sourceName="FinYr">
  <pivotTables>
    <pivotTable tabId="65" name="PivotTable7"/>
  </pivotTables>
  <data>
    <tabular pivotCacheId="80" sortOrder="descending">
      <items count="7">
        <i x="6" s="1"/>
        <i x="5"/>
        <i x="4"/>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inYr2" sourceName="FinYr">
  <pivotTables>
    <pivotTable tabId="65" name="PivotTable8"/>
  </pivotTables>
  <data>
    <tabular pivotCacheId="81" sortOrder="descending">
      <items count="7">
        <i x="6" s="1"/>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inYr3" sourceName="FinYr">
  <pivotTables>
    <pivotTable tabId="65" name="PivotTable9"/>
  </pivotTables>
  <data>
    <tabular pivotCacheId="115" sortOrder="descending">
      <items count="7">
        <i x="6" s="1"/>
        <i x="5"/>
        <i x="4"/>
        <i x="3"/>
        <i x="2"/>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lvl" sourceName="lvl">
  <pivotTables>
    <pivotTable tabId="66" name="PivotTable10"/>
  </pivotTables>
  <data>
    <tabular pivotCacheId="83">
      <items count="49">
        <i x="20" s="1"/>
        <i x="21" s="1"/>
        <i x="33" s="1"/>
        <i x="0" s="1"/>
        <i x="27" s="1"/>
        <i x="22" s="1"/>
        <i x="34" s="1"/>
        <i x="23" s="1"/>
        <i x="1" s="1"/>
        <i x="2" s="1"/>
        <i x="28" s="1"/>
        <i x="43" s="1"/>
        <i x="45" s="1"/>
        <i x="3" s="1"/>
        <i x="35" s="1"/>
        <i x="30" s="1"/>
        <i x="4" s="1"/>
        <i x="36" s="1"/>
        <i x="5" s="1"/>
        <i x="37" s="1"/>
        <i x="38" s="1"/>
        <i x="7" s="1"/>
        <i x="39" s="1"/>
        <i x="32" s="1"/>
        <i x="31" s="1"/>
        <i x="8" s="1"/>
        <i x="40" s="1"/>
        <i x="9" s="1"/>
        <i x="10" s="1"/>
        <i x="11" s="1"/>
        <i x="46" s="1"/>
        <i x="12" s="1"/>
        <i x="29" s="1"/>
        <i x="14" s="1"/>
        <i x="24" s="1"/>
        <i x="47" s="1"/>
        <i x="15" s="1"/>
        <i x="17" s="1"/>
        <i x="18" s="1"/>
        <i x="19" s="1"/>
        <i x="48" s="1"/>
        <i x="44" s="1"/>
        <i x="25" s="1"/>
        <i x="26" s="1"/>
        <i x="42" s="1"/>
        <i x="6" s="1" nd="1"/>
        <i x="13" s="1" nd="1"/>
        <i x="16" s="1" nd="1"/>
        <i x="4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FinYr4" sourceName="FinYr">
  <pivotTables>
    <pivotTable tabId="66" name="PivotTable10"/>
  </pivotTables>
  <data>
    <tabular pivotCacheId="83" sortOrder="descending">
      <items count="7">
        <i x="6" s="1"/>
        <i x="5"/>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FinYr5" sourceName="FinYr">
  <pivotTables>
    <pivotTable tabId="68" name="PivotTable14"/>
  </pivotTables>
  <data>
    <tabular pivotCacheId="85" sortOrder="descending">
      <items count="7">
        <i x="6" s="1"/>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isYr 30" cache="Slicer_FisYr17" caption="FisYr" columnCount="2" showCaption="0"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FinYr 27" cache="Slicer_FinYr15" caption="FinYr" columnCount="2" showCaption="0"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FisYr 23" cache="Slicer_FisYr15" caption="FisYr" columnCount="2" showCaption="0" rowHeight="241300"/>
  <slicer name="FisYr 25" cache="Slicer_FisYr16" caption="FisYr" columnCount="2" showCaption="0" rowHeight="241300"/>
</slicers>
</file>

<file path=xl/slicers/slicer12.xml><?xml version="1.0" encoding="utf-8"?>
<slicers xmlns="http://schemas.microsoft.com/office/spreadsheetml/2009/9/main" xmlns:mc="http://schemas.openxmlformats.org/markup-compatibility/2006" xmlns:x="http://schemas.openxmlformats.org/spreadsheetml/2006/main" mc:Ignorable="x">
  <slicer name="FisYr 22" cache="Slicer_FisYr15" caption="FisYr" columnCount="2" showCaption="0" rowHeight="241300"/>
  <slicer name="FisYr 24" cache="Slicer_FisYr16" caption="FisYr" columnCount="2" showCaption="0" rowHeight="241300"/>
</slicers>
</file>

<file path=xl/slicers/slicer13.xml><?xml version="1.0" encoding="utf-8"?>
<slicers xmlns="http://schemas.microsoft.com/office/spreadsheetml/2009/9/main" xmlns:mc="http://schemas.openxmlformats.org/markup-compatibility/2006" xmlns:x="http://schemas.openxmlformats.org/spreadsheetml/2006/main" mc:Ignorable="x">
  <slicer name="Year 1" cache="Slicer_FinYear" caption="Year" columnCount="7" showCaption="0" rowHeight="241300"/>
</slicers>
</file>

<file path=xl/slicers/slicer14.xml><?xml version="1.0" encoding="utf-8"?>
<slicers xmlns="http://schemas.microsoft.com/office/spreadsheetml/2009/9/main" xmlns:mc="http://schemas.openxmlformats.org/markup-compatibility/2006" xmlns:x="http://schemas.openxmlformats.org/spreadsheetml/2006/main" mc:Ignorable="x">
  <slicer name="FinYr 26" cache="Slicer_FinYr13" caption="FinYr" columnCount="7" showCaption="0" rowHeight="241300"/>
</slicers>
</file>

<file path=xl/slicers/slicer15.xml><?xml version="1.0" encoding="utf-8"?>
<slicers xmlns="http://schemas.microsoft.com/office/spreadsheetml/2009/9/main" xmlns:mc="http://schemas.openxmlformats.org/markup-compatibility/2006" xmlns:x="http://schemas.openxmlformats.org/spreadsheetml/2006/main" mc:Ignorable="x">
  <slicer name="FinYr 34" cache="Slicer_FinYr13" caption="FinYr" columnCount="7" showCaption="0" rowHeight="241300"/>
</slicers>
</file>

<file path=xl/slicers/slicer16.xml><?xml version="1.0" encoding="utf-8"?>
<slicers xmlns="http://schemas.microsoft.com/office/spreadsheetml/2009/9/main" xmlns:mc="http://schemas.openxmlformats.org/markup-compatibility/2006" xmlns:x="http://schemas.openxmlformats.org/spreadsheetml/2006/main" mc:Ignorable="x">
  <slicer name="FinYear 1" cache="Slicer_FinYear3" caption="FinYear" columnCount="6" showCaption="0" rowHeight="241300"/>
</slicers>
</file>

<file path=xl/slicers/slicer17.xml><?xml version="1.0" encoding="utf-8"?>
<slicers xmlns="http://schemas.microsoft.com/office/spreadsheetml/2009/9/main" xmlns:mc="http://schemas.openxmlformats.org/markup-compatibility/2006" xmlns:x="http://schemas.openxmlformats.org/spreadsheetml/2006/main" mc:Ignorable="x">
  <slicer name="FinYear 3" cache="Slicer_FinYear2" caption="FinYear" columnCount="2" showCaption="0" rowHeight="241300"/>
</slicers>
</file>

<file path=xl/slicers/slicer18.xml><?xml version="1.0" encoding="utf-8"?>
<slicers xmlns="http://schemas.microsoft.com/office/spreadsheetml/2009/9/main" xmlns:mc="http://schemas.openxmlformats.org/markup-compatibility/2006" xmlns:x="http://schemas.openxmlformats.org/spreadsheetml/2006/main" mc:Ignorable="x">
  <slicer name="FinYear 2" cache="Slicer_FinYear2" caption="FinYear" columnCount="2" showCaption="0" rowHeight="241300"/>
</slicers>
</file>

<file path=xl/slicers/slicer19.xml><?xml version="1.0" encoding="utf-8"?>
<slicers xmlns="http://schemas.microsoft.com/office/spreadsheetml/2009/9/main" xmlns:mc="http://schemas.openxmlformats.org/markup-compatibility/2006" xmlns:x="http://schemas.openxmlformats.org/spreadsheetml/2006/main" mc:Ignorable="x">
  <slicer name="Year2 1" cache="Slicer_FinYear1" caption="Year" columnCount="7" showCaption="0"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FisYr 1" cache="Slicer_FisYr1" caption="FisYr" columnCount="2" showCaption="0" rowHeight="241300"/>
</slicers>
</file>

<file path=xl/slicers/slicer20.xml><?xml version="1.0" encoding="utf-8"?>
<slicers xmlns="http://schemas.microsoft.com/office/spreadsheetml/2009/9/main" xmlns:mc="http://schemas.openxmlformats.org/markup-compatibility/2006" xmlns:x="http://schemas.openxmlformats.org/spreadsheetml/2006/main" mc:Ignorable="x">
  <slicer name="FinYr 7" cache="Slicer_FinYr14" caption="FinYr" columnCount="6" showCaption="0" rowHeight="241300"/>
</slicers>
</file>

<file path=xl/slicers/slicer21.xml><?xml version="1.0" encoding="utf-8"?>
<slicers xmlns="http://schemas.microsoft.com/office/spreadsheetml/2009/9/main" xmlns:mc="http://schemas.openxmlformats.org/markup-compatibility/2006" xmlns:x="http://schemas.openxmlformats.org/spreadsheetml/2006/main" mc:Ignorable="x">
  <slicer name="FinYr" cache="Slicer_FinYr" caption="FinYr" columnCount="6" showCaption="0" rowHeight="241300"/>
</slicers>
</file>

<file path=xl/slicers/slicer22.xml><?xml version="1.0" encoding="utf-8"?>
<slicers xmlns="http://schemas.microsoft.com/office/spreadsheetml/2009/9/main" xmlns:mc="http://schemas.openxmlformats.org/markup-compatibility/2006" xmlns:x="http://schemas.openxmlformats.org/spreadsheetml/2006/main" mc:Ignorable="x">
  <slicer name="FinYr 31" cache="Slicer_FinYr14" caption="FinYr" columnCount="7" showCaption="0" rowHeight="241300"/>
</slicers>
</file>

<file path=xl/slicers/slicer23.xml><?xml version="1.0" encoding="utf-8"?>
<slicers xmlns="http://schemas.microsoft.com/office/spreadsheetml/2009/9/main" xmlns:mc="http://schemas.openxmlformats.org/markup-compatibility/2006" xmlns:x="http://schemas.openxmlformats.org/spreadsheetml/2006/main" mc:Ignorable="x">
  <slicer name="FinYr 1" cache="Slicer_FinYr" caption="FinYr" columnCount="7" showCaption="0" rowHeight="241300"/>
</slicers>
</file>

<file path=xl/slicers/slicer24.xml><?xml version="1.0" encoding="utf-8"?>
<slicers xmlns="http://schemas.microsoft.com/office/spreadsheetml/2009/9/main" xmlns:mc="http://schemas.openxmlformats.org/markup-compatibility/2006" xmlns:x="http://schemas.openxmlformats.org/spreadsheetml/2006/main" mc:Ignorable="x">
  <slicer name="FinYr 3" cache="Slicer_FinYr1" caption="FinYr" columnCount="7" showCaption="0" rowHeight="241300"/>
  <slicer name="FinYr 5" cache="Slicer_FinYr2" caption="FinYr" columnCount="7" showCaption="0" rowHeight="241300"/>
</slicers>
</file>

<file path=xl/slicers/slicer25.xml><?xml version="1.0" encoding="utf-8"?>
<slicers xmlns="http://schemas.microsoft.com/office/spreadsheetml/2009/9/main" xmlns:mc="http://schemas.openxmlformats.org/markup-compatibility/2006" xmlns:x="http://schemas.openxmlformats.org/spreadsheetml/2006/main" mc:Ignorable="x">
  <slicer name="FinYr 29" cache="Slicer_FinYr3" caption="FinYr" columnCount="7" showCaption="0" rowHeight="241300"/>
</slicers>
</file>

<file path=xl/slicers/slicer26.xml><?xml version="1.0" encoding="utf-8"?>
<slicers xmlns="http://schemas.microsoft.com/office/spreadsheetml/2009/9/main" xmlns:mc="http://schemas.openxmlformats.org/markup-compatibility/2006" xmlns:x="http://schemas.openxmlformats.org/spreadsheetml/2006/main" mc:Ignorable="x">
  <slicer name="Year" cache="Slicer_FinYear" caption="Year" columnCount="6" showCaption="0" rowHeight="241300"/>
  <slicer name="Year2" cache="Slicer_FinYear1" caption="Year" columnCount="6" showCaption="0" rowHeight="241300"/>
  <slicer name="FinYear" cache="Slicer_FinYear3" caption="FinYear" columnCount="6" showCaption="0" rowHeight="241300"/>
</slicers>
</file>

<file path=xl/slicers/slicer27.xml><?xml version="1.0" encoding="utf-8"?>
<slicers xmlns="http://schemas.microsoft.com/office/spreadsheetml/2009/9/main" xmlns:mc="http://schemas.openxmlformats.org/markup-compatibility/2006" xmlns:x="http://schemas.openxmlformats.org/spreadsheetml/2006/main" mc:Ignorable="x">
  <slicer name="FinYr 2" cache="Slicer_FinYr1" caption="FinYr" columnCount="6" showCaption="0" rowHeight="241300"/>
  <slicer name="FinYr 4" cache="Slicer_FinYr2" caption="FinYr" columnCount="6" showCaption="0" rowHeight="241300"/>
  <slicer name="FinYr 6" cache="Slicer_FinYr3" caption="FinYr" columnCount="6" showCaption="0" rowHeight="241300"/>
  <slicer name="FinYr 28" cache="Slicer_FinYr3" caption="FinYr" columnCount="6" showCaption="0" rowHeight="241300"/>
</slicers>
</file>

<file path=xl/slicers/slicer28.xml><?xml version="1.0" encoding="utf-8"?>
<slicers xmlns="http://schemas.microsoft.com/office/spreadsheetml/2009/9/main" xmlns:mc="http://schemas.openxmlformats.org/markup-compatibility/2006" xmlns:x="http://schemas.openxmlformats.org/spreadsheetml/2006/main" mc:Ignorable="x">
  <slicer name="FinYr 9" cache="Slicer_FinYr4" caption="FinYr" columnCount="7" showCaption="0" rowHeight="241300"/>
</slicers>
</file>

<file path=xl/slicers/slicer29.xml><?xml version="1.0" encoding="utf-8"?>
<slicers xmlns="http://schemas.microsoft.com/office/spreadsheetml/2009/9/main" xmlns:mc="http://schemas.openxmlformats.org/markup-compatibility/2006" xmlns:x="http://schemas.openxmlformats.org/spreadsheetml/2006/main" mc:Ignorable="x">
  <slicer name="lvl" cache="Slicer_lvl" caption="lvl" startItem="41" rowHeight="241300"/>
  <slicer name="FinYr 8" cache="Slicer_FinYr4" caption="FinYr" columnCount="6" showCaption="0"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FisYr 3" cache="Slicer_FisYr17" caption="FisYr" columnCount="2" showCaption="0" rowHeight="241300"/>
</slicers>
</file>

<file path=xl/slicers/slicer30.xml><?xml version="1.0" encoding="utf-8"?>
<slicers xmlns="http://schemas.microsoft.com/office/spreadsheetml/2009/9/main" xmlns:mc="http://schemas.openxmlformats.org/markup-compatibility/2006" xmlns:x="http://schemas.openxmlformats.org/spreadsheetml/2006/main" mc:Ignorable="x">
  <slicer name="FinYr 32" cache="Slicer_FinYr12" caption="FinYr" columnCount="7" showCaption="0" rowHeight="241300"/>
</slicers>
</file>

<file path=xl/slicers/slicer31.xml><?xml version="1.0" encoding="utf-8"?>
<slicers xmlns="http://schemas.microsoft.com/office/spreadsheetml/2009/9/main" xmlns:mc="http://schemas.openxmlformats.org/markup-compatibility/2006" xmlns:x="http://schemas.openxmlformats.org/spreadsheetml/2006/main" mc:Ignorable="x">
  <slicer name="FinYr 11" cache="Slicer_FinYr5" caption="FinYr" columnCount="7" showCaption="0" rowHeight="241300"/>
  <slicer name="FinYr 13" cache="Slicer_FinYr6" caption="FinYr" columnCount="7" showCaption="0" rowHeight="241300"/>
</slicers>
</file>

<file path=xl/slicers/slicer32.xml><?xml version="1.0" encoding="utf-8"?>
<slicers xmlns="http://schemas.microsoft.com/office/spreadsheetml/2009/9/main" xmlns:mc="http://schemas.openxmlformats.org/markup-compatibility/2006" xmlns:x="http://schemas.openxmlformats.org/spreadsheetml/2006/main" mc:Ignorable="x">
  <slicer name="FinYr 17" cache="Slicer_FinYr8" caption="FinYr" columnCount="7" showCaption="0" rowHeight="241300"/>
</slicers>
</file>

<file path=xl/slicers/slicer33.xml><?xml version="1.0" encoding="utf-8"?>
<slicers xmlns="http://schemas.microsoft.com/office/spreadsheetml/2009/9/main" xmlns:mc="http://schemas.openxmlformats.org/markup-compatibility/2006" xmlns:x="http://schemas.openxmlformats.org/spreadsheetml/2006/main" mc:Ignorable="x">
  <slicer name="FinYr 25" cache="Slicer_FinYr12" caption="FinYr" columnCount="7" showCaption="0" rowHeight="241300"/>
</slicers>
</file>

<file path=xl/slicers/slicer34.xml><?xml version="1.0" encoding="utf-8"?>
<slicers xmlns="http://schemas.microsoft.com/office/spreadsheetml/2009/9/main" xmlns:mc="http://schemas.openxmlformats.org/markup-compatibility/2006" xmlns:x="http://schemas.openxmlformats.org/spreadsheetml/2006/main" mc:Ignorable="x">
  <slicer name="FinYr 10" cache="Slicer_FinYr5" caption="FinYr" columnCount="6" showCaption="0" rowHeight="241300"/>
  <slicer name="FinYr 12" cache="Slicer_FinYr6" caption="FinYr" columnCount="6" showCaption="0" rowHeight="241300"/>
</slicers>
</file>

<file path=xl/slicers/slicer35.xml><?xml version="1.0" encoding="utf-8"?>
<slicers xmlns="http://schemas.microsoft.com/office/spreadsheetml/2009/9/main" xmlns:mc="http://schemas.openxmlformats.org/markup-compatibility/2006" xmlns:x="http://schemas.openxmlformats.org/spreadsheetml/2006/main" mc:Ignorable="x">
  <slicer name="FinYr 14" cache="Slicer_FinYr7" caption="FinYr" columnCount="6" showCaption="0" rowHeight="241300"/>
</slicers>
</file>

<file path=xl/slicers/slicer36.xml><?xml version="1.0" encoding="utf-8"?>
<slicers xmlns="http://schemas.microsoft.com/office/spreadsheetml/2009/9/main" xmlns:mc="http://schemas.openxmlformats.org/markup-compatibility/2006" xmlns:x="http://schemas.openxmlformats.org/spreadsheetml/2006/main" mc:Ignorable="x">
  <slicer name="FinYr 16" cache="Slicer_FinYr8" caption="FinYr" columnCount="6" showCaption="0" rowHeight="241300"/>
</slicers>
</file>

<file path=xl/slicers/slicer37.xml><?xml version="1.0" encoding="utf-8"?>
<slicers xmlns="http://schemas.microsoft.com/office/spreadsheetml/2009/9/main" xmlns:mc="http://schemas.openxmlformats.org/markup-compatibility/2006" xmlns:x="http://schemas.openxmlformats.org/spreadsheetml/2006/main" mc:Ignorable="x">
  <slicer name="FinYr 15" cache="Slicer_FinYr7" caption="FinYr" columnCount="6" showCaption="0" rowHeight="241300"/>
</slicers>
</file>

<file path=xl/slicers/slicer38.xml><?xml version="1.0" encoding="utf-8"?>
<slicers xmlns="http://schemas.microsoft.com/office/spreadsheetml/2009/9/main" xmlns:mc="http://schemas.openxmlformats.org/markup-compatibility/2006" xmlns:x="http://schemas.openxmlformats.org/spreadsheetml/2006/main" mc:Ignorable="x">
  <slicer name="FinYr 19" cache="Slicer_FinYr9" caption="FinYr" columnCount="6" showCaption="0" rowHeight="241300"/>
</slicers>
</file>

<file path=xl/slicers/slicer39.xml><?xml version="1.0" encoding="utf-8"?>
<slicers xmlns="http://schemas.microsoft.com/office/spreadsheetml/2009/9/main" xmlns:mc="http://schemas.openxmlformats.org/markup-compatibility/2006" xmlns:x="http://schemas.openxmlformats.org/spreadsheetml/2006/main" mc:Ignorable="x">
  <slicer name="FinYr 18" cache="Slicer_FinYr9" caption="FinYr" columnCount="5" showCaption="0"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FisYr 32" cache="Slicer_FisYr18" caption="FisYr" columnCount="2" showCaption="0" rowHeight="241300"/>
</slicers>
</file>

<file path=xl/slicers/slicer40.xml><?xml version="1.0" encoding="utf-8"?>
<slicers xmlns="http://schemas.microsoft.com/office/spreadsheetml/2009/9/main" xmlns:mc="http://schemas.openxmlformats.org/markup-compatibility/2006" xmlns:x="http://schemas.openxmlformats.org/spreadsheetml/2006/main" mc:Ignorable="x">
  <slicer name="FinYr 21" cache="Slicer_FinYr10" caption="FinYr" columnCount="7" showCaption="0" rowHeight="241300"/>
  <slicer name="FinYr 24" cache="Slicer_FinYr10" caption="FinYr" columnCount="7" showCaption="0" rowHeight="241300"/>
</slicers>
</file>

<file path=xl/slicers/slicer41.xml><?xml version="1.0" encoding="utf-8"?>
<slicers xmlns="http://schemas.microsoft.com/office/spreadsheetml/2009/9/main" xmlns:mc="http://schemas.openxmlformats.org/markup-compatibility/2006" xmlns:x="http://schemas.openxmlformats.org/spreadsheetml/2006/main" mc:Ignorable="x">
  <slicer name="FinYr 20" cache="Slicer_FinYr10" caption="FinYr" columnCount="6" showCaption="0" rowHeight="241300"/>
</slicers>
</file>

<file path=xl/slicers/slicer42.xml><?xml version="1.0" encoding="utf-8"?>
<slicers xmlns="http://schemas.microsoft.com/office/spreadsheetml/2009/9/main" xmlns:mc="http://schemas.openxmlformats.org/markup-compatibility/2006" xmlns:x="http://schemas.openxmlformats.org/spreadsheetml/2006/main" mc:Ignorable="x">
  <slicer name="FinYr 23" cache="Slicer_FinYr11" caption="FinYr" columnCount="3" showCaption="0" rowHeight="241300"/>
  <slicer name="FinYr 30" cache="Slicer_FinYr11" caption="FinYr" columnCount="3" showCaption="0" rowHeight="241300"/>
</slicers>
</file>

<file path=xl/slicers/slicer43.xml><?xml version="1.0" encoding="utf-8"?>
<slicers xmlns="http://schemas.microsoft.com/office/spreadsheetml/2009/9/main" xmlns:mc="http://schemas.openxmlformats.org/markup-compatibility/2006" xmlns:x="http://schemas.openxmlformats.org/spreadsheetml/2006/main" mc:Ignorable="x">
  <slicer name="FinYr 22" cache="Slicer_FinYr11" caption="FinYr" columnCount="2" showCaption="0" rowHeight="241300"/>
</slicers>
</file>

<file path=xl/slicers/slicer44.xml><?xml version="1.0" encoding="utf-8"?>
<slicers xmlns="http://schemas.microsoft.com/office/spreadsheetml/2009/9/main" xmlns:mc="http://schemas.openxmlformats.org/markup-compatibility/2006" xmlns:x="http://schemas.openxmlformats.org/spreadsheetml/2006/main" mc:Ignorable="x">
  <slicer name="FinYear 7" cache="Slicer_FinYear5" caption="FinYear" columnCount="2" showCaption="0" rowHeight="241300"/>
  <slicer name="FinYear 6" cache="Slicer_FinYear6" caption="FinYear" columnCount="2" showCaption="0" rowHeight="241300"/>
  <slicer name="FisYr 27" cache="Slicer_FisYr8" caption="FisYr" columnCount="2" showCaption="0" rowHeight="241300"/>
  <slicer name="FisYr 26" cache="Slicer_FisYr13" caption="FisYr" columnCount="2" showCaption="0" rowHeight="241300"/>
</slicers>
</file>

<file path=xl/slicers/slicer45.xml><?xml version="1.0" encoding="utf-8"?>
<slicers xmlns="http://schemas.microsoft.com/office/spreadsheetml/2009/9/main" xmlns:mc="http://schemas.openxmlformats.org/markup-compatibility/2006" xmlns:x="http://schemas.openxmlformats.org/spreadsheetml/2006/main" mc:Ignorable="x">
  <slicer name="FinYear 4" cache="Slicer_FinYear5" caption="FinYear" columnCount="2" showCaption="0" rowHeight="241300"/>
  <slicer name="FinYear 5" cache="Slicer_FinYear6" caption="FinYear" columnCount="2" showCaption="0" rowHeight="241300"/>
  <slicer name="FisYr 17" cache="Slicer_FisYr8" caption="FisYr" columnCount="2" showCaption="0" rowHeight="241300"/>
  <slicer name="FisYr 20" cache="Slicer_FisYr13" caption="FisYr" columnCount="2" showCaption="0" rowHeight="241300"/>
</slicers>
</file>

<file path=xl/slicers/slicer46.xml><?xml version="1.0" encoding="utf-8"?>
<slicers xmlns="http://schemas.microsoft.com/office/spreadsheetml/2009/9/main" xmlns:mc="http://schemas.openxmlformats.org/markup-compatibility/2006" xmlns:x="http://schemas.openxmlformats.org/spreadsheetml/2006/main" mc:Ignorable="x">
  <slicer name="FisYr 28" cache="Slicer_FisYr14" caption="FisYr" columnCount="2" showCaption="0" rowHeight="241300"/>
</slicers>
</file>

<file path=xl/slicers/slicer47.xml><?xml version="1.0" encoding="utf-8"?>
<slicers xmlns="http://schemas.microsoft.com/office/spreadsheetml/2009/9/main" xmlns:mc="http://schemas.openxmlformats.org/markup-compatibility/2006" xmlns:x="http://schemas.openxmlformats.org/spreadsheetml/2006/main" mc:Ignorable="x">
  <slicer name="FisYr 21" cache="Slicer_FisYr14" caption="FisYr" columnCount="2" showCaption="0" rowHeight="241300"/>
</slicers>
</file>

<file path=xl/slicers/slicer48.xml><?xml version="1.0" encoding="utf-8"?>
<slicers xmlns="http://schemas.microsoft.com/office/spreadsheetml/2009/9/main" xmlns:mc="http://schemas.openxmlformats.org/markup-compatibility/2006" xmlns:x="http://schemas.openxmlformats.org/spreadsheetml/2006/main" mc:Ignorable="x">
  <slicer name="FisYr 7" cache="Slicer_FisYr6" caption="FisYr" columnCount="7" showCaption="0" rowHeight="241300"/>
</slicers>
</file>

<file path=xl/slicers/slicer49.xml><?xml version="1.0" encoding="utf-8"?>
<slicers xmlns="http://schemas.microsoft.com/office/spreadsheetml/2009/9/main" xmlns:mc="http://schemas.openxmlformats.org/markup-compatibility/2006" xmlns:x="http://schemas.openxmlformats.org/spreadsheetml/2006/main" mc:Ignorable="x">
  <slicer name="FisYr 8" cache="Slicer_FisYr6" caption="FisYr" columnCount="7" showCaption="0"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FisYr 2" cache="Slicer_FisYr3" caption="FisYr" columnCount="6" showCaption="0" rowHeight="241300"/>
  <slicer name="FisYr 31" cache="Slicer_FisYr18" caption="FisYr" columnCount="2" showCaption="0" rowHeight="241300"/>
</slicers>
</file>

<file path=xl/slicers/slicer50.xml><?xml version="1.0" encoding="utf-8"?>
<slicers xmlns="http://schemas.microsoft.com/office/spreadsheetml/2009/9/main" xmlns:mc="http://schemas.openxmlformats.org/markup-compatibility/2006" xmlns:x="http://schemas.openxmlformats.org/spreadsheetml/2006/main" mc:Ignorable="x">
  <slicer name="FisYr 6" cache="Slicer_FisYr6" caption="FisYr" columnCount="6" showCaption="0" rowHeight="241300"/>
</slicers>
</file>

<file path=xl/slicers/slicer51.xml><?xml version="1.0" encoding="utf-8"?>
<slicers xmlns="http://schemas.microsoft.com/office/spreadsheetml/2009/9/main" xmlns:mc="http://schemas.openxmlformats.org/markup-compatibility/2006" xmlns:x="http://schemas.openxmlformats.org/spreadsheetml/2006/main" mc:Ignorable="x">
  <slicer name="FisYr 9" cache="Slicer_FisYr6" caption="FisYr" columnCount="7" showCaption="0" rowHeight="241300"/>
</slicers>
</file>

<file path=xl/slicers/slicer52.xml><?xml version="1.0" encoding="utf-8"?>
<slicers xmlns="http://schemas.microsoft.com/office/spreadsheetml/2009/9/main" xmlns:mc="http://schemas.openxmlformats.org/markup-compatibility/2006" xmlns:x="http://schemas.openxmlformats.org/spreadsheetml/2006/main" mc:Ignorable="x">
  <slicer name="FisYr 11" cache="Slicer_FisYr" caption="FisYr" columnCount="6" showCaption="0" rowHeight="241300"/>
</slicers>
</file>

<file path=xl/slicers/slicer53.xml><?xml version="1.0" encoding="utf-8"?>
<slicers xmlns="http://schemas.microsoft.com/office/spreadsheetml/2009/9/main" xmlns:mc="http://schemas.openxmlformats.org/markup-compatibility/2006" xmlns:x="http://schemas.openxmlformats.org/spreadsheetml/2006/main" mc:Ignorable="x">
  <slicer name="FisYr" cache="Slicer_FisYr" caption="FisYr" columnCount="5" showCaption="0" rowHeight="241300"/>
</slicers>
</file>

<file path=xl/slicers/slicer54.xml><?xml version="1.0" encoding="utf-8"?>
<slicers xmlns="http://schemas.microsoft.com/office/spreadsheetml/2009/9/main" xmlns:mc="http://schemas.openxmlformats.org/markup-compatibility/2006" xmlns:x="http://schemas.openxmlformats.org/spreadsheetml/2006/main" mc:Ignorable="x">
  <slicer name="FisYr 15" cache="Slicer_FisYr9" caption="FisYr" columnCount="6" showCaption="0" rowHeight="241300"/>
</slicers>
</file>

<file path=xl/slicers/slicer55.xml><?xml version="1.0" encoding="utf-8"?>
<slicers xmlns="http://schemas.microsoft.com/office/spreadsheetml/2009/9/main" xmlns:mc="http://schemas.openxmlformats.org/markup-compatibility/2006" xmlns:x="http://schemas.openxmlformats.org/spreadsheetml/2006/main" mc:Ignorable="x">
  <slicer name="FisYr 14" cache="Slicer_FisYr9" caption="FisYr" columnCount="5" showCaption="0" rowHeight="241300"/>
</slicers>
</file>

<file path=xl/slicers/slicer56.xml><?xml version="1.0" encoding="utf-8"?>
<slicers xmlns="http://schemas.microsoft.com/office/spreadsheetml/2009/9/main" xmlns:mc="http://schemas.openxmlformats.org/markup-compatibility/2006" xmlns:x="http://schemas.openxmlformats.org/spreadsheetml/2006/main" mc:Ignorable="x">
  <slicer name="FisYr 19" cache="Slicer_FisYr10" caption="FisYr" columnCount="6" showCaption="0" rowHeight="241300"/>
</slicers>
</file>

<file path=xl/slicers/slicer57.xml><?xml version="1.0" encoding="utf-8"?>
<slicers xmlns="http://schemas.microsoft.com/office/spreadsheetml/2009/9/main" xmlns:mc="http://schemas.openxmlformats.org/markup-compatibility/2006" xmlns:x="http://schemas.openxmlformats.org/spreadsheetml/2006/main" mc:Ignorable="x">
  <slicer name="FisYr 18" cache="Slicer_FisYr10" caption="FisYr" columnCount="5" showCaption="0" rowHeight="241300"/>
</slicers>
</file>

<file path=xl/slicers/slicer58.xml><?xml version="1.0" encoding="utf-8"?>
<slicers xmlns="http://schemas.microsoft.com/office/spreadsheetml/2009/9/main" xmlns:mc="http://schemas.openxmlformats.org/markup-compatibility/2006" xmlns:x="http://schemas.openxmlformats.org/spreadsheetml/2006/main" mc:Ignorable="x">
  <slicer name="FisYr 13" cache="Slicer_FisYr7" caption="FisYr" columnCount="6" showCaption="0" rowHeight="241300"/>
</slicers>
</file>

<file path=xl/slicers/slicer59.xml><?xml version="1.0" encoding="utf-8"?>
<slicers xmlns="http://schemas.microsoft.com/office/spreadsheetml/2009/9/main" xmlns:mc="http://schemas.openxmlformats.org/markup-compatibility/2006" xmlns:x="http://schemas.openxmlformats.org/spreadsheetml/2006/main" mc:Ignorable="x">
  <slicer name="FisYr 12" cache="Slicer_FisYr7" caption="FisYr" columnCount="5" showCaption="0"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isYr 16" cache="Slicer_FisYr3" caption="FisYr" columnCount="6" showCaption="0"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FisYr 4" cache="Slicer_FisYr4" caption="FisYr" columnCount="3" showCaption="0" rowHeight="241300"/>
  <slicer name="FisYr 5" cache="Slicer_FisYr5" caption="FisYr" columnCount="3" showCaption="0"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FisYr 10" cache="Slicer_FisYr5" caption="FisYr" columnCount="4" showCaption="0"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FinYr 33" cache="Slicer_FinYr15" caption="FinYr" columnCount="2" showCaption="0" rowHeight="241300"/>
</slicers>
</file>

<file path=xl/tables/table1.xml><?xml version="1.0" encoding="utf-8"?>
<table xmlns="http://schemas.openxmlformats.org/spreadsheetml/2006/main" id="8" name="Table8" displayName="Table8" ref="A1:H65" totalsRowShown="0">
  <autoFilter ref="A1:H65">
    <filterColumn colId="0">
      <filters>
        <filter val="2019-20"/>
      </filters>
    </filterColumn>
  </autoFilter>
  <tableColumns count="8">
    <tableColumn id="1" name="FisYr">
      <calculatedColumnFormula>TRS!A5</calculatedColumnFormula>
    </tableColumn>
    <tableColumn id="2" name="Council">
      <calculatedColumnFormula>TRS!B5</calculatedColumnFormula>
    </tableColumn>
    <tableColumn id="3" name="LACode">
      <calculatedColumnFormula>TRS!C5</calculatedColumnFormula>
    </tableColumn>
    <tableColumn id="4" name="Local Senior Officer Area">
      <calculatedColumnFormula>TRS!D5</calculatedColumnFormula>
    </tableColumn>
    <tableColumn id="5" name="SFRSLSO">
      <calculatedColumnFormula>TRS!E5</calculatedColumnFormula>
    </tableColumn>
    <tableColumn id="6" name="LSOCode">
      <calculatedColumnFormula>TRS!F5</calculatedColumnFormula>
    </tableColumn>
    <tableColumn id="7" name="Service Delivery Area">
      <calculatedColumnFormula>TRS!G5</calculatedColumnFormula>
    </tableColumn>
    <tableColumn id="8" name="SDACode">
      <calculatedColumnFormula>TRS!H5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A1:A3" totalsRowShown="0">
  <autoFilter ref="A1:A3"/>
  <tableColumns count="1">
    <tableColumn id="1" name="FisYr"/>
  </tableColumns>
  <tableStyleInfo name="TableStyleMedium2" showFirstColumn="0" showLastColumn="0" showRowStripes="1" showColumnStripes="0"/>
</table>
</file>

<file path=xl/tables/table3.xml><?xml version="1.0" encoding="utf-8"?>
<table xmlns="http://schemas.openxmlformats.org/spreadsheetml/2006/main" id="2" name="Table2" displayName="Table2" ref="A11:I43" totalsRowShown="0" headerRowDxfId="47" dataDxfId="45" headerRowBorderDxfId="46">
  <tableColumns count="9">
    <tableColumn id="1" name="LA Code" dataDxfId="44" dataCellStyle="Normal_Sheet1"/>
    <tableColumn id="2" name="Local Authority Area" dataDxfId="43" dataCellStyle="Normal_Sheet1"/>
    <tableColumn id="3" name="Wholetime Operational" dataDxfId="42" dataCellStyle="Normal 4">
      <calculatedColumnFormula>'h3'!B5</calculatedColumnFormula>
    </tableColumn>
    <tableColumn id="4" name="Retained Duty System" dataDxfId="41" dataCellStyle="Normal 4">
      <calculatedColumnFormula>'h3'!C5</calculatedColumnFormula>
    </tableColumn>
    <tableColumn id="5" name="Retained Full-time" dataDxfId="40" dataCellStyle="Normal 4">
      <calculatedColumnFormula>'h3'!D5</calculatedColumnFormula>
    </tableColumn>
    <tableColumn id="6" name="Control" dataDxfId="39" dataCellStyle="Normal 4">
      <calculatedColumnFormula>'h3'!E5</calculatedColumnFormula>
    </tableColumn>
    <tableColumn id="7" name="Support" dataDxfId="38" dataCellStyle="Normal 4">
      <calculatedColumnFormula>'h3'!F5</calculatedColumnFormula>
    </tableColumn>
    <tableColumn id="8" name="Volunteer" dataDxfId="37" dataCellStyle="Normal 4">
      <calculatedColumnFormula>'h3'!G5</calculatedColumnFormula>
    </tableColumn>
    <tableColumn id="10" name="All Staff Total" dataDxfId="36">
      <calculatedColumnFormula>SUM(C12:H12)</calculatedColumnFormula>
    </tableColumn>
  </tableColumns>
  <tableStyleInfo showFirstColumn="0" showLastColumn="0" showRowStripes="1" showColumnStripes="0"/>
</table>
</file>

<file path=xl/tables/table4.xml><?xml version="1.0" encoding="utf-8"?>
<table xmlns="http://schemas.openxmlformats.org/spreadsheetml/2006/main" id="3" name="Table3" displayName="Table3" ref="A46:I63" totalsRowShown="0" headerRowDxfId="35">
  <tableColumns count="9">
    <tableColumn id="1" name="LSO Code" dataDxfId="34" dataCellStyle="Normal_Sheet1"/>
    <tableColumn id="2" name="Local Senior Officer Area" dataDxfId="33" dataCellStyle="Normal_Sheet1"/>
    <tableColumn id="3" name="Wholetime Operational" dataDxfId="32" dataCellStyle="Normal 4">
      <calculatedColumnFormula>IFERROR(GETPIVOTDATA("Sum of WT",'h3'!$A$3,"ReportingLevel","2:LSO","lvl",Table3[[#This Row],[Local Senior Officer Area]]),0)</calculatedColumnFormula>
    </tableColumn>
    <tableColumn id="4" name="Retained Duty System" dataDxfId="31" dataCellStyle="Normal_Sheet1">
      <calculatedColumnFormula>'h3'!C38</calculatedColumnFormula>
    </tableColumn>
    <tableColumn id="5" name="Retained Full-time" dataDxfId="30" dataCellStyle="Normal_Sheet1">
      <calculatedColumnFormula>IFERROR(GETPIVOTDATA("Sum of RDS Fulltime",'h3'!$A$3,"ReportingLevel","2:LSO","lvl",Table3[[#This Row],[Local Senior Officer Area]]),0)</calculatedColumnFormula>
    </tableColumn>
    <tableColumn id="6" name="Control" dataDxfId="29" dataCellStyle="Normal_Sheet1">
      <calculatedColumnFormula>'h3'!E38</calculatedColumnFormula>
    </tableColumn>
    <tableColumn id="7" name="Support" dataDxfId="28" dataCellStyle="Normal 4">
      <calculatedColumnFormula>GETPIVOTDATA("Sum of Control",'h3'!$A$3,"ReportingLevel","2:LSO","lvl","Aberdeen City")</calculatedColumnFormula>
    </tableColumn>
    <tableColumn id="8" name="Volunteer" dataDxfId="27" dataCellStyle="Normal 4">
      <calculatedColumnFormula>'h3'!G38</calculatedColumnFormula>
    </tableColumn>
    <tableColumn id="9" name="All Staff Total" dataDxfId="26">
      <calculatedColumnFormula>SUM(C47:H47)</calculatedColumnFormula>
    </tableColumn>
  </tableColumns>
  <tableStyleInfo showFirstColumn="0" showLastColumn="0" showRowStripes="1" showColumnStripes="0"/>
</table>
</file>

<file path=xl/tables/table5.xml><?xml version="1.0" encoding="utf-8"?>
<table xmlns="http://schemas.openxmlformats.org/spreadsheetml/2006/main" id="4" name="Table4" displayName="Table4" ref="A66:I69" totalsRowShown="0" headerRowDxfId="25">
  <tableColumns count="9">
    <tableColumn id="1" name="SDA Code" dataDxfId="24" dataCellStyle="Normal_Sheet1"/>
    <tableColumn id="2" name="Service Delivery Area" dataDxfId="23" dataCellStyle="Normal_Sheet1"/>
    <tableColumn id="3" name="Wholetime Operational" dataDxfId="22" dataCellStyle="Normal 4">
      <calculatedColumnFormula>GETPIVOTDATA("Sum of WT",'h3'!$A$3,"ReportingLevel","3:SDA","lvl",Table4[[#This Row],[Service Delivery Area]])</calculatedColumnFormula>
    </tableColumn>
    <tableColumn id="4" name="Retained Duty System" dataDxfId="21" dataCellStyle="Normal_Sheet1">
      <calculatedColumnFormula>GETPIVOTDATA("Sum of RDS",'h3'!$A$3,"ReportingLevel","3:SDA","lvl",Table4[[#This Row],[Service Delivery Area]])</calculatedColumnFormula>
    </tableColumn>
    <tableColumn id="5" name="Retained Full-time" dataDxfId="20" dataCellStyle="Normal_Sheet1">
      <calculatedColumnFormula>GETPIVOTDATA("Sum of RDS Fulltime",'h3'!$A$3,"ReportingLevel","3:SDA","lvl",Table4[[#This Row],[Service Delivery Area]])</calculatedColumnFormula>
    </tableColumn>
    <tableColumn id="6" name="Control" dataDxfId="19" dataCellStyle="Normal_Sheet1">
      <calculatedColumnFormula>GETPIVOTDATA("Sum of Control",'h3'!$A$3,"ReportingLevel","3:SDA","lvl",Table4[[#This Row],[Service Delivery Area]])</calculatedColumnFormula>
    </tableColumn>
    <tableColumn id="7" name="Support" dataDxfId="18" dataCellStyle="Normal 4">
      <calculatedColumnFormula>GETPIVOTDATA("Sum of Support",'h3'!$A$3,"ReportingLevel","3:SDA","lvl",Table4[[#This Row],[Service Delivery Area]])</calculatedColumnFormula>
    </tableColumn>
    <tableColumn id="8" name="Volunteer" dataDxfId="17" dataCellStyle="Normal 4">
      <calculatedColumnFormula>GETPIVOTDATA("Sum of Vol",'h3'!$A$3,"ReportingLevel","3:SDA","lvl",Table4[[#This Row],[Service Delivery Area]])</calculatedColumnFormula>
    </tableColumn>
    <tableColumn id="9" name="All Staff Total" dataDxfId="16">
      <calculatedColumnFormula>SUM(C67:H67)</calculatedColumnFormula>
    </tableColumn>
  </tableColumns>
  <tableStyleInfo showFirstColumn="0" showLastColumn="0" showRowStripes="1" showColumnStripes="0"/>
</table>
</file>

<file path=xl/tables/table6.xml><?xml version="1.0" encoding="utf-8"?>
<table xmlns="http://schemas.openxmlformats.org/spreadsheetml/2006/main" id="9" name="Table9" displayName="Table9" ref="A1:E31" totalsRowShown="0" headerRowDxfId="15" dataDxfId="14">
  <autoFilter ref="A1:E31"/>
  <tableColumns count="5">
    <tableColumn id="1" name="FisYr" dataDxfId="13"/>
    <tableColumn id="2" name="Tenure" dataDxfId="12"/>
    <tableColumn id="3" name="Visits" dataDxfId="11"/>
    <tableColumn id="4" name="WithAlarmsFitted"/>
    <tableColumn id="5" name="pcAlarmsFitted"/>
  </tableColumns>
  <tableStyleInfo name="TableStyleMedium2" showFirstColumn="0" showLastColumn="0" showRowStripes="1" showColumnStripes="0"/>
</table>
</file>

<file path=xl/tables/table7.xml><?xml version="1.0" encoding="utf-8"?>
<table xmlns="http://schemas.openxmlformats.org/spreadsheetml/2006/main" id="5" name="Table5" displayName="Table5" ref="A1:G31" totalsRowShown="0">
  <autoFilter ref="A1:G31"/>
  <tableColumns count="7">
    <tableColumn id="1" name="FisYr"/>
    <tableColumn id="2" name="SIMD2020_Quintile"/>
    <tableColumn id="3" name="Visits"/>
    <tableColumn id="4" name="WithAlarmsFitted"/>
    <tableColumn id="5" name="pcAlarmsFitted"/>
    <tableColumn id="6" name="RateAlarmsFittedper100OccupiedDwellings"/>
    <tableColumn id="7" name="OccupiedDwellings"/>
  </tableColumns>
  <tableStyleInfo name="TableStyleMedium2" showFirstColumn="0" showLastColumn="0" showRowStripes="1" showColumnStripes="0"/>
</table>
</file>

<file path=xl/tables/table8.xml><?xml version="1.0" encoding="utf-8"?>
<table xmlns="http://schemas.openxmlformats.org/spreadsheetml/2006/main" id="6" name="Table6" displayName="Table6" ref="A36:H66" totalsRowShown="0">
  <autoFilter ref="A36:H66"/>
  <tableColumns count="8">
    <tableColumn id="1" name="FisYr"/>
    <tableColumn id="2" name="SIMD2020_Quintile"/>
    <tableColumn id="3" name="Visits"/>
    <tableColumn id="4" name="WithAlarmsFitted"/>
    <tableColumn id="5" name="pcAlarmsFitted"/>
    <tableColumn id="6" name="RateAlarmsFittedper100OccupiedDwellings"/>
    <tableColumn id="7" name="OccupiedDwellings"/>
    <tableColumn id="8" name="Column1" dataDxfId="0">
      <calculatedColumnFormula>Table6[[#This Row],[Visits]]/Table6[[#This Row],[OccupiedDwellings]]*100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National.Statistics@firescotland.gov.uk" TargetMode="External"/><Relationship Id="rId2" Type="http://schemas.openxmlformats.org/officeDocument/2006/relationships/hyperlink" Target="http://www.firescotland.gov.uk/about-us/fire-and-rescue-statistics.aspx" TargetMode="External"/><Relationship Id="rId1" Type="http://schemas.openxmlformats.org/officeDocument/2006/relationships/hyperlink" Target="http://www.firescotland.gov.uk/about-us/fire-and-rescue-statistics.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6.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9.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07.xml.rels><?xml version="1.0" encoding="UTF-8" standalone="yes"?>
<Relationships xmlns="http://schemas.openxmlformats.org/package/2006/relationships"><Relationship Id="rId3" Type="http://schemas.microsoft.com/office/2007/relationships/slicer" Target="../slicers/slicer52.xml"/><Relationship Id="rId2" Type="http://schemas.openxmlformats.org/officeDocument/2006/relationships/drawing" Target="../drawings/drawing82.xml"/><Relationship Id="rId1" Type="http://schemas.openxmlformats.org/officeDocument/2006/relationships/printerSettings" Target="../printerSettings/printerSettings51.bin"/></Relationships>
</file>

<file path=xl/worksheets/_rels/sheet108.xml.rels><?xml version="1.0" encoding="UTF-8" standalone="yes"?>
<Relationships xmlns="http://schemas.openxmlformats.org/package/2006/relationships"><Relationship Id="rId3" Type="http://schemas.microsoft.com/office/2007/relationships/slicer" Target="../slicers/slicer53.xml"/><Relationship Id="rId2" Type="http://schemas.openxmlformats.org/officeDocument/2006/relationships/drawing" Target="../drawings/drawing83.xml"/><Relationship Id="rId1" Type="http://schemas.openxmlformats.org/officeDocument/2006/relationships/pivotTable" Target="../pivotTables/pivotTable45.xml"/></Relationships>
</file>

<file path=xl/worksheets/_rels/sheet109.xml.rels><?xml version="1.0" encoding="UTF-8" standalone="yes"?>
<Relationships xmlns="http://schemas.openxmlformats.org/package/2006/relationships"><Relationship Id="rId3" Type="http://schemas.microsoft.com/office/2007/relationships/slicer" Target="../slicers/slicer54.xml"/><Relationship Id="rId2" Type="http://schemas.openxmlformats.org/officeDocument/2006/relationships/drawing" Target="../drawings/drawing84.xml"/><Relationship Id="rId1"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3" Type="http://schemas.microsoft.com/office/2007/relationships/slicer" Target="../slicers/slicer55.xml"/><Relationship Id="rId2" Type="http://schemas.openxmlformats.org/officeDocument/2006/relationships/drawing" Target="../drawings/drawing85.xml"/><Relationship Id="rId1" Type="http://schemas.openxmlformats.org/officeDocument/2006/relationships/pivotTable" Target="../pivotTables/pivotTable46.xml"/></Relationships>
</file>

<file path=xl/worksheets/_rels/sheet111.xml.rels><?xml version="1.0" encoding="UTF-8" standalone="yes"?>
<Relationships xmlns="http://schemas.openxmlformats.org/package/2006/relationships"><Relationship Id="rId3" Type="http://schemas.microsoft.com/office/2007/relationships/slicer" Target="../slicers/slicer56.xml"/><Relationship Id="rId2" Type="http://schemas.openxmlformats.org/officeDocument/2006/relationships/drawing" Target="../drawings/drawing86.xml"/><Relationship Id="rId1" Type="http://schemas.openxmlformats.org/officeDocument/2006/relationships/printerSettings" Target="../printerSettings/printerSettings53.bin"/></Relationships>
</file>

<file path=xl/worksheets/_rels/sheet112.xml.rels><?xml version="1.0" encoding="UTF-8" standalone="yes"?>
<Relationships xmlns="http://schemas.openxmlformats.org/package/2006/relationships"><Relationship Id="rId3" Type="http://schemas.microsoft.com/office/2007/relationships/slicer" Target="../slicers/slicer57.xml"/><Relationship Id="rId2" Type="http://schemas.openxmlformats.org/officeDocument/2006/relationships/drawing" Target="../drawings/drawing87.xml"/><Relationship Id="rId1" Type="http://schemas.openxmlformats.org/officeDocument/2006/relationships/pivotTable" Target="../pivotTables/pivotTable47.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4.xml.rels><?xml version="1.0" encoding="UTF-8" standalone="yes"?>
<Relationships xmlns="http://schemas.openxmlformats.org/package/2006/relationships"><Relationship Id="rId2" Type="http://schemas.microsoft.com/office/2007/relationships/slicer" Target="../slicers/slicer58.xml"/><Relationship Id="rId1" Type="http://schemas.openxmlformats.org/officeDocument/2006/relationships/drawing" Target="../drawings/drawing88.xml"/></Relationships>
</file>

<file path=xl/worksheets/_rels/sheet115.xml.rels><?xml version="1.0" encoding="UTF-8" standalone="yes"?>
<Relationships xmlns="http://schemas.openxmlformats.org/package/2006/relationships"><Relationship Id="rId3" Type="http://schemas.microsoft.com/office/2007/relationships/slicer" Target="../slicers/slicer59.xml"/><Relationship Id="rId2" Type="http://schemas.openxmlformats.org/officeDocument/2006/relationships/drawing" Target="../drawings/drawing89.xml"/><Relationship Id="rId1" Type="http://schemas.openxmlformats.org/officeDocument/2006/relationships/pivotTable" Target="../pivotTables/pivotTable48.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6.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6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6.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7.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microsoft.com/office/2007/relationships/slicer" Target="../slicers/slicer7.xml"/></Relationships>
</file>

<file path=xl/worksheets/_rels/sheet19.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3.xml"/><Relationship Id="rId1" Type="http://schemas.openxmlformats.org/officeDocument/2006/relationships/pivotTable" Target="../pivotTables/pivotTable8.xml"/></Relationships>
</file>

<file path=xl/worksheets/_rels/sheet24.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microsoft.com/office/2007/relationships/slicer" Target="../slicers/slicer12.xml"/></Relationships>
</file>

<file path=xl/worksheets/_rels/sheet26.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microsoft.com/office/2007/relationships/slicer" Target="../slicers/slicer14.xml"/><Relationship Id="rId2" Type="http://schemas.openxmlformats.org/officeDocument/2006/relationships/drawing" Target="../drawings/drawing17.xml"/><Relationship Id="rId1" Type="http://schemas.openxmlformats.org/officeDocument/2006/relationships/pivotTable" Target="../pivotTables/pivotTable11.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 Id="rId6" Type="http://schemas.microsoft.com/office/2007/relationships/slicer" Target="../slicers/slicer15.xml"/><Relationship Id="rId5" Type="http://schemas.openxmlformats.org/officeDocument/2006/relationships/table" Target="../tables/table5.xml"/><Relationship Id="rId4" Type="http://schemas.openxmlformats.org/officeDocument/2006/relationships/table" Target="../tables/table4.xml"/></Relationships>
</file>

<file path=xl/worksheets/_rels/sheet29.xml.rels><?xml version="1.0" encoding="UTF-8" standalone="yes"?>
<Relationships xmlns="http://schemas.openxmlformats.org/package/2006/relationships"><Relationship Id="rId2" Type="http://schemas.microsoft.com/office/2007/relationships/slicer" Target="../slicers/slicer16.xml"/><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microsoft.com/office/2007/relationships/slicer" Target="../slicers/slicer18.xml"/><Relationship Id="rId2" Type="http://schemas.openxmlformats.org/officeDocument/2006/relationships/drawing" Target="../drawings/drawing21.xml"/><Relationship Id="rId1" Type="http://schemas.openxmlformats.org/officeDocument/2006/relationships/pivotTable" Target="../pivotTables/pivotTable12.xml"/></Relationships>
</file>

<file path=xl/worksheets/_rels/sheet32.xml.rels><?xml version="1.0" encoding="UTF-8" standalone="yes"?>
<Relationships xmlns="http://schemas.openxmlformats.org/package/2006/relationships"><Relationship Id="rId2" Type="http://schemas.microsoft.com/office/2007/relationships/slicer" Target="../slicers/slicer19.xml"/><Relationship Id="rId1" Type="http://schemas.openxmlformats.org/officeDocument/2006/relationships/drawing" Target="../drawings/drawing22.xml"/></Relationships>
</file>

<file path=xl/worksheets/_rels/sheet33.xml.rels><?xml version="1.0" encoding="UTF-8" standalone="yes"?>
<Relationships xmlns="http://schemas.openxmlformats.org/package/2006/relationships"><Relationship Id="rId3" Type="http://schemas.microsoft.com/office/2007/relationships/slicer" Target="../slicers/slicer20.xml"/><Relationship Id="rId2" Type="http://schemas.openxmlformats.org/officeDocument/2006/relationships/drawing" Target="../drawings/drawing23.xml"/><Relationship Id="rId1" Type="http://schemas.openxmlformats.org/officeDocument/2006/relationships/pivotTable" Target="../pivotTables/pivotTable13.xml"/></Relationships>
</file>

<file path=xl/worksheets/_rels/sheet34.xml.rels><?xml version="1.0" encoding="UTF-8" standalone="yes"?>
<Relationships xmlns="http://schemas.openxmlformats.org/package/2006/relationships"><Relationship Id="rId3" Type="http://schemas.microsoft.com/office/2007/relationships/slicer" Target="../slicers/slicer21.xml"/><Relationship Id="rId2" Type="http://schemas.openxmlformats.org/officeDocument/2006/relationships/drawing" Target="../drawings/drawing24.xml"/><Relationship Id="rId1" Type="http://schemas.openxmlformats.org/officeDocument/2006/relationships/pivotTable" Target="../pivotTables/pivotTable14.xml"/></Relationships>
</file>

<file path=xl/worksheets/_rels/sheet35.xml.rels><?xml version="1.0" encoding="UTF-8" standalone="yes"?>
<Relationships xmlns="http://schemas.openxmlformats.org/package/2006/relationships"><Relationship Id="rId3" Type="http://schemas.microsoft.com/office/2007/relationships/slicer" Target="../slicers/slicer22.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microsoft.com/office/2007/relationships/slicer" Target="../slicers/slicer23.xml"/><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microsoft.com/office/2007/relationships/slicer" Target="../slicers/slicer24.xml"/><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microsoft.com/office/2007/relationships/slicer" Target="../slicers/slicer25.xml"/><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5" Type="http://schemas.microsoft.com/office/2007/relationships/slicer" Target="../slicers/slicer26.xml"/><Relationship Id="rId4"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1.xml"/><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pivotTable" Target="../pivotTables/pivotTable20.xml"/><Relationship Id="rId2" Type="http://schemas.openxmlformats.org/officeDocument/2006/relationships/pivotTable" Target="../pivotTables/pivotTable19.xml"/><Relationship Id="rId1" Type="http://schemas.openxmlformats.org/officeDocument/2006/relationships/pivotTable" Target="../pivotTables/pivotTable18.xml"/><Relationship Id="rId5" Type="http://schemas.microsoft.com/office/2007/relationships/slicer" Target="../slicers/slicer27.xml"/><Relationship Id="rId4" Type="http://schemas.openxmlformats.org/officeDocument/2006/relationships/drawing" Target="../drawings/drawing30.xml"/></Relationships>
</file>

<file path=xl/worksheets/_rels/sheet41.xml.rels><?xml version="1.0" encoding="UTF-8" standalone="yes"?>
<Relationships xmlns="http://schemas.openxmlformats.org/package/2006/relationships"><Relationship Id="rId3" Type="http://schemas.microsoft.com/office/2007/relationships/slicer" Target="../slicers/slicer28.xml"/><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microsoft.com/office/2007/relationships/slicer" Target="../slicers/slicer29.xml"/><Relationship Id="rId2" Type="http://schemas.openxmlformats.org/officeDocument/2006/relationships/drawing" Target="../drawings/drawing32.xml"/><Relationship Id="rId1" Type="http://schemas.openxmlformats.org/officeDocument/2006/relationships/pivotTable" Target="../pivotTables/pivotTable21.xml"/></Relationships>
</file>

<file path=xl/worksheets/_rels/sheet43.xml.rels><?xml version="1.0" encoding="UTF-8" standalone="yes"?>
<Relationships xmlns="http://schemas.openxmlformats.org/package/2006/relationships"><Relationship Id="rId3" Type="http://schemas.microsoft.com/office/2007/relationships/slicer" Target="../slicers/slicer30.xml"/><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3" Type="http://schemas.microsoft.com/office/2007/relationships/slicer" Target="../slicers/slicer31.xml"/><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3" Type="http://schemas.microsoft.com/office/2007/relationships/slicer" Target="../slicers/slicer32.xml"/><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3" Type="http://schemas.microsoft.com/office/2007/relationships/slicer" Target="../slicers/slicer33.xml"/><Relationship Id="rId2" Type="http://schemas.openxmlformats.org/officeDocument/2006/relationships/drawing" Target="../drawings/drawing36.xml"/><Relationship Id="rId1" Type="http://schemas.openxmlformats.org/officeDocument/2006/relationships/pivotTable" Target="../pivotTables/pivotTable22.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microsoft.com/office/2007/relationships/slicer" Target="../slicers/slicer34.xml"/></Relationships>
</file>

<file path=xl/worksheets/_rels/sheet49.xml.rels><?xml version="1.0" encoding="UTF-8" standalone="yes"?>
<Relationships xmlns="http://schemas.openxmlformats.org/package/2006/relationships"><Relationship Id="rId3" Type="http://schemas.microsoft.com/office/2007/relationships/slicer" Target="../slicers/slicer35.xml"/><Relationship Id="rId2" Type="http://schemas.openxmlformats.org/officeDocument/2006/relationships/drawing" Target="../drawings/drawing38.xml"/><Relationship Id="rId1" Type="http://schemas.openxmlformats.org/officeDocument/2006/relationships/pivotTable" Target="../pivotTables/pivotTable2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ivotTable" Target="../pivotTables/pivotTable1.xml"/><Relationship Id="rId4" Type="http://schemas.microsoft.com/office/2007/relationships/slicer" Target="../slicers/slicer3.xml"/></Relationships>
</file>

<file path=xl/worksheets/_rels/sheet50.xml.rels><?xml version="1.0" encoding="UTF-8" standalone="yes"?>
<Relationships xmlns="http://schemas.openxmlformats.org/package/2006/relationships"><Relationship Id="rId3" Type="http://schemas.microsoft.com/office/2007/relationships/slicer" Target="../slicers/slicer36.xml"/><Relationship Id="rId2" Type="http://schemas.openxmlformats.org/officeDocument/2006/relationships/drawing" Target="../drawings/drawing39.xml"/><Relationship Id="rId1" Type="http://schemas.openxmlformats.org/officeDocument/2006/relationships/pivotTable" Target="../pivotTables/pivotTable26.xml"/></Relationships>
</file>

<file path=xl/worksheets/_rels/sheet51.xml.rels><?xml version="1.0" encoding="UTF-8" standalone="yes"?>
<Relationships xmlns="http://schemas.openxmlformats.org/package/2006/relationships"><Relationship Id="rId3" Type="http://schemas.microsoft.com/office/2007/relationships/slicer" Target="../slicers/slicer37.xml"/><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3" Type="http://schemas.microsoft.com/office/2007/relationships/slicer" Target="../slicers/slicer38.xml"/><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3" Type="http://schemas.microsoft.com/office/2007/relationships/slicer" Target="../slicers/slicer39.xml"/><Relationship Id="rId2" Type="http://schemas.openxmlformats.org/officeDocument/2006/relationships/drawing" Target="../drawings/drawing42.xml"/><Relationship Id="rId1" Type="http://schemas.openxmlformats.org/officeDocument/2006/relationships/pivotTable" Target="../pivotTables/pivotTable27.xml"/></Relationships>
</file>

<file path=xl/worksheets/_rels/sheet54.xml.rels><?xml version="1.0" encoding="UTF-8" standalone="yes"?>
<Relationships xmlns="http://schemas.openxmlformats.org/package/2006/relationships"><Relationship Id="rId3" Type="http://schemas.microsoft.com/office/2007/relationships/slicer" Target="../slicers/slicer40.xml"/><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3" Type="http://schemas.microsoft.com/office/2007/relationships/slicer" Target="../slicers/slicer41.xml"/><Relationship Id="rId2" Type="http://schemas.openxmlformats.org/officeDocument/2006/relationships/drawing" Target="../drawings/drawing44.xml"/><Relationship Id="rId1" Type="http://schemas.openxmlformats.org/officeDocument/2006/relationships/pivotTable" Target="../pivotTables/pivotTable28.xml"/></Relationships>
</file>

<file path=xl/worksheets/_rels/sheet56.xml.rels><?xml version="1.0" encoding="UTF-8" standalone="yes"?>
<Relationships xmlns="http://schemas.openxmlformats.org/package/2006/relationships"><Relationship Id="rId3" Type="http://schemas.microsoft.com/office/2007/relationships/slicer" Target="../slicers/slicer42.xml"/><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3" Type="http://schemas.microsoft.com/office/2007/relationships/slicer" Target="../slicers/slicer43.xml"/><Relationship Id="rId2" Type="http://schemas.openxmlformats.org/officeDocument/2006/relationships/drawing" Target="../drawings/drawing46.xml"/><Relationship Id="rId1" Type="http://schemas.openxmlformats.org/officeDocument/2006/relationships/pivotTable" Target="../pivotTables/pivotTable29.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9.xml.rels><?xml version="1.0" encoding="UTF-8" standalone="yes"?>
<Relationships xmlns="http://schemas.openxmlformats.org/package/2006/relationships"><Relationship Id="rId1" Type="http://schemas.openxmlformats.org/officeDocument/2006/relationships/pivotTable" Target="../pivotTables/pivotTable3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3" Type="http://schemas.microsoft.com/office/2007/relationships/slicer" Target="../slicers/slicer44.xml"/><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3" Type="http://schemas.openxmlformats.org/officeDocument/2006/relationships/pivotTable" Target="../pivotTables/pivotTable33.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microsoft.com/office/2007/relationships/slicer" Target="../slicers/slicer45.xml"/><Relationship Id="rId5" Type="http://schemas.openxmlformats.org/officeDocument/2006/relationships/drawing" Target="../drawings/drawing48.xml"/><Relationship Id="rId4" Type="http://schemas.openxmlformats.org/officeDocument/2006/relationships/pivotTable" Target="../pivotTables/pivotTable34.xml"/></Relationships>
</file>

<file path=xl/worksheets/_rels/sheet63.xml.rels><?xml version="1.0" encoding="UTF-8" standalone="yes"?>
<Relationships xmlns="http://schemas.openxmlformats.org/package/2006/relationships"><Relationship Id="rId2" Type="http://schemas.microsoft.com/office/2007/relationships/slicer" Target="../slicers/slicer46.xml"/><Relationship Id="rId1" Type="http://schemas.openxmlformats.org/officeDocument/2006/relationships/drawing" Target="../drawings/drawing49.xml"/></Relationships>
</file>

<file path=xl/worksheets/_rels/sheet64.xml.rels><?xml version="1.0" encoding="UTF-8" standalone="yes"?>
<Relationships xmlns="http://schemas.openxmlformats.org/package/2006/relationships"><Relationship Id="rId3" Type="http://schemas.microsoft.com/office/2007/relationships/slicer" Target="../slicers/slicer47.xml"/><Relationship Id="rId2" Type="http://schemas.openxmlformats.org/officeDocument/2006/relationships/drawing" Target="../drawings/drawing50.xml"/><Relationship Id="rId1" Type="http://schemas.openxmlformats.org/officeDocument/2006/relationships/pivotTable" Target="../pivotTables/pivotTable35.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2" Type="http://schemas.openxmlformats.org/officeDocument/2006/relationships/pivotTable" Target="../pivotTables/pivotTable37.xml"/><Relationship Id="rId1" Type="http://schemas.openxmlformats.org/officeDocument/2006/relationships/pivotTable" Target="../pivotTables/pivotTable36.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1" Type="http://schemas.openxmlformats.org/officeDocument/2006/relationships/pivotTable" Target="../pivotTables/pivotTable38.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0.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microsoft.com/office/2007/relationships/slicer" Target="../slicers/slicer5.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ivotTable" Target="../pivotTables/pivotTable39.xml"/></Relationships>
</file>

<file path=xl/worksheets/_rels/sheet83.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s>
</file>

<file path=xl/worksheets/_rels/sheet85.xml.rels><?xml version="1.0" encoding="UTF-8" standalone="yes"?>
<Relationships xmlns="http://schemas.openxmlformats.org/package/2006/relationships"><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s>
</file>

<file path=xl/worksheets/_rels/sheet86.xml.rels><?xml version="1.0" encoding="UTF-8" standalone="yes"?>
<Relationships xmlns="http://schemas.openxmlformats.org/package/2006/relationships"><Relationship Id="rId3" Type="http://schemas.openxmlformats.org/officeDocument/2006/relationships/pivotTable" Target="../pivotTables/pivotTable42.xml"/><Relationship Id="rId2" Type="http://schemas.openxmlformats.org/officeDocument/2006/relationships/pivotTable" Target="../pivotTables/pivotTable41.xml"/><Relationship Id="rId1" Type="http://schemas.openxmlformats.org/officeDocument/2006/relationships/pivotTable" Target="../pivotTables/pivotTable40.xm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pivotTable" Target="../pivotTables/pivotTable43.xml"/></Relationships>
</file>

<file path=xl/worksheets/_rels/sheet8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About/Methodology/UrbanRuralClassification" TargetMode="External"/><Relationship Id="rId1" Type="http://schemas.openxmlformats.org/officeDocument/2006/relationships/hyperlink" Target="https://www2.gov.scot/Topics/Statistics/About/Methodology/UrbanRuralClassification" TargetMode="External"/></Relationships>
</file>

<file path=xl/worksheets/_rels/sheet88.xml.rels><?xml version="1.0" encoding="UTF-8" standalone="yes"?>
<Relationships xmlns="http://schemas.openxmlformats.org/package/2006/relationships"><Relationship Id="rId3" Type="http://schemas.microsoft.com/office/2007/relationships/slicer" Target="../slicers/slicer48.xml"/><Relationship Id="rId2" Type="http://schemas.openxmlformats.org/officeDocument/2006/relationships/drawing" Target="../drawings/drawing65.xml"/><Relationship Id="rId1" Type="http://schemas.openxmlformats.org/officeDocument/2006/relationships/printerSettings" Target="../printerSettings/printerSettings45.bin"/></Relationships>
</file>

<file path=xl/worksheets/_rels/sheet89.xml.rels><?xml version="1.0" encoding="UTF-8" standalone="yes"?>
<Relationships xmlns="http://schemas.openxmlformats.org/package/2006/relationships"><Relationship Id="rId3" Type="http://schemas.microsoft.com/office/2007/relationships/slicer" Target="../slicers/slicer49.xml"/><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microsoft.com/office/2007/relationships/slicer" Target="../slicers/slicer50.xml"/><Relationship Id="rId2" Type="http://schemas.openxmlformats.org/officeDocument/2006/relationships/drawing" Target="../drawings/drawing67.xml"/><Relationship Id="rId1" Type="http://schemas.openxmlformats.org/officeDocument/2006/relationships/pivotTable" Target="../pivotTables/pivotTable44.xm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 Id="rId5" Type="http://schemas.microsoft.com/office/2007/relationships/slicer" Target="../slicers/slicer51.xml"/><Relationship Id="rId4" Type="http://schemas.openxmlformats.org/officeDocument/2006/relationships/drawing" Target="../drawings/drawing68.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8.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7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388"/>
  <sheetViews>
    <sheetView showGridLines="0" tabSelected="1" zoomScaleNormal="100" workbookViewId="0"/>
  </sheetViews>
  <sheetFormatPr defaultRowHeight="15" x14ac:dyDescent="0.25"/>
  <cols>
    <col min="1" max="1" width="15" style="483" customWidth="1"/>
    <col min="2" max="2" width="7.7109375" style="483" customWidth="1"/>
    <col min="3" max="3" width="15" style="483" customWidth="1"/>
    <col min="4" max="16384" width="9.140625" style="483"/>
  </cols>
  <sheetData>
    <row r="1" spans="1:13" ht="23.25" x14ac:dyDescent="0.25">
      <c r="A1" s="563"/>
      <c r="B1" s="563"/>
      <c r="C1" s="563"/>
      <c r="D1" s="563"/>
      <c r="E1" s="563"/>
      <c r="F1" s="564" t="s">
        <v>498</v>
      </c>
      <c r="G1" s="563"/>
      <c r="H1" s="563"/>
      <c r="I1" s="563"/>
      <c r="J1" s="563"/>
      <c r="K1" s="563"/>
      <c r="L1" s="482"/>
      <c r="M1" s="482"/>
    </row>
    <row r="2" spans="1:13" ht="23.25" x14ac:dyDescent="0.25">
      <c r="A2" s="563"/>
      <c r="B2" s="563"/>
      <c r="C2" s="563"/>
      <c r="D2" s="563"/>
      <c r="E2" s="563"/>
      <c r="F2" s="564" t="s">
        <v>497</v>
      </c>
      <c r="G2" s="563"/>
      <c r="H2" s="563"/>
      <c r="I2" s="563"/>
      <c r="J2" s="563"/>
      <c r="K2" s="563"/>
      <c r="L2" s="482"/>
      <c r="M2" s="482"/>
    </row>
    <row r="3" spans="1:13" ht="15.75" customHeight="1" x14ac:dyDescent="0.25">
      <c r="A3" s="484"/>
      <c r="B3" s="484"/>
      <c r="C3" s="484"/>
      <c r="D3" s="559"/>
      <c r="E3" s="484"/>
      <c r="F3" s="485" t="s">
        <v>0</v>
      </c>
      <c r="G3" s="484"/>
      <c r="H3" s="559"/>
      <c r="I3" s="559"/>
      <c r="J3" s="559"/>
      <c r="K3" s="559"/>
      <c r="L3" s="559"/>
    </row>
    <row r="4" spans="1:13" ht="15.75" customHeight="1" x14ac:dyDescent="0.25">
      <c r="A4" s="486"/>
      <c r="B4" s="486"/>
      <c r="C4" s="486"/>
      <c r="D4" s="559"/>
      <c r="E4" s="486"/>
      <c r="F4" s="955" t="s">
        <v>849</v>
      </c>
      <c r="G4" s="486"/>
      <c r="H4" s="559"/>
      <c r="I4" s="559"/>
      <c r="J4" s="559"/>
      <c r="K4" s="559"/>
      <c r="L4"/>
    </row>
    <row r="5" spans="1:13" ht="15.75" x14ac:dyDescent="0.25">
      <c r="A5" s="560"/>
      <c r="B5" s="560"/>
      <c r="C5" s="560"/>
      <c r="D5" s="559"/>
      <c r="E5" s="560"/>
      <c r="F5" s="561" t="s">
        <v>496</v>
      </c>
      <c r="G5" s="560"/>
      <c r="H5" s="559"/>
      <c r="I5" s="559"/>
      <c r="J5" s="559"/>
      <c r="K5" s="559"/>
      <c r="L5" s="559"/>
    </row>
    <row r="6" spans="1:13" ht="15.75" x14ac:dyDescent="0.25">
      <c r="A6" s="560"/>
      <c r="B6" s="560"/>
      <c r="C6" s="560"/>
      <c r="D6" s="559"/>
      <c r="E6" s="560"/>
      <c r="F6" s="561"/>
      <c r="G6" s="560"/>
      <c r="H6" s="559"/>
      <c r="I6" s="559"/>
      <c r="J6" s="559"/>
      <c r="K6" s="559"/>
      <c r="L6" s="559"/>
    </row>
    <row r="7" spans="1:13" ht="30.75" customHeight="1" x14ac:dyDescent="0.25">
      <c r="A7" s="560"/>
      <c r="B7" s="1074" t="s">
        <v>924</v>
      </c>
      <c r="C7" s="1074"/>
      <c r="D7" s="1074"/>
      <c r="E7" s="1074"/>
      <c r="F7" s="1074"/>
      <c r="G7" s="1074"/>
      <c r="H7" s="1074"/>
      <c r="I7" s="1074"/>
      <c r="J7" s="1074"/>
      <c r="K7" s="1074"/>
      <c r="L7" s="559"/>
    </row>
    <row r="8" spans="1:13" ht="15.75" x14ac:dyDescent="0.25">
      <c r="A8" s="560"/>
      <c r="B8" s="560"/>
      <c r="C8" s="560"/>
      <c r="D8" s="559"/>
      <c r="E8" s="560"/>
      <c r="F8" s="561"/>
      <c r="G8" s="560"/>
      <c r="H8" s="559"/>
      <c r="I8" s="559"/>
      <c r="J8" s="559"/>
      <c r="K8" s="559"/>
      <c r="L8" s="559"/>
    </row>
    <row r="9" spans="1:13" ht="15.75" x14ac:dyDescent="0.25">
      <c r="A9" s="487"/>
      <c r="B9" s="488" t="s">
        <v>504</v>
      </c>
      <c r="D9" s="559"/>
      <c r="E9" s="487"/>
      <c r="F9" s="559"/>
      <c r="G9" s="487"/>
      <c r="H9" s="559"/>
      <c r="I9" s="559"/>
      <c r="J9" s="559"/>
      <c r="K9" s="559"/>
      <c r="L9" s="559"/>
    </row>
    <row r="10" spans="1:13" ht="15.75" x14ac:dyDescent="0.25">
      <c r="A10" s="487"/>
      <c r="B10" s="488"/>
      <c r="C10" s="488" t="s">
        <v>848</v>
      </c>
      <c r="D10" s="559"/>
      <c r="E10" s="487"/>
      <c r="F10" s="559"/>
      <c r="G10" s="487"/>
      <c r="H10" s="559"/>
      <c r="I10" s="559"/>
      <c r="J10" s="559"/>
      <c r="K10" s="559"/>
      <c r="L10" s="559"/>
    </row>
    <row r="11" spans="1:13" ht="15.75" customHeight="1" x14ac:dyDescent="0.25">
      <c r="A11" s="484"/>
      <c r="B11" s="484"/>
      <c r="C11" s="488" t="s">
        <v>952</v>
      </c>
      <c r="D11" s="559"/>
      <c r="F11" s="484"/>
      <c r="G11" s="484"/>
      <c r="H11" s="559"/>
      <c r="I11" s="559"/>
      <c r="J11" s="559"/>
      <c r="K11" s="559"/>
      <c r="L11" s="559"/>
    </row>
    <row r="12" spans="1:13" ht="15.75" customHeight="1" x14ac:dyDescent="0.25">
      <c r="A12" s="484"/>
      <c r="B12" s="484"/>
      <c r="C12" s="488" t="s">
        <v>499</v>
      </c>
      <c r="D12" s="559"/>
      <c r="F12" s="484"/>
      <c r="G12" s="484"/>
      <c r="H12" s="559"/>
      <c r="I12" s="559"/>
      <c r="J12" s="559"/>
      <c r="K12" s="559"/>
      <c r="L12" s="559"/>
    </row>
    <row r="13" spans="1:13" ht="15.75" customHeight="1" x14ac:dyDescent="0.25">
      <c r="A13" s="484"/>
      <c r="B13" s="484"/>
      <c r="C13" s="488" t="s">
        <v>216</v>
      </c>
      <c r="D13" s="559"/>
      <c r="F13" s="484"/>
      <c r="G13" s="484"/>
      <c r="H13" s="559"/>
      <c r="I13" s="559"/>
      <c r="J13" s="559"/>
      <c r="K13" s="559"/>
      <c r="L13" s="559"/>
    </row>
    <row r="14" spans="1:13" ht="15.75" customHeight="1" x14ac:dyDescent="0.25">
      <c r="A14" s="484"/>
      <c r="B14" s="484"/>
      <c r="C14" s="488" t="s">
        <v>500</v>
      </c>
      <c r="D14" s="559"/>
      <c r="F14" s="484"/>
      <c r="G14" s="484"/>
      <c r="H14" s="559"/>
      <c r="I14" s="559"/>
      <c r="J14" s="559"/>
      <c r="K14" s="559"/>
      <c r="L14" s="559"/>
    </row>
    <row r="15" spans="1:13" ht="15.75" customHeight="1" x14ac:dyDescent="0.25">
      <c r="A15" s="484"/>
      <c r="B15" s="484"/>
      <c r="C15" s="488" t="s">
        <v>220</v>
      </c>
      <c r="D15" s="559"/>
      <c r="F15" s="484"/>
      <c r="G15" s="484"/>
      <c r="H15" s="559"/>
      <c r="I15" s="559"/>
      <c r="J15" s="559"/>
      <c r="K15" s="559"/>
      <c r="L15" s="559"/>
    </row>
    <row r="16" spans="1:13" ht="15.75" customHeight="1" x14ac:dyDescent="0.25">
      <c r="A16" s="484"/>
      <c r="B16" s="484"/>
      <c r="C16" s="488" t="s">
        <v>501</v>
      </c>
      <c r="D16" s="559"/>
      <c r="F16" s="484"/>
      <c r="G16" s="484"/>
      <c r="H16" s="559"/>
      <c r="I16" s="559"/>
      <c r="J16" s="559"/>
      <c r="K16" s="559"/>
      <c r="L16" s="559"/>
    </row>
    <row r="17" spans="1:12" ht="15.75" customHeight="1" x14ac:dyDescent="0.25">
      <c r="A17" s="484"/>
      <c r="B17" s="484"/>
      <c r="C17" s="488"/>
      <c r="D17" s="559"/>
      <c r="F17" s="484"/>
      <c r="G17" s="484"/>
      <c r="H17" s="559"/>
      <c r="I17" s="559"/>
      <c r="J17" s="559"/>
      <c r="K17" s="559"/>
      <c r="L17" s="559"/>
    </row>
    <row r="18" spans="1:12" ht="15" customHeight="1" x14ac:dyDescent="0.25">
      <c r="A18" s="484"/>
      <c r="B18" s="1072" t="s">
        <v>925</v>
      </c>
      <c r="C18" s="1072"/>
      <c r="D18" s="1072"/>
      <c r="E18" s="1072"/>
      <c r="F18" s="1072"/>
      <c r="G18" s="1072"/>
      <c r="H18" s="1072"/>
      <c r="I18" s="1072"/>
      <c r="J18" s="1072"/>
      <c r="K18" s="1072"/>
      <c r="L18" s="559"/>
    </row>
    <row r="19" spans="1:12" ht="15" customHeight="1" x14ac:dyDescent="0.25">
      <c r="A19" s="484"/>
      <c r="B19" s="943"/>
      <c r="C19" s="937"/>
      <c r="D19" s="937"/>
      <c r="E19" s="937"/>
      <c r="F19" s="937"/>
      <c r="G19" s="937"/>
      <c r="H19" s="937"/>
      <c r="I19" s="937"/>
      <c r="J19" s="937"/>
      <c r="K19" s="937"/>
      <c r="L19" s="559"/>
    </row>
    <row r="20" spans="1:12" ht="30" customHeight="1" x14ac:dyDescent="0.25">
      <c r="A20" s="484"/>
      <c r="B20" s="1072" t="s">
        <v>502</v>
      </c>
      <c r="C20" s="1072"/>
      <c r="D20" s="1072"/>
      <c r="E20" s="1072"/>
      <c r="F20" s="1072"/>
      <c r="G20" s="1072"/>
      <c r="H20" s="1072"/>
      <c r="I20" s="1072"/>
      <c r="J20" s="1072"/>
      <c r="K20" s="1072"/>
      <c r="L20" s="559"/>
    </row>
    <row r="21" spans="1:12" ht="30" customHeight="1" x14ac:dyDescent="0.25">
      <c r="A21" s="484"/>
      <c r="B21" s="1072" t="s">
        <v>503</v>
      </c>
      <c r="C21" s="1072"/>
      <c r="D21" s="1072"/>
      <c r="E21" s="1072"/>
      <c r="F21" s="1072"/>
      <c r="G21" s="1072"/>
      <c r="H21" s="1072"/>
      <c r="I21" s="1072"/>
      <c r="J21" s="1072"/>
      <c r="K21" s="1072"/>
      <c r="L21" s="559"/>
    </row>
    <row r="22" spans="1:12" ht="15.75" x14ac:dyDescent="0.25">
      <c r="A22" s="484"/>
      <c r="B22" s="365"/>
      <c r="C22" s="365"/>
      <c r="D22" s="365"/>
      <c r="E22" s="365"/>
      <c r="F22" s="365"/>
      <c r="G22" s="365"/>
      <c r="H22" s="559"/>
      <c r="I22" s="559"/>
      <c r="J22" s="559"/>
      <c r="K22" s="559"/>
      <c r="L22" s="559"/>
    </row>
    <row r="23" spans="1:12" ht="15.75" x14ac:dyDescent="0.25">
      <c r="A23" s="487"/>
      <c r="B23" s="1073" t="s">
        <v>242</v>
      </c>
      <c r="C23" s="1073"/>
      <c r="D23" s="1073"/>
      <c r="E23" s="1073"/>
      <c r="F23" s="562" t="s">
        <v>221</v>
      </c>
      <c r="G23" s="487"/>
      <c r="H23" s="559"/>
      <c r="I23" s="559"/>
      <c r="J23" s="559"/>
      <c r="K23" s="559"/>
      <c r="L23" s="559"/>
    </row>
    <row r="24" spans="1:12" ht="18" customHeight="1" x14ac:dyDescent="0.25">
      <c r="A24"/>
      <c r="B24"/>
      <c r="C24"/>
      <c r="D24"/>
      <c r="E24"/>
      <c r="F24"/>
      <c r="G24" s="489"/>
      <c r="H24" s="559"/>
      <c r="I24" s="559"/>
      <c r="J24" s="559"/>
      <c r="K24" s="559"/>
      <c r="L24" s="559"/>
    </row>
    <row r="25" spans="1:12" ht="15.75" x14ac:dyDescent="0.25">
      <c r="A25"/>
      <c r="B25"/>
      <c r="C25"/>
      <c r="D25"/>
      <c r="E25"/>
      <c r="F25"/>
      <c r="G25" s="365"/>
      <c r="H25" s="559"/>
      <c r="I25" s="559"/>
      <c r="J25" s="559"/>
      <c r="K25" s="559"/>
      <c r="L25" s="559"/>
    </row>
    <row r="26" spans="1:12" ht="15.75" x14ac:dyDescent="0.25">
      <c r="A26"/>
      <c r="B26"/>
      <c r="C26"/>
      <c r="D26"/>
      <c r="E26"/>
      <c r="F26"/>
      <c r="G26" s="365"/>
      <c r="H26" s="559"/>
      <c r="I26" s="559"/>
      <c r="J26" s="559"/>
      <c r="K26" s="559"/>
      <c r="L26" s="559"/>
    </row>
    <row r="27" spans="1:12" ht="15.75" x14ac:dyDescent="0.25">
      <c r="A27"/>
      <c r="B27"/>
      <c r="C27"/>
      <c r="D27"/>
      <c r="E27"/>
      <c r="F27"/>
      <c r="G27" s="365"/>
      <c r="H27" s="559"/>
      <c r="I27" s="559"/>
      <c r="J27" s="559"/>
      <c r="K27" s="559"/>
      <c r="L27" s="559"/>
    </row>
    <row r="28" spans="1:12" ht="15.75" x14ac:dyDescent="0.25">
      <c r="A28"/>
      <c r="B28"/>
      <c r="C28"/>
      <c r="D28"/>
      <c r="E28"/>
      <c r="F28"/>
      <c r="G28" s="559"/>
      <c r="H28" s="559"/>
      <c r="I28" s="559"/>
      <c r="J28" s="559"/>
      <c r="K28" s="559"/>
      <c r="L28" s="559"/>
    </row>
    <row r="29" spans="1:12" ht="15.75" x14ac:dyDescent="0.25">
      <c r="A29"/>
      <c r="B29"/>
      <c r="C29"/>
      <c r="D29"/>
      <c r="E29"/>
      <c r="F29"/>
      <c r="G29" s="559"/>
      <c r="H29" s="559"/>
      <c r="I29" s="559"/>
      <c r="J29" s="559"/>
      <c r="K29" s="559"/>
      <c r="L29" s="559"/>
    </row>
    <row r="30" spans="1:12" x14ac:dyDescent="0.25">
      <c r="A30"/>
      <c r="B30"/>
      <c r="C30"/>
      <c r="D30"/>
      <c r="E30"/>
      <c r="F30"/>
    </row>
    <row r="31" spans="1:12" x14ac:dyDescent="0.25">
      <c r="A31"/>
      <c r="B31"/>
      <c r="C31"/>
      <c r="D31"/>
      <c r="E31"/>
      <c r="F31"/>
    </row>
    <row r="32" spans="1:12" x14ac:dyDescent="0.25">
      <c r="B32"/>
      <c r="C32"/>
      <c r="D32"/>
      <c r="E32"/>
      <c r="F32"/>
    </row>
    <row r="33" spans="2:6" x14ac:dyDescent="0.25">
      <c r="B33"/>
      <c r="C33"/>
      <c r="D33"/>
      <c r="E33"/>
      <c r="F33"/>
    </row>
    <row r="34" spans="2:6" x14ac:dyDescent="0.25">
      <c r="B34"/>
      <c r="C34"/>
      <c r="D34"/>
      <c r="E34"/>
      <c r="F34"/>
    </row>
    <row r="35" spans="2:6" x14ac:dyDescent="0.25">
      <c r="B35"/>
      <c r="C35"/>
      <c r="D35"/>
      <c r="E35"/>
      <c r="F35"/>
    </row>
    <row r="36" spans="2:6" x14ac:dyDescent="0.25">
      <c r="B36"/>
      <c r="C36"/>
      <c r="D36"/>
      <c r="E36"/>
      <c r="F36"/>
    </row>
    <row r="37" spans="2:6" x14ac:dyDescent="0.25">
      <c r="B37"/>
      <c r="C37"/>
      <c r="D37"/>
      <c r="E37"/>
      <c r="F37"/>
    </row>
    <row r="38" spans="2:6" x14ac:dyDescent="0.25">
      <c r="B38"/>
      <c r="C38"/>
      <c r="D38"/>
      <c r="E38"/>
      <c r="F38"/>
    </row>
    <row r="39" spans="2:6" x14ac:dyDescent="0.25">
      <c r="B39"/>
      <c r="C39"/>
      <c r="D39"/>
      <c r="E39"/>
      <c r="F39"/>
    </row>
    <row r="40" spans="2:6" x14ac:dyDescent="0.25">
      <c r="B40"/>
      <c r="C40"/>
      <c r="D40"/>
      <c r="E40"/>
      <c r="F40"/>
    </row>
    <row r="41" spans="2:6" x14ac:dyDescent="0.25">
      <c r="B41"/>
      <c r="C41"/>
      <c r="D41"/>
      <c r="E41"/>
      <c r="F41"/>
    </row>
    <row r="42" spans="2:6" x14ac:dyDescent="0.25">
      <c r="B42"/>
      <c r="C42"/>
      <c r="D42"/>
      <c r="E42"/>
      <c r="F42"/>
    </row>
    <row r="43" spans="2:6" x14ac:dyDescent="0.25">
      <c r="B43"/>
      <c r="C43"/>
      <c r="D43"/>
      <c r="E43"/>
      <c r="F43"/>
    </row>
    <row r="44" spans="2:6" x14ac:dyDescent="0.25">
      <c r="B44"/>
      <c r="C44"/>
      <c r="D44"/>
      <c r="E44"/>
      <c r="F44"/>
    </row>
    <row r="45" spans="2:6" x14ac:dyDescent="0.25">
      <c r="B45"/>
      <c r="C45"/>
      <c r="D45"/>
      <c r="E45"/>
      <c r="F45"/>
    </row>
    <row r="46" spans="2:6" x14ac:dyDescent="0.25">
      <c r="B46"/>
      <c r="C46"/>
      <c r="D46"/>
      <c r="E46"/>
      <c r="F46"/>
    </row>
    <row r="47" spans="2:6" x14ac:dyDescent="0.25">
      <c r="B47"/>
      <c r="C47"/>
      <c r="D47"/>
      <c r="E47"/>
      <c r="F47"/>
    </row>
    <row r="48" spans="2:6" x14ac:dyDescent="0.25">
      <c r="B48"/>
      <c r="C48"/>
      <c r="D48"/>
      <c r="E48"/>
      <c r="F48"/>
    </row>
    <row r="49" spans="2:6" x14ac:dyDescent="0.25">
      <c r="B49"/>
      <c r="C49"/>
      <c r="D49"/>
      <c r="E49"/>
      <c r="F49"/>
    </row>
    <row r="50" spans="2:6" x14ac:dyDescent="0.25">
      <c r="B50"/>
      <c r="C50"/>
      <c r="D50"/>
      <c r="E50"/>
      <c r="F50"/>
    </row>
    <row r="51" spans="2:6" x14ac:dyDescent="0.25">
      <c r="B51"/>
      <c r="C51"/>
      <c r="D51"/>
      <c r="E51"/>
      <c r="F51"/>
    </row>
    <row r="52" spans="2:6" x14ac:dyDescent="0.25">
      <c r="B52"/>
      <c r="C52"/>
      <c r="D52"/>
      <c r="E52"/>
      <c r="F52"/>
    </row>
    <row r="53" spans="2:6" x14ac:dyDescent="0.25">
      <c r="B53"/>
      <c r="C53"/>
      <c r="D53"/>
      <c r="E53"/>
      <c r="F53"/>
    </row>
    <row r="54" spans="2:6" x14ac:dyDescent="0.25">
      <c r="B54"/>
      <c r="C54"/>
      <c r="D54"/>
      <c r="E54"/>
      <c r="F54"/>
    </row>
    <row r="55" spans="2:6" x14ac:dyDescent="0.25">
      <c r="B55"/>
      <c r="C55"/>
      <c r="D55"/>
      <c r="E55"/>
      <c r="F55"/>
    </row>
    <row r="56" spans="2:6" x14ac:dyDescent="0.25">
      <c r="B56"/>
      <c r="C56"/>
      <c r="D56"/>
      <c r="E56"/>
      <c r="F56"/>
    </row>
    <row r="57" spans="2:6" x14ac:dyDescent="0.25">
      <c r="B57"/>
      <c r="C57"/>
      <c r="D57"/>
      <c r="E57"/>
      <c r="F57"/>
    </row>
    <row r="58" spans="2:6" x14ac:dyDescent="0.25">
      <c r="B58"/>
      <c r="C58"/>
      <c r="D58"/>
      <c r="E58"/>
      <c r="F58"/>
    </row>
    <row r="59" spans="2:6" x14ac:dyDescent="0.25">
      <c r="B59"/>
      <c r="C59"/>
      <c r="D59"/>
      <c r="E59"/>
      <c r="F59"/>
    </row>
    <row r="60" spans="2:6" x14ac:dyDescent="0.25">
      <c r="B60"/>
      <c r="C60"/>
      <c r="D60"/>
      <c r="E60"/>
      <c r="F60"/>
    </row>
    <row r="61" spans="2:6" x14ac:dyDescent="0.25">
      <c r="B61"/>
      <c r="C61"/>
      <c r="D61"/>
      <c r="E61"/>
      <c r="F61"/>
    </row>
    <row r="62" spans="2:6" x14ac:dyDescent="0.25">
      <c r="B62"/>
      <c r="C62"/>
      <c r="D62"/>
      <c r="E62"/>
      <c r="F62"/>
    </row>
    <row r="63" spans="2:6" x14ac:dyDescent="0.25">
      <c r="B63"/>
      <c r="C63"/>
      <c r="D63"/>
      <c r="E63"/>
      <c r="F63"/>
    </row>
    <row r="64" spans="2:6" x14ac:dyDescent="0.25">
      <c r="B64"/>
      <c r="C64"/>
      <c r="D64"/>
      <c r="E64"/>
      <c r="F64"/>
    </row>
    <row r="65" spans="2:6" x14ac:dyDescent="0.25">
      <c r="B65"/>
      <c r="C65"/>
      <c r="D65"/>
      <c r="E65"/>
      <c r="F65"/>
    </row>
    <row r="66" spans="2:6" x14ac:dyDescent="0.25">
      <c r="B66"/>
      <c r="C66"/>
      <c r="D66"/>
      <c r="E66"/>
      <c r="F66"/>
    </row>
    <row r="67" spans="2:6" x14ac:dyDescent="0.25">
      <c r="B67"/>
      <c r="C67"/>
      <c r="D67"/>
      <c r="E67"/>
      <c r="F67"/>
    </row>
    <row r="68" spans="2:6" x14ac:dyDescent="0.25">
      <c r="B68"/>
      <c r="C68"/>
      <c r="D68"/>
      <c r="E68"/>
      <c r="F68"/>
    </row>
    <row r="69" spans="2:6" x14ac:dyDescent="0.25">
      <c r="B69"/>
      <c r="C69"/>
      <c r="D69"/>
      <c r="E69"/>
      <c r="F69"/>
    </row>
    <row r="70" spans="2:6" x14ac:dyDescent="0.25">
      <c r="B70"/>
      <c r="C70"/>
      <c r="D70"/>
      <c r="E70"/>
      <c r="F70"/>
    </row>
    <row r="71" spans="2:6" x14ac:dyDescent="0.25">
      <c r="B71"/>
      <c r="C71"/>
      <c r="D71"/>
      <c r="E71"/>
      <c r="F71"/>
    </row>
    <row r="72" spans="2:6" x14ac:dyDescent="0.25">
      <c r="B72"/>
      <c r="C72"/>
      <c r="D72"/>
      <c r="E72"/>
      <c r="F72"/>
    </row>
    <row r="73" spans="2:6" x14ac:dyDescent="0.25">
      <c r="B73"/>
      <c r="C73"/>
      <c r="D73"/>
      <c r="E73"/>
      <c r="F73"/>
    </row>
    <row r="74" spans="2:6" x14ac:dyDescent="0.25">
      <c r="B74"/>
      <c r="C74"/>
      <c r="D74"/>
      <c r="E74"/>
      <c r="F74"/>
    </row>
    <row r="75" spans="2:6" x14ac:dyDescent="0.25">
      <c r="B75"/>
      <c r="C75"/>
      <c r="D75"/>
      <c r="E75"/>
      <c r="F75"/>
    </row>
    <row r="76" spans="2:6" x14ac:dyDescent="0.25">
      <c r="B76"/>
      <c r="C76"/>
      <c r="D76"/>
      <c r="E76"/>
      <c r="F76"/>
    </row>
    <row r="77" spans="2:6" x14ac:dyDescent="0.25">
      <c r="B77"/>
      <c r="C77"/>
      <c r="D77"/>
      <c r="E77"/>
      <c r="F77"/>
    </row>
    <row r="78" spans="2:6" x14ac:dyDescent="0.25">
      <c r="B78"/>
      <c r="C78"/>
      <c r="D78"/>
      <c r="E78"/>
      <c r="F78"/>
    </row>
    <row r="79" spans="2:6" x14ac:dyDescent="0.25">
      <c r="B79"/>
      <c r="C79"/>
      <c r="D79"/>
      <c r="E79"/>
      <c r="F79"/>
    </row>
    <row r="80" spans="2:6" x14ac:dyDescent="0.25">
      <c r="B80"/>
      <c r="C80"/>
      <c r="D80"/>
      <c r="E80"/>
      <c r="F80"/>
    </row>
    <row r="81" spans="2:6" x14ac:dyDescent="0.25">
      <c r="B81"/>
      <c r="C81"/>
      <c r="D81"/>
      <c r="E81"/>
      <c r="F81"/>
    </row>
    <row r="82" spans="2:6" x14ac:dyDescent="0.25">
      <c r="B82"/>
      <c r="C82"/>
      <c r="D82"/>
      <c r="E82"/>
      <c r="F82"/>
    </row>
    <row r="83" spans="2:6" x14ac:dyDescent="0.25">
      <c r="B83"/>
      <c r="C83"/>
      <c r="D83"/>
      <c r="E83"/>
      <c r="F83"/>
    </row>
    <row r="84" spans="2:6" x14ac:dyDescent="0.25">
      <c r="B84"/>
      <c r="C84"/>
      <c r="D84"/>
      <c r="E84"/>
      <c r="F84"/>
    </row>
    <row r="85" spans="2:6" x14ac:dyDescent="0.25">
      <c r="B85"/>
      <c r="C85"/>
      <c r="D85"/>
      <c r="E85"/>
      <c r="F85"/>
    </row>
    <row r="86" spans="2:6" x14ac:dyDescent="0.25">
      <c r="B86"/>
      <c r="C86"/>
      <c r="D86"/>
      <c r="E86"/>
      <c r="F86"/>
    </row>
    <row r="87" spans="2:6" x14ac:dyDescent="0.25">
      <c r="B87"/>
      <c r="C87"/>
      <c r="D87"/>
      <c r="E87"/>
      <c r="F87"/>
    </row>
    <row r="88" spans="2:6" x14ac:dyDescent="0.25">
      <c r="B88"/>
      <c r="C88"/>
      <c r="D88"/>
      <c r="E88"/>
      <c r="F88"/>
    </row>
    <row r="89" spans="2:6" x14ac:dyDescent="0.25">
      <c r="B89"/>
      <c r="C89"/>
      <c r="D89"/>
      <c r="E89"/>
      <c r="F89"/>
    </row>
    <row r="90" spans="2:6" x14ac:dyDescent="0.25">
      <c r="B90"/>
      <c r="C90"/>
      <c r="D90"/>
      <c r="E90"/>
      <c r="F90"/>
    </row>
    <row r="91" spans="2:6" x14ac:dyDescent="0.25">
      <c r="B91"/>
      <c r="C91"/>
      <c r="D91"/>
      <c r="E91"/>
      <c r="F91"/>
    </row>
    <row r="92" spans="2:6" x14ac:dyDescent="0.25">
      <c r="B92"/>
      <c r="C92"/>
      <c r="D92"/>
      <c r="E92"/>
      <c r="F92"/>
    </row>
    <row r="93" spans="2:6" x14ac:dyDescent="0.25">
      <c r="B93"/>
      <c r="C93"/>
      <c r="D93"/>
      <c r="E93"/>
      <c r="F93"/>
    </row>
    <row r="94" spans="2:6" x14ac:dyDescent="0.25">
      <c r="B94"/>
      <c r="C94"/>
      <c r="D94"/>
      <c r="E94"/>
      <c r="F94"/>
    </row>
    <row r="95" spans="2:6" x14ac:dyDescent="0.25">
      <c r="B95"/>
      <c r="C95"/>
      <c r="D95"/>
      <c r="E95"/>
      <c r="F95"/>
    </row>
    <row r="96" spans="2:6" x14ac:dyDescent="0.25">
      <c r="B96"/>
      <c r="C96"/>
      <c r="D96"/>
      <c r="E96"/>
      <c r="F96"/>
    </row>
    <row r="97" spans="2:6" x14ac:dyDescent="0.25">
      <c r="B97"/>
      <c r="C97"/>
      <c r="D97"/>
      <c r="E97"/>
      <c r="F97"/>
    </row>
    <row r="98" spans="2:6" x14ac:dyDescent="0.25">
      <c r="B98"/>
      <c r="C98"/>
      <c r="D98"/>
      <c r="E98"/>
      <c r="F98"/>
    </row>
    <row r="99" spans="2:6" x14ac:dyDescent="0.25">
      <c r="B99"/>
      <c r="C99"/>
      <c r="D99"/>
      <c r="E99"/>
      <c r="F99"/>
    </row>
    <row r="100" spans="2:6" x14ac:dyDescent="0.25">
      <c r="B100"/>
      <c r="C100"/>
      <c r="D100"/>
      <c r="E100"/>
      <c r="F100"/>
    </row>
    <row r="101" spans="2:6" x14ac:dyDescent="0.25">
      <c r="B101"/>
      <c r="C101"/>
      <c r="D101"/>
      <c r="E101"/>
      <c r="F101"/>
    </row>
    <row r="102" spans="2:6" x14ac:dyDescent="0.25">
      <c r="B102"/>
      <c r="C102"/>
      <c r="D102"/>
      <c r="E102"/>
      <c r="F102"/>
    </row>
    <row r="103" spans="2:6" x14ac:dyDescent="0.25">
      <c r="B103"/>
      <c r="C103"/>
      <c r="D103"/>
      <c r="E103"/>
      <c r="F103"/>
    </row>
    <row r="104" spans="2:6" x14ac:dyDescent="0.25">
      <c r="B104"/>
      <c r="C104"/>
      <c r="D104"/>
      <c r="E104"/>
      <c r="F104"/>
    </row>
    <row r="105" spans="2:6" x14ac:dyDescent="0.25">
      <c r="B105"/>
      <c r="C105"/>
      <c r="D105"/>
      <c r="E105"/>
      <c r="F105"/>
    </row>
    <row r="106" spans="2:6" x14ac:dyDescent="0.25">
      <c r="B106"/>
      <c r="C106"/>
      <c r="D106"/>
      <c r="E106"/>
      <c r="F106"/>
    </row>
    <row r="107" spans="2:6" x14ac:dyDescent="0.25">
      <c r="B107"/>
      <c r="C107"/>
      <c r="D107"/>
      <c r="E107"/>
      <c r="F107"/>
    </row>
    <row r="108" spans="2:6" x14ac:dyDescent="0.25">
      <c r="B108"/>
      <c r="C108"/>
      <c r="D108"/>
      <c r="E108"/>
      <c r="F108"/>
    </row>
    <row r="109" spans="2:6" x14ac:dyDescent="0.25">
      <c r="B109"/>
      <c r="C109"/>
      <c r="D109"/>
      <c r="E109"/>
      <c r="F109"/>
    </row>
    <row r="110" spans="2:6" x14ac:dyDescent="0.25">
      <c r="B110"/>
      <c r="C110"/>
      <c r="D110"/>
      <c r="E110"/>
      <c r="F110"/>
    </row>
    <row r="111" spans="2:6" x14ac:dyDescent="0.25">
      <c r="B111"/>
      <c r="C111"/>
      <c r="D111"/>
      <c r="E111"/>
      <c r="F111"/>
    </row>
    <row r="112" spans="2:6" x14ac:dyDescent="0.25">
      <c r="B112"/>
      <c r="C112"/>
      <c r="D112"/>
      <c r="E112"/>
      <c r="F112"/>
    </row>
    <row r="113" spans="2:6" x14ac:dyDescent="0.25">
      <c r="B113"/>
      <c r="C113"/>
      <c r="D113"/>
      <c r="E113"/>
      <c r="F113"/>
    </row>
    <row r="114" spans="2:6" x14ac:dyDescent="0.25">
      <c r="B114"/>
      <c r="C114"/>
      <c r="D114"/>
      <c r="E114"/>
      <c r="F114"/>
    </row>
    <row r="115" spans="2:6" x14ac:dyDescent="0.25">
      <c r="B115"/>
      <c r="C115"/>
      <c r="D115"/>
      <c r="E115"/>
      <c r="F115"/>
    </row>
    <row r="116" spans="2:6" x14ac:dyDescent="0.25">
      <c r="B116"/>
      <c r="C116"/>
      <c r="D116"/>
      <c r="E116"/>
      <c r="F116"/>
    </row>
    <row r="117" spans="2:6" x14ac:dyDescent="0.25">
      <c r="B117"/>
      <c r="C117"/>
      <c r="D117"/>
      <c r="E117"/>
      <c r="F117"/>
    </row>
    <row r="118" spans="2:6" x14ac:dyDescent="0.25">
      <c r="B118"/>
      <c r="C118"/>
      <c r="D118"/>
      <c r="E118"/>
      <c r="F118"/>
    </row>
    <row r="119" spans="2:6" x14ac:dyDescent="0.25">
      <c r="B119"/>
      <c r="C119"/>
      <c r="D119"/>
      <c r="E119"/>
      <c r="F119"/>
    </row>
    <row r="120" spans="2:6" x14ac:dyDescent="0.25">
      <c r="B120"/>
      <c r="C120"/>
      <c r="D120"/>
      <c r="E120"/>
      <c r="F120"/>
    </row>
    <row r="121" spans="2:6" x14ac:dyDescent="0.25">
      <c r="B121"/>
      <c r="C121"/>
      <c r="D121"/>
      <c r="E121"/>
      <c r="F121"/>
    </row>
    <row r="122" spans="2:6" x14ac:dyDescent="0.25">
      <c r="B122"/>
      <c r="C122"/>
      <c r="D122"/>
      <c r="E122"/>
      <c r="F122"/>
    </row>
    <row r="123" spans="2:6" x14ac:dyDescent="0.25">
      <c r="B123"/>
      <c r="C123"/>
      <c r="D123"/>
      <c r="E123"/>
      <c r="F123"/>
    </row>
    <row r="124" spans="2:6" x14ac:dyDescent="0.25">
      <c r="B124"/>
      <c r="C124"/>
      <c r="D124"/>
      <c r="E124"/>
      <c r="F124"/>
    </row>
    <row r="125" spans="2:6" x14ac:dyDescent="0.25">
      <c r="B125"/>
      <c r="C125"/>
      <c r="D125"/>
      <c r="E125"/>
      <c r="F125"/>
    </row>
    <row r="126" spans="2:6" x14ac:dyDescent="0.25">
      <c r="B126"/>
      <c r="C126"/>
      <c r="D126"/>
      <c r="E126"/>
      <c r="F126"/>
    </row>
    <row r="127" spans="2:6" x14ac:dyDescent="0.25">
      <c r="B127"/>
      <c r="C127"/>
      <c r="D127"/>
      <c r="E127"/>
      <c r="F127"/>
    </row>
    <row r="128" spans="2:6" x14ac:dyDescent="0.25">
      <c r="B128"/>
      <c r="C128"/>
      <c r="D128"/>
      <c r="E128"/>
      <c r="F128"/>
    </row>
    <row r="129" spans="2:6" x14ac:dyDescent="0.25">
      <c r="B129"/>
      <c r="C129"/>
      <c r="D129"/>
      <c r="E129"/>
      <c r="F129"/>
    </row>
    <row r="130" spans="2:6" x14ac:dyDescent="0.25">
      <c r="B130"/>
      <c r="C130"/>
      <c r="D130"/>
      <c r="E130"/>
      <c r="F130"/>
    </row>
    <row r="131" spans="2:6" x14ac:dyDescent="0.25">
      <c r="B131"/>
      <c r="C131"/>
      <c r="D131"/>
      <c r="E131"/>
      <c r="F131"/>
    </row>
    <row r="132" spans="2:6" x14ac:dyDescent="0.25">
      <c r="B132"/>
      <c r="C132"/>
      <c r="D132"/>
      <c r="E132"/>
      <c r="F132"/>
    </row>
    <row r="133" spans="2:6" x14ac:dyDescent="0.25">
      <c r="B133"/>
      <c r="C133"/>
      <c r="D133"/>
      <c r="E133"/>
      <c r="F133"/>
    </row>
    <row r="134" spans="2:6" x14ac:dyDescent="0.25">
      <c r="B134"/>
      <c r="C134"/>
      <c r="D134"/>
      <c r="E134"/>
      <c r="F134"/>
    </row>
    <row r="135" spans="2:6" x14ac:dyDescent="0.25">
      <c r="B135"/>
      <c r="C135"/>
      <c r="D135"/>
      <c r="E135"/>
      <c r="F135"/>
    </row>
    <row r="136" spans="2:6" x14ac:dyDescent="0.25">
      <c r="B136"/>
      <c r="C136"/>
      <c r="D136"/>
      <c r="E136"/>
      <c r="F136"/>
    </row>
    <row r="137" spans="2:6" x14ac:dyDescent="0.25">
      <c r="B137"/>
      <c r="C137"/>
      <c r="D137"/>
      <c r="E137"/>
      <c r="F137"/>
    </row>
    <row r="138" spans="2:6" x14ac:dyDescent="0.25">
      <c r="B138"/>
      <c r="C138"/>
      <c r="D138"/>
      <c r="E138"/>
      <c r="F138"/>
    </row>
    <row r="139" spans="2:6" x14ac:dyDescent="0.25">
      <c r="B139"/>
      <c r="C139"/>
      <c r="D139"/>
      <c r="E139"/>
      <c r="F139"/>
    </row>
    <row r="140" spans="2:6" x14ac:dyDescent="0.25">
      <c r="B140"/>
      <c r="C140"/>
      <c r="D140"/>
      <c r="E140"/>
      <c r="F140"/>
    </row>
    <row r="141" spans="2:6" x14ac:dyDescent="0.25">
      <c r="B141"/>
      <c r="C141"/>
      <c r="D141"/>
      <c r="E141"/>
      <c r="F141"/>
    </row>
    <row r="142" spans="2:6" x14ac:dyDescent="0.25">
      <c r="B142"/>
      <c r="C142"/>
      <c r="D142"/>
      <c r="E142"/>
      <c r="F142"/>
    </row>
    <row r="143" spans="2:6" x14ac:dyDescent="0.25">
      <c r="B143"/>
      <c r="C143"/>
      <c r="D143"/>
      <c r="E143"/>
      <c r="F143"/>
    </row>
    <row r="144" spans="2:6" x14ac:dyDescent="0.25">
      <c r="B144"/>
      <c r="C144"/>
      <c r="D144"/>
      <c r="E144"/>
      <c r="F144"/>
    </row>
    <row r="145" spans="2:6" x14ac:dyDescent="0.25">
      <c r="B145"/>
      <c r="C145"/>
      <c r="D145"/>
      <c r="E145"/>
      <c r="F145"/>
    </row>
    <row r="146" spans="2:6" x14ac:dyDescent="0.25">
      <c r="B146"/>
      <c r="C146"/>
      <c r="D146"/>
      <c r="E146"/>
      <c r="F146"/>
    </row>
    <row r="147" spans="2:6" x14ac:dyDescent="0.25">
      <c r="B147"/>
      <c r="C147"/>
      <c r="D147"/>
      <c r="E147"/>
      <c r="F147"/>
    </row>
    <row r="148" spans="2:6" x14ac:dyDescent="0.25">
      <c r="B148"/>
      <c r="C148"/>
      <c r="D148"/>
      <c r="E148"/>
      <c r="F148"/>
    </row>
    <row r="149" spans="2:6" x14ac:dyDescent="0.25">
      <c r="B149"/>
      <c r="C149"/>
      <c r="D149"/>
      <c r="E149"/>
      <c r="F149"/>
    </row>
    <row r="150" spans="2:6" x14ac:dyDescent="0.25">
      <c r="B150"/>
      <c r="C150"/>
      <c r="D150"/>
      <c r="E150"/>
      <c r="F150"/>
    </row>
    <row r="151" spans="2:6" x14ac:dyDescent="0.25">
      <c r="B151"/>
      <c r="C151"/>
      <c r="D151"/>
      <c r="E151"/>
      <c r="F151"/>
    </row>
    <row r="152" spans="2:6" x14ac:dyDescent="0.25">
      <c r="B152"/>
      <c r="C152"/>
      <c r="D152"/>
      <c r="E152"/>
      <c r="F152"/>
    </row>
    <row r="153" spans="2:6" x14ac:dyDescent="0.25">
      <c r="B153"/>
      <c r="C153"/>
      <c r="D153"/>
      <c r="E153"/>
      <c r="F153"/>
    </row>
    <row r="154" spans="2:6" x14ac:dyDescent="0.25">
      <c r="B154"/>
      <c r="C154"/>
      <c r="D154"/>
      <c r="E154"/>
      <c r="F154"/>
    </row>
    <row r="155" spans="2:6" x14ac:dyDescent="0.25">
      <c r="B155"/>
      <c r="C155"/>
      <c r="D155"/>
      <c r="E155"/>
      <c r="F155"/>
    </row>
    <row r="156" spans="2:6" x14ac:dyDescent="0.25">
      <c r="B156"/>
      <c r="C156"/>
      <c r="D156"/>
      <c r="E156"/>
      <c r="F156"/>
    </row>
    <row r="157" spans="2:6" x14ac:dyDescent="0.25">
      <c r="B157"/>
      <c r="C157"/>
      <c r="D157"/>
      <c r="E157"/>
      <c r="F157"/>
    </row>
    <row r="158" spans="2:6" x14ac:dyDescent="0.25">
      <c r="B158"/>
      <c r="C158"/>
      <c r="D158"/>
      <c r="E158"/>
      <c r="F158"/>
    </row>
    <row r="159" spans="2:6" x14ac:dyDescent="0.25">
      <c r="B159"/>
      <c r="C159"/>
      <c r="D159"/>
      <c r="E159"/>
      <c r="F159"/>
    </row>
    <row r="160" spans="2:6" x14ac:dyDescent="0.25">
      <c r="B160"/>
      <c r="C160"/>
      <c r="D160"/>
      <c r="E160"/>
      <c r="F160"/>
    </row>
    <row r="161" spans="2:6" x14ac:dyDescent="0.25">
      <c r="B161"/>
      <c r="C161"/>
      <c r="D161"/>
      <c r="E161"/>
      <c r="F161"/>
    </row>
    <row r="162" spans="2:6" x14ac:dyDescent="0.25">
      <c r="B162"/>
      <c r="C162"/>
      <c r="D162"/>
      <c r="E162"/>
      <c r="F162"/>
    </row>
    <row r="163" spans="2:6" x14ac:dyDescent="0.25">
      <c r="B163"/>
      <c r="C163"/>
      <c r="D163"/>
      <c r="E163"/>
      <c r="F163"/>
    </row>
    <row r="164" spans="2:6" x14ac:dyDescent="0.25">
      <c r="B164"/>
      <c r="C164"/>
      <c r="D164"/>
      <c r="E164"/>
      <c r="F164"/>
    </row>
    <row r="165" spans="2:6" x14ac:dyDescent="0.25">
      <c r="B165"/>
      <c r="C165"/>
      <c r="D165"/>
      <c r="E165"/>
      <c r="F165"/>
    </row>
    <row r="166" spans="2:6" x14ac:dyDescent="0.25">
      <c r="B166"/>
      <c r="C166"/>
      <c r="D166"/>
      <c r="E166"/>
      <c r="F166"/>
    </row>
    <row r="167" spans="2:6" x14ac:dyDescent="0.25">
      <c r="B167"/>
      <c r="C167"/>
      <c r="D167"/>
      <c r="E167"/>
      <c r="F167"/>
    </row>
    <row r="168" spans="2:6" x14ac:dyDescent="0.25">
      <c r="B168"/>
      <c r="C168"/>
      <c r="D168"/>
      <c r="E168"/>
      <c r="F168"/>
    </row>
    <row r="169" spans="2:6" x14ac:dyDescent="0.25">
      <c r="B169"/>
      <c r="C169"/>
      <c r="D169"/>
      <c r="E169"/>
      <c r="F169"/>
    </row>
    <row r="170" spans="2:6" x14ac:dyDescent="0.25">
      <c r="B170"/>
      <c r="C170"/>
      <c r="D170"/>
      <c r="E170"/>
      <c r="F170"/>
    </row>
    <row r="171" spans="2:6" x14ac:dyDescent="0.25">
      <c r="B171"/>
      <c r="C171"/>
      <c r="D171"/>
      <c r="E171"/>
      <c r="F171"/>
    </row>
    <row r="172" spans="2:6" x14ac:dyDescent="0.25">
      <c r="B172"/>
      <c r="C172"/>
      <c r="D172"/>
      <c r="E172"/>
      <c r="F172"/>
    </row>
    <row r="173" spans="2:6" x14ac:dyDescent="0.25">
      <c r="B173"/>
      <c r="C173"/>
      <c r="D173"/>
      <c r="E173"/>
      <c r="F173"/>
    </row>
    <row r="174" spans="2:6" x14ac:dyDescent="0.25">
      <c r="B174"/>
      <c r="C174"/>
      <c r="D174"/>
      <c r="E174"/>
      <c r="F174"/>
    </row>
    <row r="175" spans="2:6" x14ac:dyDescent="0.25">
      <c r="B175"/>
      <c r="C175"/>
      <c r="D175"/>
      <c r="E175"/>
      <c r="F175"/>
    </row>
    <row r="176" spans="2:6" x14ac:dyDescent="0.25">
      <c r="B176"/>
      <c r="C176"/>
      <c r="D176"/>
      <c r="E176"/>
      <c r="F176"/>
    </row>
    <row r="177" spans="2:6" x14ac:dyDescent="0.25">
      <c r="B177"/>
      <c r="C177"/>
      <c r="D177"/>
      <c r="E177"/>
      <c r="F177"/>
    </row>
    <row r="178" spans="2:6" x14ac:dyDescent="0.25">
      <c r="B178"/>
      <c r="C178"/>
      <c r="D178"/>
      <c r="E178"/>
      <c r="F178"/>
    </row>
    <row r="179" spans="2:6" x14ac:dyDescent="0.25">
      <c r="B179"/>
      <c r="C179"/>
      <c r="D179"/>
      <c r="E179"/>
      <c r="F179"/>
    </row>
    <row r="180" spans="2:6" x14ac:dyDescent="0.25">
      <c r="B180"/>
      <c r="C180"/>
      <c r="D180"/>
      <c r="E180"/>
      <c r="F180"/>
    </row>
    <row r="181" spans="2:6" x14ac:dyDescent="0.25">
      <c r="B181"/>
      <c r="C181"/>
      <c r="D181"/>
      <c r="E181"/>
      <c r="F181"/>
    </row>
    <row r="182" spans="2:6" x14ac:dyDescent="0.25">
      <c r="B182"/>
      <c r="C182"/>
      <c r="D182"/>
      <c r="E182"/>
      <c r="F182"/>
    </row>
    <row r="183" spans="2:6" x14ac:dyDescent="0.25">
      <c r="B183"/>
      <c r="C183"/>
      <c r="D183"/>
      <c r="E183"/>
      <c r="F183"/>
    </row>
    <row r="184" spans="2:6" x14ac:dyDescent="0.25">
      <c r="B184"/>
      <c r="C184"/>
      <c r="D184"/>
      <c r="E184"/>
      <c r="F184"/>
    </row>
    <row r="185" spans="2:6" x14ac:dyDescent="0.25">
      <c r="B185"/>
      <c r="C185"/>
      <c r="D185"/>
      <c r="E185"/>
      <c r="F185"/>
    </row>
    <row r="186" spans="2:6" x14ac:dyDescent="0.25">
      <c r="B186"/>
      <c r="C186"/>
      <c r="D186"/>
      <c r="E186"/>
      <c r="F186"/>
    </row>
    <row r="187" spans="2:6" x14ac:dyDescent="0.25">
      <c r="B187"/>
      <c r="C187"/>
      <c r="D187"/>
      <c r="E187"/>
      <c r="F187"/>
    </row>
    <row r="188" spans="2:6" x14ac:dyDescent="0.25">
      <c r="B188"/>
      <c r="C188"/>
      <c r="D188"/>
      <c r="E188"/>
      <c r="F188"/>
    </row>
    <row r="189" spans="2:6" x14ac:dyDescent="0.25">
      <c r="B189"/>
      <c r="C189"/>
      <c r="D189"/>
      <c r="E189"/>
      <c r="F189"/>
    </row>
    <row r="190" spans="2:6" x14ac:dyDescent="0.25">
      <c r="B190"/>
      <c r="C190"/>
      <c r="D190"/>
      <c r="E190"/>
      <c r="F190"/>
    </row>
    <row r="191" spans="2:6" x14ac:dyDescent="0.25">
      <c r="B191"/>
      <c r="C191"/>
      <c r="D191"/>
      <c r="E191"/>
      <c r="F191"/>
    </row>
    <row r="192" spans="2:6" x14ac:dyDescent="0.25">
      <c r="B192"/>
      <c r="C192"/>
      <c r="D192"/>
      <c r="E192"/>
      <c r="F192"/>
    </row>
    <row r="193" spans="2:6" x14ac:dyDescent="0.25">
      <c r="B193"/>
      <c r="C193"/>
      <c r="D193"/>
      <c r="E193"/>
      <c r="F193"/>
    </row>
    <row r="194" spans="2:6" x14ac:dyDescent="0.25">
      <c r="B194"/>
      <c r="C194"/>
      <c r="D194"/>
      <c r="E194"/>
      <c r="F194"/>
    </row>
    <row r="195" spans="2:6" x14ac:dyDescent="0.25">
      <c r="B195"/>
      <c r="C195"/>
      <c r="D195"/>
      <c r="E195"/>
      <c r="F195"/>
    </row>
    <row r="196" spans="2:6" x14ac:dyDescent="0.25">
      <c r="B196"/>
      <c r="C196"/>
      <c r="D196"/>
      <c r="E196"/>
      <c r="F196"/>
    </row>
    <row r="197" spans="2:6" x14ac:dyDescent="0.25">
      <c r="B197"/>
      <c r="C197"/>
      <c r="D197"/>
      <c r="E197"/>
      <c r="F197"/>
    </row>
    <row r="198" spans="2:6" x14ac:dyDescent="0.25">
      <c r="B198"/>
      <c r="C198"/>
      <c r="D198"/>
      <c r="E198"/>
      <c r="F198"/>
    </row>
    <row r="199" spans="2:6" x14ac:dyDescent="0.25">
      <c r="B199"/>
      <c r="C199"/>
      <c r="D199"/>
      <c r="E199"/>
      <c r="F199"/>
    </row>
    <row r="200" spans="2:6" x14ac:dyDescent="0.25">
      <c r="B200"/>
      <c r="C200"/>
      <c r="D200"/>
      <c r="E200"/>
      <c r="F200"/>
    </row>
    <row r="201" spans="2:6" x14ac:dyDescent="0.25">
      <c r="B201"/>
      <c r="C201"/>
      <c r="D201"/>
      <c r="E201"/>
      <c r="F201"/>
    </row>
    <row r="202" spans="2:6" x14ac:dyDescent="0.25">
      <c r="B202"/>
      <c r="C202"/>
      <c r="D202"/>
      <c r="E202"/>
      <c r="F202"/>
    </row>
    <row r="203" spans="2:6" x14ac:dyDescent="0.25">
      <c r="B203"/>
      <c r="C203"/>
      <c r="D203"/>
      <c r="E203"/>
      <c r="F203"/>
    </row>
    <row r="204" spans="2:6" x14ac:dyDescent="0.25">
      <c r="B204"/>
      <c r="C204"/>
      <c r="D204"/>
      <c r="E204"/>
      <c r="F204"/>
    </row>
    <row r="205" spans="2:6" x14ac:dyDescent="0.25">
      <c r="B205"/>
      <c r="C205"/>
      <c r="D205"/>
      <c r="E205"/>
      <c r="F205"/>
    </row>
    <row r="206" spans="2:6" x14ac:dyDescent="0.25">
      <c r="B206"/>
      <c r="C206"/>
      <c r="D206"/>
      <c r="E206"/>
      <c r="F206"/>
    </row>
    <row r="207" spans="2:6" x14ac:dyDescent="0.25">
      <c r="B207"/>
      <c r="C207"/>
      <c r="D207"/>
      <c r="E207"/>
      <c r="F207"/>
    </row>
    <row r="208" spans="2:6" x14ac:dyDescent="0.25">
      <c r="B208"/>
      <c r="C208"/>
      <c r="D208"/>
      <c r="E208"/>
      <c r="F208"/>
    </row>
    <row r="209" spans="2:6" x14ac:dyDescent="0.25">
      <c r="B209"/>
      <c r="C209"/>
      <c r="D209"/>
      <c r="E209"/>
      <c r="F209"/>
    </row>
    <row r="210" spans="2:6" x14ac:dyDescent="0.25">
      <c r="B210"/>
      <c r="C210"/>
      <c r="D210"/>
      <c r="E210"/>
      <c r="F210"/>
    </row>
    <row r="211" spans="2:6" x14ac:dyDescent="0.25">
      <c r="B211"/>
      <c r="C211"/>
      <c r="D211"/>
      <c r="E211"/>
      <c r="F211"/>
    </row>
    <row r="212" spans="2:6" x14ac:dyDescent="0.25">
      <c r="B212"/>
      <c r="C212"/>
      <c r="D212"/>
      <c r="E212"/>
      <c r="F212"/>
    </row>
    <row r="213" spans="2:6" x14ac:dyDescent="0.25">
      <c r="B213"/>
      <c r="C213"/>
      <c r="D213"/>
      <c r="E213"/>
      <c r="F213"/>
    </row>
    <row r="214" spans="2:6" x14ac:dyDescent="0.25">
      <c r="B214"/>
      <c r="C214"/>
      <c r="D214"/>
      <c r="E214"/>
      <c r="F214"/>
    </row>
    <row r="215" spans="2:6" x14ac:dyDescent="0.25">
      <c r="B215"/>
      <c r="C215"/>
      <c r="D215"/>
      <c r="E215"/>
      <c r="F215"/>
    </row>
    <row r="216" spans="2:6" x14ac:dyDescent="0.25">
      <c r="B216"/>
      <c r="C216"/>
      <c r="D216"/>
      <c r="E216"/>
      <c r="F216"/>
    </row>
    <row r="217" spans="2:6" x14ac:dyDescent="0.25">
      <c r="B217"/>
      <c r="C217"/>
      <c r="D217"/>
      <c r="E217"/>
      <c r="F217"/>
    </row>
    <row r="218" spans="2:6" x14ac:dyDescent="0.25">
      <c r="B218"/>
      <c r="C218"/>
      <c r="D218"/>
      <c r="E218"/>
      <c r="F218"/>
    </row>
    <row r="219" spans="2:6" x14ac:dyDescent="0.25">
      <c r="B219"/>
      <c r="C219"/>
      <c r="D219"/>
      <c r="E219"/>
      <c r="F219"/>
    </row>
    <row r="220" spans="2:6" x14ac:dyDescent="0.25">
      <c r="B220"/>
      <c r="C220"/>
      <c r="D220"/>
      <c r="E220"/>
      <c r="F220"/>
    </row>
    <row r="221" spans="2:6" x14ac:dyDescent="0.25">
      <c r="B221"/>
      <c r="C221"/>
      <c r="D221"/>
      <c r="E221"/>
      <c r="F221"/>
    </row>
    <row r="222" spans="2:6" x14ac:dyDescent="0.25">
      <c r="B222"/>
      <c r="C222"/>
      <c r="D222"/>
      <c r="E222"/>
      <c r="F222"/>
    </row>
    <row r="223" spans="2:6" x14ac:dyDescent="0.25">
      <c r="B223"/>
      <c r="C223"/>
      <c r="D223"/>
      <c r="E223"/>
      <c r="F223"/>
    </row>
    <row r="224" spans="2:6" x14ac:dyDescent="0.25">
      <c r="B224"/>
      <c r="C224"/>
      <c r="D224"/>
      <c r="E224"/>
      <c r="F224"/>
    </row>
    <row r="225" spans="2:6" x14ac:dyDescent="0.25">
      <c r="B225"/>
      <c r="C225"/>
      <c r="D225"/>
      <c r="E225"/>
      <c r="F225"/>
    </row>
    <row r="226" spans="2:6" x14ac:dyDescent="0.25">
      <c r="B226"/>
      <c r="C226"/>
      <c r="D226"/>
      <c r="E226"/>
      <c r="F226"/>
    </row>
    <row r="227" spans="2:6" x14ac:dyDescent="0.25">
      <c r="B227"/>
      <c r="C227"/>
      <c r="D227"/>
      <c r="E227"/>
      <c r="F227"/>
    </row>
    <row r="228" spans="2:6" x14ac:dyDescent="0.25">
      <c r="B228"/>
      <c r="C228"/>
      <c r="D228"/>
      <c r="E228"/>
      <c r="F228"/>
    </row>
    <row r="229" spans="2:6" x14ac:dyDescent="0.25">
      <c r="B229"/>
      <c r="C229"/>
      <c r="D229"/>
      <c r="E229"/>
      <c r="F229"/>
    </row>
    <row r="230" spans="2:6" x14ac:dyDescent="0.25">
      <c r="B230"/>
      <c r="C230"/>
      <c r="D230"/>
      <c r="E230"/>
      <c r="F230"/>
    </row>
    <row r="231" spans="2:6" x14ac:dyDescent="0.25">
      <c r="B231"/>
      <c r="C231"/>
      <c r="D231"/>
      <c r="E231"/>
      <c r="F231"/>
    </row>
    <row r="232" spans="2:6" x14ac:dyDescent="0.25">
      <c r="B232"/>
      <c r="C232"/>
      <c r="D232"/>
      <c r="E232"/>
      <c r="F232"/>
    </row>
    <row r="233" spans="2:6" x14ac:dyDescent="0.25">
      <c r="B233"/>
      <c r="C233"/>
      <c r="D233"/>
      <c r="E233"/>
      <c r="F233"/>
    </row>
    <row r="234" spans="2:6" x14ac:dyDescent="0.25">
      <c r="B234"/>
      <c r="C234"/>
      <c r="D234"/>
      <c r="E234"/>
      <c r="F234"/>
    </row>
    <row r="235" spans="2:6" x14ac:dyDescent="0.25">
      <c r="B235"/>
      <c r="C235"/>
      <c r="D235"/>
      <c r="E235"/>
      <c r="F235"/>
    </row>
    <row r="236" spans="2:6" x14ac:dyDescent="0.25">
      <c r="B236"/>
      <c r="C236"/>
      <c r="D236"/>
      <c r="E236"/>
      <c r="F236"/>
    </row>
    <row r="237" spans="2:6" x14ac:dyDescent="0.25">
      <c r="B237"/>
      <c r="C237"/>
      <c r="D237"/>
      <c r="E237"/>
      <c r="F237"/>
    </row>
    <row r="238" spans="2:6" x14ac:dyDescent="0.25">
      <c r="B238"/>
      <c r="C238"/>
      <c r="D238"/>
      <c r="E238"/>
      <c r="F238"/>
    </row>
    <row r="239" spans="2:6" x14ac:dyDescent="0.25">
      <c r="B239"/>
      <c r="C239"/>
      <c r="D239"/>
      <c r="E239"/>
      <c r="F239"/>
    </row>
    <row r="240" spans="2:6" x14ac:dyDescent="0.25">
      <c r="B240"/>
      <c r="C240"/>
      <c r="D240"/>
      <c r="E240"/>
      <c r="F240"/>
    </row>
    <row r="241" spans="2:6" x14ac:dyDescent="0.25">
      <c r="B241"/>
      <c r="C241"/>
      <c r="D241"/>
      <c r="E241"/>
      <c r="F241"/>
    </row>
    <row r="242" spans="2:6" x14ac:dyDescent="0.25">
      <c r="B242"/>
      <c r="C242"/>
      <c r="D242"/>
      <c r="E242"/>
      <c r="F242"/>
    </row>
    <row r="243" spans="2:6" x14ac:dyDescent="0.25">
      <c r="B243"/>
      <c r="C243"/>
      <c r="D243"/>
      <c r="E243"/>
      <c r="F243"/>
    </row>
    <row r="244" spans="2:6" x14ac:dyDescent="0.25">
      <c r="B244"/>
      <c r="C244"/>
      <c r="D244"/>
      <c r="E244"/>
      <c r="F244"/>
    </row>
    <row r="245" spans="2:6" x14ac:dyDescent="0.25">
      <c r="B245"/>
      <c r="C245"/>
      <c r="D245"/>
      <c r="E245"/>
      <c r="F245"/>
    </row>
    <row r="246" spans="2:6" x14ac:dyDescent="0.25">
      <c r="B246"/>
      <c r="C246"/>
      <c r="D246"/>
      <c r="E246"/>
      <c r="F246"/>
    </row>
    <row r="247" spans="2:6" x14ac:dyDescent="0.25">
      <c r="B247"/>
      <c r="C247"/>
      <c r="D247"/>
      <c r="E247"/>
      <c r="F247"/>
    </row>
    <row r="248" spans="2:6" x14ac:dyDescent="0.25">
      <c r="B248"/>
      <c r="C248"/>
      <c r="D248"/>
      <c r="E248"/>
      <c r="F248"/>
    </row>
    <row r="249" spans="2:6" x14ac:dyDescent="0.25">
      <c r="B249"/>
      <c r="C249"/>
      <c r="D249"/>
      <c r="E249"/>
      <c r="F249"/>
    </row>
    <row r="250" spans="2:6" x14ac:dyDescent="0.25">
      <c r="B250"/>
      <c r="C250"/>
      <c r="D250"/>
      <c r="E250"/>
      <c r="F250"/>
    </row>
    <row r="251" spans="2:6" x14ac:dyDescent="0.25">
      <c r="B251"/>
      <c r="C251"/>
      <c r="D251"/>
      <c r="E251"/>
      <c r="F251"/>
    </row>
    <row r="252" spans="2:6" x14ac:dyDescent="0.25">
      <c r="B252"/>
      <c r="C252"/>
      <c r="D252"/>
      <c r="E252"/>
      <c r="F252"/>
    </row>
    <row r="253" spans="2:6" x14ac:dyDescent="0.25">
      <c r="B253"/>
      <c r="C253"/>
      <c r="D253"/>
      <c r="E253"/>
      <c r="F253"/>
    </row>
    <row r="254" spans="2:6" x14ac:dyDescent="0.25">
      <c r="B254"/>
      <c r="C254"/>
      <c r="D254"/>
      <c r="E254"/>
      <c r="F254"/>
    </row>
    <row r="255" spans="2:6" x14ac:dyDescent="0.25">
      <c r="B255"/>
      <c r="C255"/>
      <c r="D255"/>
      <c r="E255"/>
      <c r="F255"/>
    </row>
    <row r="256" spans="2:6" x14ac:dyDescent="0.25">
      <c r="B256"/>
      <c r="C256"/>
      <c r="D256"/>
      <c r="E256"/>
      <c r="F256"/>
    </row>
    <row r="257" spans="2:6" x14ac:dyDescent="0.25">
      <c r="B257"/>
      <c r="C257"/>
      <c r="D257"/>
      <c r="E257"/>
      <c r="F257"/>
    </row>
    <row r="258" spans="2:6" x14ac:dyDescent="0.25">
      <c r="B258"/>
      <c r="C258"/>
      <c r="D258"/>
      <c r="E258"/>
      <c r="F258"/>
    </row>
    <row r="259" spans="2:6" x14ac:dyDescent="0.25">
      <c r="B259"/>
      <c r="C259"/>
      <c r="D259"/>
      <c r="E259"/>
      <c r="F259"/>
    </row>
    <row r="260" spans="2:6" x14ac:dyDescent="0.25">
      <c r="B260"/>
      <c r="C260"/>
      <c r="D260"/>
      <c r="E260"/>
      <c r="F260"/>
    </row>
    <row r="261" spans="2:6" x14ac:dyDescent="0.25">
      <c r="B261"/>
      <c r="C261"/>
      <c r="D261"/>
      <c r="E261"/>
      <c r="F261"/>
    </row>
    <row r="262" spans="2:6" x14ac:dyDescent="0.25">
      <c r="B262"/>
      <c r="C262"/>
      <c r="D262"/>
      <c r="E262"/>
      <c r="F262"/>
    </row>
    <row r="263" spans="2:6" x14ac:dyDescent="0.25">
      <c r="B263"/>
      <c r="C263"/>
      <c r="D263"/>
      <c r="E263"/>
      <c r="F263"/>
    </row>
    <row r="264" spans="2:6" x14ac:dyDescent="0.25">
      <c r="B264"/>
      <c r="C264"/>
      <c r="D264"/>
      <c r="E264"/>
      <c r="F264"/>
    </row>
    <row r="265" spans="2:6" x14ac:dyDescent="0.25">
      <c r="B265"/>
      <c r="C265"/>
      <c r="D265"/>
      <c r="E265"/>
      <c r="F265"/>
    </row>
    <row r="266" spans="2:6" x14ac:dyDescent="0.25">
      <c r="B266"/>
      <c r="C266"/>
      <c r="D266"/>
      <c r="E266"/>
      <c r="F266"/>
    </row>
    <row r="267" spans="2:6" x14ac:dyDescent="0.25">
      <c r="B267"/>
      <c r="C267"/>
      <c r="D267"/>
      <c r="E267"/>
      <c r="F267"/>
    </row>
    <row r="268" spans="2:6" x14ac:dyDescent="0.25">
      <c r="B268"/>
      <c r="C268"/>
      <c r="D268"/>
      <c r="E268"/>
      <c r="F268"/>
    </row>
    <row r="269" spans="2:6" x14ac:dyDescent="0.25">
      <c r="B269"/>
      <c r="C269"/>
      <c r="D269"/>
      <c r="E269"/>
      <c r="F269"/>
    </row>
    <row r="270" spans="2:6" x14ac:dyDescent="0.25">
      <c r="B270"/>
      <c r="C270"/>
      <c r="D270"/>
      <c r="E270"/>
      <c r="F270"/>
    </row>
    <row r="271" spans="2:6" x14ac:dyDescent="0.25">
      <c r="B271"/>
      <c r="C271"/>
      <c r="D271"/>
      <c r="E271"/>
      <c r="F271"/>
    </row>
    <row r="272" spans="2:6" x14ac:dyDescent="0.25">
      <c r="B272"/>
      <c r="C272"/>
      <c r="D272"/>
      <c r="E272"/>
      <c r="F272"/>
    </row>
    <row r="273" spans="2:6" x14ac:dyDescent="0.25">
      <c r="B273"/>
      <c r="C273"/>
      <c r="D273"/>
      <c r="E273"/>
      <c r="F273"/>
    </row>
    <row r="274" spans="2:6" x14ac:dyDescent="0.25">
      <c r="B274"/>
      <c r="C274"/>
      <c r="D274"/>
      <c r="E274"/>
      <c r="F274"/>
    </row>
    <row r="275" spans="2:6" x14ac:dyDescent="0.25">
      <c r="B275"/>
      <c r="C275"/>
      <c r="D275"/>
      <c r="E275"/>
      <c r="F275"/>
    </row>
    <row r="276" spans="2:6" x14ac:dyDescent="0.25">
      <c r="B276"/>
      <c r="C276"/>
      <c r="D276"/>
      <c r="E276"/>
      <c r="F276"/>
    </row>
    <row r="277" spans="2:6" x14ac:dyDescent="0.25">
      <c r="B277"/>
      <c r="C277"/>
      <c r="D277"/>
      <c r="E277"/>
      <c r="F277"/>
    </row>
    <row r="278" spans="2:6" x14ac:dyDescent="0.25">
      <c r="B278"/>
      <c r="C278"/>
      <c r="D278"/>
      <c r="E278"/>
      <c r="F278"/>
    </row>
    <row r="279" spans="2:6" x14ac:dyDescent="0.25">
      <c r="B279"/>
      <c r="C279"/>
      <c r="D279"/>
      <c r="E279"/>
      <c r="F279"/>
    </row>
    <row r="280" spans="2:6" x14ac:dyDescent="0.25">
      <c r="B280"/>
      <c r="C280"/>
      <c r="D280"/>
      <c r="E280"/>
      <c r="F280"/>
    </row>
    <row r="281" spans="2:6" x14ac:dyDescent="0.25">
      <c r="B281"/>
      <c r="C281"/>
      <c r="D281"/>
      <c r="E281"/>
      <c r="F281"/>
    </row>
    <row r="282" spans="2:6" x14ac:dyDescent="0.25">
      <c r="B282"/>
      <c r="C282"/>
      <c r="D282"/>
      <c r="E282"/>
      <c r="F282"/>
    </row>
    <row r="283" spans="2:6" x14ac:dyDescent="0.25">
      <c r="B283"/>
      <c r="C283"/>
      <c r="D283"/>
      <c r="E283"/>
      <c r="F283"/>
    </row>
    <row r="284" spans="2:6" x14ac:dyDescent="0.25">
      <c r="B284"/>
      <c r="C284"/>
      <c r="D284"/>
      <c r="E284"/>
      <c r="F284"/>
    </row>
    <row r="285" spans="2:6" x14ac:dyDescent="0.25">
      <c r="B285"/>
      <c r="C285"/>
      <c r="D285"/>
      <c r="E285"/>
      <c r="F285"/>
    </row>
    <row r="286" spans="2:6" x14ac:dyDescent="0.25">
      <c r="B286"/>
      <c r="C286"/>
      <c r="D286"/>
      <c r="E286"/>
      <c r="F286"/>
    </row>
    <row r="287" spans="2:6" x14ac:dyDescent="0.25">
      <c r="B287"/>
      <c r="C287"/>
      <c r="D287"/>
      <c r="E287"/>
      <c r="F287"/>
    </row>
    <row r="288" spans="2:6" x14ac:dyDescent="0.25">
      <c r="B288"/>
      <c r="C288"/>
      <c r="D288"/>
      <c r="E288"/>
      <c r="F288"/>
    </row>
    <row r="289" spans="2:6" x14ac:dyDescent="0.25">
      <c r="B289"/>
      <c r="C289"/>
      <c r="D289"/>
      <c r="E289"/>
      <c r="F289"/>
    </row>
    <row r="290" spans="2:6" x14ac:dyDescent="0.25">
      <c r="B290"/>
      <c r="C290"/>
      <c r="D290"/>
      <c r="E290"/>
      <c r="F290"/>
    </row>
    <row r="291" spans="2:6" x14ac:dyDescent="0.25">
      <c r="B291"/>
      <c r="C291"/>
      <c r="D291"/>
      <c r="E291"/>
      <c r="F291"/>
    </row>
    <row r="292" spans="2:6" x14ac:dyDescent="0.25">
      <c r="B292"/>
      <c r="C292"/>
      <c r="D292"/>
      <c r="E292"/>
      <c r="F292"/>
    </row>
    <row r="293" spans="2:6" x14ac:dyDescent="0.25">
      <c r="B293"/>
      <c r="C293"/>
      <c r="D293"/>
      <c r="E293"/>
      <c r="F293"/>
    </row>
    <row r="294" spans="2:6" x14ac:dyDescent="0.25">
      <c r="B294"/>
      <c r="C294"/>
      <c r="D294"/>
      <c r="E294"/>
      <c r="F294"/>
    </row>
    <row r="295" spans="2:6" x14ac:dyDescent="0.25">
      <c r="B295"/>
      <c r="C295"/>
      <c r="D295"/>
      <c r="E295"/>
      <c r="F295"/>
    </row>
    <row r="296" spans="2:6" x14ac:dyDescent="0.25">
      <c r="B296"/>
      <c r="C296"/>
      <c r="D296"/>
      <c r="E296"/>
      <c r="F296"/>
    </row>
    <row r="297" spans="2:6" x14ac:dyDescent="0.25">
      <c r="B297"/>
      <c r="C297"/>
      <c r="D297"/>
      <c r="E297"/>
      <c r="F297"/>
    </row>
    <row r="298" spans="2:6" x14ac:dyDescent="0.25">
      <c r="B298"/>
      <c r="C298"/>
      <c r="D298"/>
      <c r="E298"/>
      <c r="F298"/>
    </row>
    <row r="299" spans="2:6" x14ac:dyDescent="0.25">
      <c r="B299"/>
      <c r="C299"/>
      <c r="D299"/>
      <c r="E299"/>
      <c r="F299"/>
    </row>
    <row r="300" spans="2:6" x14ac:dyDescent="0.25">
      <c r="B300"/>
      <c r="C300"/>
      <c r="D300"/>
      <c r="E300"/>
      <c r="F300"/>
    </row>
    <row r="301" spans="2:6" x14ac:dyDescent="0.25">
      <c r="B301"/>
      <c r="C301"/>
      <c r="D301"/>
      <c r="E301"/>
      <c r="F301"/>
    </row>
    <row r="302" spans="2:6" x14ac:dyDescent="0.25">
      <c r="B302"/>
      <c r="C302"/>
      <c r="D302"/>
      <c r="E302"/>
      <c r="F302"/>
    </row>
    <row r="303" spans="2:6" x14ac:dyDescent="0.25">
      <c r="B303"/>
      <c r="C303"/>
      <c r="D303"/>
      <c r="E303"/>
      <c r="F303"/>
    </row>
    <row r="304" spans="2:6" x14ac:dyDescent="0.25">
      <c r="B304"/>
      <c r="C304"/>
      <c r="D304"/>
      <c r="E304"/>
      <c r="F304"/>
    </row>
    <row r="305" spans="2:6" x14ac:dyDescent="0.25">
      <c r="B305"/>
      <c r="C305"/>
      <c r="D305"/>
      <c r="E305"/>
      <c r="F305"/>
    </row>
    <row r="306" spans="2:6" x14ac:dyDescent="0.25">
      <c r="B306"/>
      <c r="C306"/>
      <c r="D306"/>
      <c r="E306"/>
      <c r="F306"/>
    </row>
    <row r="307" spans="2:6" x14ac:dyDescent="0.25">
      <c r="B307"/>
      <c r="C307"/>
      <c r="D307"/>
      <c r="E307"/>
      <c r="F307"/>
    </row>
    <row r="308" spans="2:6" x14ac:dyDescent="0.25">
      <c r="B308"/>
      <c r="C308"/>
      <c r="D308"/>
      <c r="E308"/>
      <c r="F308"/>
    </row>
    <row r="309" spans="2:6" x14ac:dyDescent="0.25">
      <c r="B309"/>
      <c r="C309"/>
      <c r="D309"/>
      <c r="E309"/>
      <c r="F309"/>
    </row>
    <row r="310" spans="2:6" x14ac:dyDescent="0.25">
      <c r="B310"/>
      <c r="C310"/>
      <c r="D310"/>
      <c r="E310"/>
      <c r="F310"/>
    </row>
    <row r="311" spans="2:6" x14ac:dyDescent="0.25">
      <c r="B311"/>
      <c r="C311"/>
      <c r="D311"/>
      <c r="E311"/>
      <c r="F311"/>
    </row>
    <row r="312" spans="2:6" x14ac:dyDescent="0.25">
      <c r="B312"/>
      <c r="C312"/>
      <c r="D312"/>
      <c r="E312"/>
      <c r="F312"/>
    </row>
    <row r="313" spans="2:6" x14ac:dyDescent="0.25">
      <c r="B313"/>
      <c r="C313"/>
      <c r="D313"/>
      <c r="E313"/>
      <c r="F313"/>
    </row>
    <row r="314" spans="2:6" x14ac:dyDescent="0.25">
      <c r="B314"/>
      <c r="C314"/>
      <c r="D314"/>
      <c r="E314"/>
      <c r="F314"/>
    </row>
    <row r="315" spans="2:6" x14ac:dyDescent="0.25">
      <c r="B315"/>
      <c r="C315"/>
      <c r="D315"/>
      <c r="E315"/>
      <c r="F315"/>
    </row>
    <row r="316" spans="2:6" x14ac:dyDescent="0.25">
      <c r="B316"/>
      <c r="C316"/>
      <c r="D316"/>
      <c r="E316"/>
      <c r="F316"/>
    </row>
    <row r="317" spans="2:6" x14ac:dyDescent="0.25">
      <c r="B317"/>
      <c r="C317"/>
      <c r="D317"/>
      <c r="E317"/>
      <c r="F317"/>
    </row>
    <row r="318" spans="2:6" x14ac:dyDescent="0.25">
      <c r="B318"/>
      <c r="C318"/>
      <c r="D318"/>
      <c r="E318"/>
      <c r="F318"/>
    </row>
    <row r="319" spans="2:6" x14ac:dyDescent="0.25">
      <c r="B319"/>
      <c r="C319"/>
      <c r="D319"/>
      <c r="E319"/>
      <c r="F319"/>
    </row>
    <row r="320" spans="2:6" x14ac:dyDescent="0.25">
      <c r="B320"/>
      <c r="C320"/>
      <c r="D320"/>
      <c r="E320"/>
      <c r="F320"/>
    </row>
    <row r="321" spans="2:6" x14ac:dyDescent="0.25">
      <c r="B321"/>
      <c r="C321"/>
      <c r="D321"/>
      <c r="E321"/>
      <c r="F321"/>
    </row>
    <row r="322" spans="2:6" x14ac:dyDescent="0.25">
      <c r="B322"/>
      <c r="C322"/>
      <c r="D322"/>
      <c r="E322"/>
      <c r="F322"/>
    </row>
    <row r="323" spans="2:6" x14ac:dyDescent="0.25">
      <c r="B323"/>
      <c r="C323"/>
      <c r="D323"/>
      <c r="E323"/>
      <c r="F323"/>
    </row>
    <row r="324" spans="2:6" x14ac:dyDescent="0.25">
      <c r="B324"/>
      <c r="C324"/>
      <c r="D324"/>
      <c r="E324"/>
      <c r="F324"/>
    </row>
    <row r="325" spans="2:6" x14ac:dyDescent="0.25">
      <c r="B325"/>
      <c r="C325"/>
      <c r="D325"/>
      <c r="E325"/>
      <c r="F325"/>
    </row>
    <row r="326" spans="2:6" x14ac:dyDescent="0.25">
      <c r="B326"/>
      <c r="C326"/>
      <c r="D326"/>
      <c r="E326"/>
      <c r="F326"/>
    </row>
    <row r="327" spans="2:6" x14ac:dyDescent="0.25">
      <c r="B327"/>
      <c r="C327"/>
      <c r="D327"/>
      <c r="E327"/>
      <c r="F327"/>
    </row>
    <row r="328" spans="2:6" x14ac:dyDescent="0.25">
      <c r="B328"/>
      <c r="C328"/>
      <c r="D328"/>
      <c r="E328"/>
      <c r="F328"/>
    </row>
    <row r="329" spans="2:6" x14ac:dyDescent="0.25">
      <c r="B329"/>
      <c r="C329"/>
      <c r="D329"/>
      <c r="E329"/>
      <c r="F329"/>
    </row>
    <row r="330" spans="2:6" x14ac:dyDescent="0.25">
      <c r="B330"/>
      <c r="C330"/>
      <c r="D330"/>
      <c r="E330"/>
      <c r="F330"/>
    </row>
    <row r="331" spans="2:6" x14ac:dyDescent="0.25">
      <c r="B331"/>
      <c r="C331"/>
      <c r="D331"/>
      <c r="E331"/>
      <c r="F331"/>
    </row>
    <row r="332" spans="2:6" x14ac:dyDescent="0.25">
      <c r="B332"/>
      <c r="C332"/>
      <c r="D332"/>
      <c r="E332"/>
      <c r="F332"/>
    </row>
    <row r="333" spans="2:6" x14ac:dyDescent="0.25">
      <c r="B333"/>
      <c r="C333"/>
      <c r="D333"/>
      <c r="E333"/>
      <c r="F333"/>
    </row>
    <row r="334" spans="2:6" x14ac:dyDescent="0.25">
      <c r="B334"/>
      <c r="C334"/>
      <c r="D334"/>
      <c r="E334"/>
      <c r="F334"/>
    </row>
    <row r="335" spans="2:6" x14ac:dyDescent="0.25">
      <c r="B335"/>
      <c r="C335"/>
      <c r="D335"/>
      <c r="E335"/>
      <c r="F335"/>
    </row>
    <row r="336" spans="2:6" x14ac:dyDescent="0.25">
      <c r="B336"/>
      <c r="C336"/>
      <c r="D336"/>
      <c r="E336"/>
      <c r="F336"/>
    </row>
    <row r="337" spans="2:6" x14ac:dyDescent="0.25">
      <c r="B337"/>
      <c r="C337"/>
      <c r="D337"/>
      <c r="E337"/>
      <c r="F337"/>
    </row>
    <row r="338" spans="2:6" x14ac:dyDescent="0.25">
      <c r="B338"/>
      <c r="C338"/>
      <c r="D338"/>
      <c r="E338"/>
      <c r="F338"/>
    </row>
    <row r="339" spans="2:6" x14ac:dyDescent="0.25">
      <c r="B339"/>
      <c r="C339"/>
      <c r="D339"/>
      <c r="E339"/>
      <c r="F339"/>
    </row>
    <row r="340" spans="2:6" x14ac:dyDescent="0.25">
      <c r="B340"/>
      <c r="C340"/>
      <c r="D340"/>
      <c r="E340"/>
      <c r="F340"/>
    </row>
    <row r="341" spans="2:6" x14ac:dyDescent="0.25">
      <c r="B341"/>
      <c r="C341"/>
      <c r="D341"/>
      <c r="E341"/>
      <c r="F341"/>
    </row>
    <row r="342" spans="2:6" x14ac:dyDescent="0.25">
      <c r="B342"/>
      <c r="C342"/>
      <c r="D342"/>
      <c r="E342"/>
      <c r="F342"/>
    </row>
    <row r="343" spans="2:6" x14ac:dyDescent="0.25">
      <c r="B343"/>
      <c r="C343"/>
      <c r="D343"/>
      <c r="E343"/>
      <c r="F343"/>
    </row>
    <row r="344" spans="2:6" x14ac:dyDescent="0.25">
      <c r="B344"/>
      <c r="C344"/>
      <c r="D344"/>
      <c r="E344"/>
      <c r="F344"/>
    </row>
    <row r="345" spans="2:6" x14ac:dyDescent="0.25">
      <c r="B345"/>
      <c r="C345"/>
      <c r="D345"/>
      <c r="E345"/>
      <c r="F345"/>
    </row>
    <row r="346" spans="2:6" x14ac:dyDescent="0.25">
      <c r="B346"/>
      <c r="C346"/>
      <c r="D346"/>
      <c r="E346"/>
      <c r="F346"/>
    </row>
    <row r="347" spans="2:6" x14ac:dyDescent="0.25">
      <c r="B347"/>
      <c r="C347"/>
      <c r="D347"/>
      <c r="E347"/>
      <c r="F347"/>
    </row>
    <row r="348" spans="2:6" x14ac:dyDescent="0.25">
      <c r="B348"/>
      <c r="C348"/>
      <c r="D348"/>
      <c r="E348"/>
      <c r="F348"/>
    </row>
    <row r="349" spans="2:6" x14ac:dyDescent="0.25">
      <c r="B349"/>
      <c r="C349"/>
      <c r="D349"/>
      <c r="E349"/>
      <c r="F349"/>
    </row>
    <row r="350" spans="2:6" x14ac:dyDescent="0.25">
      <c r="B350"/>
      <c r="C350"/>
      <c r="D350"/>
      <c r="E350"/>
      <c r="F350"/>
    </row>
    <row r="351" spans="2:6" x14ac:dyDescent="0.25">
      <c r="B351"/>
      <c r="C351"/>
      <c r="D351"/>
      <c r="E351"/>
      <c r="F351"/>
    </row>
    <row r="352" spans="2:6" x14ac:dyDescent="0.25">
      <c r="B352"/>
      <c r="C352"/>
      <c r="D352"/>
      <c r="E352"/>
      <c r="F352"/>
    </row>
    <row r="353" spans="2:6" x14ac:dyDescent="0.25">
      <c r="B353"/>
      <c r="C353"/>
      <c r="D353"/>
      <c r="E353"/>
      <c r="F353"/>
    </row>
    <row r="354" spans="2:6" x14ac:dyDescent="0.25">
      <c r="B354"/>
      <c r="C354"/>
      <c r="D354"/>
      <c r="E354"/>
      <c r="F354"/>
    </row>
    <row r="355" spans="2:6" x14ac:dyDescent="0.25">
      <c r="B355"/>
      <c r="C355"/>
      <c r="D355"/>
      <c r="E355"/>
      <c r="F355"/>
    </row>
    <row r="356" spans="2:6" x14ac:dyDescent="0.25">
      <c r="B356"/>
      <c r="C356"/>
      <c r="D356"/>
      <c r="E356"/>
      <c r="F356"/>
    </row>
    <row r="357" spans="2:6" x14ac:dyDescent="0.25">
      <c r="B357"/>
      <c r="C357"/>
      <c r="D357"/>
      <c r="E357"/>
      <c r="F357"/>
    </row>
    <row r="358" spans="2:6" x14ac:dyDescent="0.25">
      <c r="B358"/>
      <c r="C358"/>
      <c r="D358"/>
      <c r="E358"/>
      <c r="F358"/>
    </row>
    <row r="359" spans="2:6" x14ac:dyDescent="0.25">
      <c r="B359"/>
      <c r="C359"/>
      <c r="D359"/>
      <c r="E359"/>
      <c r="F359"/>
    </row>
    <row r="360" spans="2:6" x14ac:dyDescent="0.25">
      <c r="B360"/>
      <c r="C360"/>
      <c r="D360"/>
      <c r="E360"/>
      <c r="F360"/>
    </row>
    <row r="361" spans="2:6" x14ac:dyDescent="0.25">
      <c r="B361"/>
      <c r="C361"/>
      <c r="D361"/>
      <c r="E361"/>
      <c r="F361"/>
    </row>
    <row r="362" spans="2:6" x14ac:dyDescent="0.25">
      <c r="B362"/>
      <c r="C362"/>
      <c r="D362"/>
      <c r="E362"/>
      <c r="F362"/>
    </row>
    <row r="363" spans="2:6" x14ac:dyDescent="0.25">
      <c r="B363"/>
      <c r="C363"/>
      <c r="D363"/>
      <c r="E363"/>
      <c r="F363"/>
    </row>
    <row r="364" spans="2:6" x14ac:dyDescent="0.25">
      <c r="B364"/>
      <c r="C364"/>
      <c r="D364"/>
      <c r="E364"/>
      <c r="F364"/>
    </row>
    <row r="365" spans="2:6" x14ac:dyDescent="0.25">
      <c r="B365"/>
      <c r="C365"/>
      <c r="D365"/>
      <c r="E365"/>
      <c r="F365"/>
    </row>
    <row r="366" spans="2:6" x14ac:dyDescent="0.25">
      <c r="B366"/>
      <c r="C366"/>
      <c r="D366"/>
      <c r="E366"/>
      <c r="F366"/>
    </row>
    <row r="367" spans="2:6" x14ac:dyDescent="0.25">
      <c r="B367"/>
      <c r="C367"/>
      <c r="D367"/>
      <c r="E367"/>
      <c r="F367"/>
    </row>
    <row r="368" spans="2:6" x14ac:dyDescent="0.25">
      <c r="B368"/>
      <c r="C368"/>
      <c r="D368"/>
      <c r="E368"/>
      <c r="F368"/>
    </row>
    <row r="369" spans="2:6" x14ac:dyDescent="0.25">
      <c r="B369"/>
      <c r="C369"/>
      <c r="D369"/>
      <c r="E369"/>
      <c r="F369"/>
    </row>
    <row r="370" spans="2:6" x14ac:dyDescent="0.25">
      <c r="B370"/>
      <c r="C370"/>
      <c r="D370"/>
      <c r="E370"/>
      <c r="F370"/>
    </row>
    <row r="371" spans="2:6" x14ac:dyDescent="0.25">
      <c r="B371"/>
      <c r="C371"/>
      <c r="D371"/>
      <c r="E371"/>
      <c r="F371"/>
    </row>
    <row r="372" spans="2:6" x14ac:dyDescent="0.25">
      <c r="B372"/>
      <c r="C372"/>
      <c r="D372"/>
      <c r="E372"/>
      <c r="F372"/>
    </row>
    <row r="373" spans="2:6" x14ac:dyDescent="0.25">
      <c r="B373"/>
      <c r="C373"/>
      <c r="D373"/>
      <c r="E373"/>
      <c r="F373"/>
    </row>
    <row r="374" spans="2:6" x14ac:dyDescent="0.25">
      <c r="B374"/>
      <c r="C374"/>
      <c r="D374"/>
      <c r="E374"/>
      <c r="F374"/>
    </row>
    <row r="375" spans="2:6" x14ac:dyDescent="0.25">
      <c r="B375"/>
      <c r="C375"/>
      <c r="D375"/>
      <c r="E375"/>
      <c r="F375"/>
    </row>
    <row r="376" spans="2:6" x14ac:dyDescent="0.25">
      <c r="B376"/>
      <c r="C376"/>
      <c r="D376"/>
      <c r="E376"/>
      <c r="F376"/>
    </row>
    <row r="377" spans="2:6" x14ac:dyDescent="0.25">
      <c r="B377"/>
      <c r="C377"/>
      <c r="D377"/>
      <c r="E377"/>
      <c r="F377"/>
    </row>
    <row r="378" spans="2:6" x14ac:dyDescent="0.25">
      <c r="B378"/>
      <c r="C378"/>
      <c r="D378"/>
      <c r="E378"/>
      <c r="F378"/>
    </row>
    <row r="379" spans="2:6" x14ac:dyDescent="0.25">
      <c r="B379"/>
      <c r="C379"/>
      <c r="D379"/>
      <c r="E379"/>
      <c r="F379"/>
    </row>
    <row r="380" spans="2:6" x14ac:dyDescent="0.25">
      <c r="B380"/>
      <c r="C380"/>
      <c r="D380"/>
      <c r="E380"/>
      <c r="F380"/>
    </row>
    <row r="381" spans="2:6" x14ac:dyDescent="0.25">
      <c r="B381"/>
      <c r="C381"/>
      <c r="D381"/>
      <c r="E381"/>
      <c r="F381"/>
    </row>
    <row r="382" spans="2:6" x14ac:dyDescent="0.25">
      <c r="B382"/>
      <c r="C382"/>
      <c r="D382"/>
      <c r="E382"/>
      <c r="F382"/>
    </row>
    <row r="383" spans="2:6" x14ac:dyDescent="0.25">
      <c r="B383"/>
      <c r="C383"/>
      <c r="D383"/>
      <c r="E383"/>
      <c r="F383"/>
    </row>
    <row r="384" spans="2:6" x14ac:dyDescent="0.25">
      <c r="B384"/>
      <c r="C384"/>
      <c r="D384"/>
      <c r="E384"/>
      <c r="F384"/>
    </row>
    <row r="385" spans="2:6" x14ac:dyDescent="0.25">
      <c r="B385"/>
      <c r="C385"/>
      <c r="D385"/>
      <c r="E385"/>
      <c r="F385"/>
    </row>
    <row r="386" spans="2:6" x14ac:dyDescent="0.25">
      <c r="B386"/>
      <c r="C386"/>
      <c r="D386"/>
      <c r="E386"/>
      <c r="F386"/>
    </row>
    <row r="387" spans="2:6" x14ac:dyDescent="0.25">
      <c r="B387"/>
      <c r="C387"/>
      <c r="D387"/>
      <c r="E387"/>
      <c r="F387"/>
    </row>
    <row r="388" spans="2:6" x14ac:dyDescent="0.25">
      <c r="B388"/>
      <c r="C388"/>
      <c r="D388"/>
      <c r="E388"/>
      <c r="F388"/>
    </row>
  </sheetData>
  <sheetProtection algorithmName="SHA-512" hashValue="Yy0YFHs74/ikPfIbq7QJsxpIk/mMfTysNNdvaDREk7veNVYhP9Yuq+xLKTFKxSKF1OuX1eGUFch+4GkQlGuKtA==" saltValue="W00J/F8xLouvpZiK0bP7zQ==" spinCount="100000" sheet="1" scenarios="1" formatCells="0" formatColumns="0" formatRows="0" sort="0" autoFilter="0" pivotTables="0"/>
  <mergeCells count="5">
    <mergeCell ref="B20:K20"/>
    <mergeCell ref="B23:E23"/>
    <mergeCell ref="B21:K21"/>
    <mergeCell ref="B18:K18"/>
    <mergeCell ref="B7:K7"/>
  </mergeCells>
  <hyperlinks>
    <hyperlink ref="F5" r:id="rId1" display="Scottish Fire and Rescue Service Fire Safety and Organisational Statistics, Scotland, 2015-16"/>
    <hyperlink ref="A5:G5" r:id="rId2" display="Scottish Fire and Rescue Service Fire Safety and Organisational Statistics, Scotland"/>
    <hyperlink ref="F23" r:id="rId3"/>
  </hyperlinks>
  <pageMargins left="0.7" right="0.7" top="0.75" bottom="0.75" header="0.3" footer="0.3"/>
  <pageSetup paperSize="9" scale="72"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49"/>
  <sheetViews>
    <sheetView showGridLines="0" workbookViewId="0">
      <pane ySplit="2" topLeftCell="A3" activePane="bottomLeft" state="frozen"/>
      <selection pane="bottomLeft" sqref="A1:C1"/>
    </sheetView>
  </sheetViews>
  <sheetFormatPr defaultRowHeight="15" x14ac:dyDescent="0.25"/>
  <cols>
    <col min="1" max="1" width="18.5703125" customWidth="1"/>
    <col min="2" max="2" width="23.140625" customWidth="1"/>
    <col min="3" max="9" width="14" customWidth="1"/>
  </cols>
  <sheetData>
    <row r="1" spans="1:9" ht="15.75" x14ac:dyDescent="0.25">
      <c r="A1" s="1077" t="s">
        <v>590</v>
      </c>
      <c r="B1" s="1077"/>
      <c r="C1" s="1077"/>
    </row>
    <row r="2" spans="1:9" ht="15.75" x14ac:dyDescent="0.25">
      <c r="A2" s="772" t="s">
        <v>578</v>
      </c>
      <c r="B2" s="774"/>
      <c r="C2" s="774"/>
    </row>
    <row r="3" spans="1:9" ht="15.75" x14ac:dyDescent="0.25">
      <c r="D3" s="242"/>
      <c r="E3" s="242"/>
      <c r="F3" s="242"/>
    </row>
    <row r="4" spans="1:9" ht="15.75" x14ac:dyDescent="0.25">
      <c r="A4" s="1078" t="s">
        <v>591</v>
      </c>
      <c r="B4" s="1078"/>
      <c r="C4" s="1078"/>
      <c r="D4" s="1078"/>
      <c r="E4" s="1078"/>
      <c r="F4" s="1078"/>
    </row>
    <row r="5" spans="1:9" ht="15.75" x14ac:dyDescent="0.25">
      <c r="A5" t="s">
        <v>363</v>
      </c>
      <c r="B5" t="s">
        <v>714</v>
      </c>
      <c r="C5" s="777"/>
      <c r="D5" s="777"/>
      <c r="E5" s="777"/>
      <c r="F5" s="777"/>
    </row>
    <row r="6" spans="1:9" ht="15.75" x14ac:dyDescent="0.25">
      <c r="A6" t="s">
        <v>364</v>
      </c>
      <c r="B6" t="s">
        <v>366</v>
      </c>
      <c r="C6" s="777"/>
      <c r="D6" s="777"/>
      <c r="E6" s="777"/>
      <c r="F6" s="777"/>
    </row>
    <row r="7" spans="1:9" ht="15.75" x14ac:dyDescent="0.25">
      <c r="A7" t="s">
        <v>365</v>
      </c>
      <c r="B7" t="s">
        <v>367</v>
      </c>
      <c r="C7" s="777"/>
      <c r="D7" s="777"/>
      <c r="E7" s="777"/>
      <c r="F7" s="777"/>
    </row>
    <row r="8" spans="1:9" ht="15.75" x14ac:dyDescent="0.25">
      <c r="C8" s="980"/>
      <c r="D8" s="980"/>
      <c r="E8" s="980"/>
      <c r="F8" s="980"/>
    </row>
    <row r="9" spans="1:9" ht="15.75" x14ac:dyDescent="0.25">
      <c r="A9" s="777" t="s">
        <v>1</v>
      </c>
      <c r="B9" s="777"/>
      <c r="C9" s="777"/>
      <c r="D9" s="777"/>
      <c r="F9" s="777"/>
    </row>
    <row r="10" spans="1:9" x14ac:dyDescent="0.25">
      <c r="A10" t="str">
        <f>'h13'!$C$3</f>
        <v>2019-20</v>
      </c>
      <c r="B10" s="248"/>
      <c r="C10" s="249"/>
      <c r="D10" s="249"/>
      <c r="E10" s="249"/>
      <c r="F10" s="551" t="s">
        <v>6</v>
      </c>
      <c r="G10" s="249"/>
      <c r="H10" s="249"/>
      <c r="I10" s="797" t="s">
        <v>7</v>
      </c>
    </row>
    <row r="11" spans="1:9" s="689" customFormat="1" ht="26.25" x14ac:dyDescent="0.25">
      <c r="A11" s="795" t="s">
        <v>515</v>
      </c>
      <c r="B11" s="795" t="s">
        <v>30</v>
      </c>
      <c r="C11" s="261" t="s">
        <v>119</v>
      </c>
      <c r="D11" s="261" t="s">
        <v>28</v>
      </c>
      <c r="E11" s="261" t="s">
        <v>29</v>
      </c>
      <c r="F11" s="796" t="s">
        <v>26</v>
      </c>
      <c r="G11" s="798" t="s">
        <v>119</v>
      </c>
      <c r="H11" s="796" t="s">
        <v>28</v>
      </c>
      <c r="I11" s="796" t="s">
        <v>29</v>
      </c>
    </row>
    <row r="12" spans="1:9" ht="18" customHeight="1" x14ac:dyDescent="0.25">
      <c r="A12" s="576" t="s">
        <v>301</v>
      </c>
      <c r="B12" s="577" t="s">
        <v>31</v>
      </c>
      <c r="C12" s="61">
        <f>IFERROR(GETPIVOTDATA("Sum of Wholetime",'h13'!$A$5,"Council",B12),0)</f>
        <v>3</v>
      </c>
      <c r="D12" s="61">
        <f>IFERROR(GETPIVOTDATA("Sum of Retained",'h13'!$A$5,"Council",B12),0)</f>
        <v>1</v>
      </c>
      <c r="E12" s="61">
        <f>IFERROR(GETPIVOTDATA("Sum of Volunteer",'h13'!$A$5,"Council",B12),0)</f>
        <v>0</v>
      </c>
      <c r="F12" s="251">
        <f t="shared" ref="F12:F43" si="0">SUM(C12:E12)</f>
        <v>4</v>
      </c>
      <c r="G12" s="799">
        <f t="shared" ref="G12:G44" si="1">C12/$F12</f>
        <v>0.75</v>
      </c>
      <c r="H12" s="380">
        <f t="shared" ref="H12:H44" si="2">D12/$F12</f>
        <v>0.25</v>
      </c>
      <c r="I12" s="380">
        <f t="shared" ref="I12:I44" si="3">E12/$F12</f>
        <v>0</v>
      </c>
    </row>
    <row r="13" spans="1:9" x14ac:dyDescent="0.25">
      <c r="A13" s="109" t="s">
        <v>302</v>
      </c>
      <c r="B13" s="64" t="s">
        <v>32</v>
      </c>
      <c r="C13" s="61">
        <f>IFERROR(GETPIVOTDATA("Sum of Wholetime",'h13'!$A$5,"Council",B13),0)</f>
        <v>1</v>
      </c>
      <c r="D13" s="61">
        <f>IFERROR(GETPIVOTDATA("Sum of Retained",'h13'!$A$5,"Council",B13),0)</f>
        <v>23</v>
      </c>
      <c r="E13" s="61">
        <f>IFERROR(GETPIVOTDATA("Sum of Volunteer",'h13'!$A$5,"Council",B13),0)</f>
        <v>0</v>
      </c>
      <c r="F13" s="108">
        <f t="shared" si="0"/>
        <v>24</v>
      </c>
      <c r="G13" s="799">
        <f t="shared" si="1"/>
        <v>4.1666666666666664E-2</v>
      </c>
      <c r="H13" s="380">
        <f t="shared" si="2"/>
        <v>0.95833333333333337</v>
      </c>
      <c r="I13" s="380">
        <f t="shared" si="3"/>
        <v>0</v>
      </c>
    </row>
    <row r="14" spans="1:9" x14ac:dyDescent="0.25">
      <c r="A14" s="109" t="s">
        <v>308</v>
      </c>
      <c r="B14" s="64" t="s">
        <v>33</v>
      </c>
      <c r="C14" s="61">
        <f>IFERROR(GETPIVOTDATA("Sum of Wholetime",'h13'!$A$5,"Council",B14),0)</f>
        <v>1</v>
      </c>
      <c r="D14" s="61">
        <f>IFERROR(GETPIVOTDATA("Sum of Retained",'h13'!$A$5,"Council",B14),0)</f>
        <v>5</v>
      </c>
      <c r="E14" s="61">
        <f>IFERROR(GETPIVOTDATA("Sum of Volunteer",'h13'!$A$5,"Council",B14),0)</f>
        <v>0</v>
      </c>
      <c r="F14" s="108">
        <f t="shared" si="0"/>
        <v>6</v>
      </c>
      <c r="G14" s="799">
        <f t="shared" si="1"/>
        <v>0.16666666666666666</v>
      </c>
      <c r="H14" s="380">
        <f t="shared" si="2"/>
        <v>0.83333333333333337</v>
      </c>
      <c r="I14" s="380">
        <f t="shared" si="3"/>
        <v>0</v>
      </c>
    </row>
    <row r="15" spans="1:9" x14ac:dyDescent="0.25">
      <c r="A15" s="109" t="s">
        <v>303</v>
      </c>
      <c r="B15" s="64" t="s">
        <v>34</v>
      </c>
      <c r="C15" s="61">
        <f>IFERROR(GETPIVOTDATA("Sum of Wholetime",'h13'!$A$5,"Council",B15),0)</f>
        <v>2</v>
      </c>
      <c r="D15" s="61">
        <f>IFERROR(GETPIVOTDATA("Sum of Retained",'h13'!$A$5,"Council",B15),0)</f>
        <v>12</v>
      </c>
      <c r="E15" s="61">
        <f>IFERROR(GETPIVOTDATA("Sum of Volunteer",'h13'!$A$5,"Council",B15),0)</f>
        <v>25</v>
      </c>
      <c r="F15" s="108">
        <f t="shared" si="0"/>
        <v>39</v>
      </c>
      <c r="G15" s="799">
        <f t="shared" si="1"/>
        <v>5.128205128205128E-2</v>
      </c>
      <c r="H15" s="380">
        <f t="shared" si="2"/>
        <v>0.30769230769230771</v>
      </c>
      <c r="I15" s="380">
        <f t="shared" si="3"/>
        <v>0.64102564102564108</v>
      </c>
    </row>
    <row r="16" spans="1:9" x14ac:dyDescent="0.25">
      <c r="A16" s="109" t="s">
        <v>304</v>
      </c>
      <c r="B16" s="64" t="s">
        <v>258</v>
      </c>
      <c r="C16" s="61">
        <f>IFERROR(GETPIVOTDATA("Sum of Wholetime",'h13'!$A$5,"Council",B16),0)</f>
        <v>7</v>
      </c>
      <c r="D16" s="61">
        <f>IFERROR(GETPIVOTDATA("Sum of Retained",'h13'!$A$5,"Council",B16),0)</f>
        <v>1</v>
      </c>
      <c r="E16" s="61">
        <f>IFERROR(GETPIVOTDATA("Sum of Volunteer",'h13'!$A$5,"Council",B16),0)</f>
        <v>0</v>
      </c>
      <c r="F16" s="108">
        <f t="shared" si="0"/>
        <v>8</v>
      </c>
      <c r="G16" s="799">
        <f t="shared" si="1"/>
        <v>0.875</v>
      </c>
      <c r="H16" s="380">
        <f t="shared" si="2"/>
        <v>0.125</v>
      </c>
      <c r="I16" s="380">
        <f t="shared" si="3"/>
        <v>0</v>
      </c>
    </row>
    <row r="17" spans="1:9" x14ac:dyDescent="0.25">
      <c r="A17" s="109" t="s">
        <v>282</v>
      </c>
      <c r="B17" s="64" t="s">
        <v>35</v>
      </c>
      <c r="C17" s="61">
        <f>IFERROR(GETPIVOTDATA("Sum of Wholetime",'h13'!$A$5,"Council",B17),0)</f>
        <v>1</v>
      </c>
      <c r="D17" s="61">
        <f>IFERROR(GETPIVOTDATA("Sum of Retained",'h13'!$A$5,"Council",B17),0)</f>
        <v>1</v>
      </c>
      <c r="E17" s="61">
        <f>IFERROR(GETPIVOTDATA("Sum of Volunteer",'h13'!$A$5,"Council",B17),0)</f>
        <v>0</v>
      </c>
      <c r="F17" s="108">
        <f t="shared" si="0"/>
        <v>2</v>
      </c>
      <c r="G17" s="799">
        <f t="shared" si="1"/>
        <v>0.5</v>
      </c>
      <c r="H17" s="380">
        <f t="shared" si="2"/>
        <v>0.5</v>
      </c>
      <c r="I17" s="380">
        <f t="shared" si="3"/>
        <v>0</v>
      </c>
    </row>
    <row r="18" spans="1:9" x14ac:dyDescent="0.25">
      <c r="A18" s="109" t="s">
        <v>283</v>
      </c>
      <c r="B18" s="64" t="s">
        <v>36</v>
      </c>
      <c r="C18" s="61">
        <f>IFERROR(GETPIVOTDATA("Sum of Wholetime",'h13'!$A$5,"Council",B18),0)</f>
        <v>1</v>
      </c>
      <c r="D18" s="61">
        <f>IFERROR(GETPIVOTDATA("Sum of Retained",'h13'!$A$5,"Council",B18),0)</f>
        <v>15</v>
      </c>
      <c r="E18" s="61">
        <f>IFERROR(GETPIVOTDATA("Sum of Volunteer",'h13'!$A$5,"Council",B18),0)</f>
        <v>1</v>
      </c>
      <c r="F18" s="108">
        <f t="shared" si="0"/>
        <v>17</v>
      </c>
      <c r="G18" s="799">
        <f t="shared" si="1"/>
        <v>5.8823529411764705E-2</v>
      </c>
      <c r="H18" s="380">
        <f t="shared" si="2"/>
        <v>0.88235294117647056</v>
      </c>
      <c r="I18" s="380">
        <f t="shared" si="3"/>
        <v>5.8823529411764705E-2</v>
      </c>
    </row>
    <row r="19" spans="1:9" x14ac:dyDescent="0.25">
      <c r="A19" s="109" t="s">
        <v>309</v>
      </c>
      <c r="B19" s="64" t="s">
        <v>37</v>
      </c>
      <c r="C19" s="61">
        <f>IFERROR(GETPIVOTDATA("Sum of Wholetime",'h13'!$A$5,"Council",B19),0)</f>
        <v>4</v>
      </c>
      <c r="D19" s="61">
        <f>IFERROR(GETPIVOTDATA("Sum of Retained",'h13'!$A$5,"Council",B19),0)</f>
        <v>0</v>
      </c>
      <c r="E19" s="61">
        <f>IFERROR(GETPIVOTDATA("Sum of Volunteer",'h13'!$A$5,"Council",B19),0)</f>
        <v>0</v>
      </c>
      <c r="F19" s="108">
        <f t="shared" si="0"/>
        <v>4</v>
      </c>
      <c r="G19" s="799">
        <f t="shared" si="1"/>
        <v>1</v>
      </c>
      <c r="H19" s="380">
        <f t="shared" si="2"/>
        <v>0</v>
      </c>
      <c r="I19" s="380">
        <f t="shared" si="3"/>
        <v>0</v>
      </c>
    </row>
    <row r="20" spans="1:9" x14ac:dyDescent="0.25">
      <c r="A20" s="109" t="s">
        <v>284</v>
      </c>
      <c r="B20" s="64" t="s">
        <v>38</v>
      </c>
      <c r="C20" s="61">
        <f>IFERROR(GETPIVOTDATA("Sum of Wholetime",'h13'!$A$5,"Council",B20),0)</f>
        <v>1</v>
      </c>
      <c r="D20" s="61">
        <f>IFERROR(GETPIVOTDATA("Sum of Retained",'h13'!$A$5,"Council",B20),0)</f>
        <v>7</v>
      </c>
      <c r="E20" s="61">
        <f>IFERROR(GETPIVOTDATA("Sum of Volunteer",'h13'!$A$5,"Council",B20),0)</f>
        <v>0</v>
      </c>
      <c r="F20" s="108">
        <f t="shared" si="0"/>
        <v>8</v>
      </c>
      <c r="G20" s="799">
        <f t="shared" si="1"/>
        <v>0.125</v>
      </c>
      <c r="H20" s="380">
        <f t="shared" si="2"/>
        <v>0.875</v>
      </c>
      <c r="I20" s="380">
        <f t="shared" si="3"/>
        <v>0</v>
      </c>
    </row>
    <row r="21" spans="1:9" x14ac:dyDescent="0.25">
      <c r="A21" s="109" t="s">
        <v>311</v>
      </c>
      <c r="B21" s="64" t="s">
        <v>39</v>
      </c>
      <c r="C21" s="61">
        <f>IFERROR(GETPIVOTDATA("Sum of Wholetime",'h13'!$A$5,"Council",B21),0)</f>
        <v>3</v>
      </c>
      <c r="D21" s="61">
        <f>IFERROR(GETPIVOTDATA("Sum of Retained",'h13'!$A$5,"Council",B21),0)</f>
        <v>0</v>
      </c>
      <c r="E21" s="61">
        <f>IFERROR(GETPIVOTDATA("Sum of Volunteer",'h13'!$A$5,"Council",B21),0)</f>
        <v>0</v>
      </c>
      <c r="F21" s="108">
        <f t="shared" si="0"/>
        <v>3</v>
      </c>
      <c r="G21" s="799">
        <f t="shared" si="1"/>
        <v>1</v>
      </c>
      <c r="H21" s="380">
        <f t="shared" si="2"/>
        <v>0</v>
      </c>
      <c r="I21" s="380">
        <f t="shared" si="3"/>
        <v>0</v>
      </c>
    </row>
    <row r="22" spans="1:9" x14ac:dyDescent="0.25">
      <c r="A22" s="109" t="s">
        <v>285</v>
      </c>
      <c r="B22" s="64" t="s">
        <v>40</v>
      </c>
      <c r="C22" s="61">
        <f>IFERROR(GETPIVOTDATA("Sum of Wholetime",'h13'!$A$5,"Council",B22),0)</f>
        <v>1</v>
      </c>
      <c r="D22" s="61">
        <f>IFERROR(GETPIVOTDATA("Sum of Retained",'h13'!$A$5,"Council",B22),0)</f>
        <v>5</v>
      </c>
      <c r="E22" s="61">
        <f>IFERROR(GETPIVOTDATA("Sum of Volunteer",'h13'!$A$5,"Council",B22),0)</f>
        <v>0</v>
      </c>
      <c r="F22" s="108">
        <f t="shared" si="0"/>
        <v>6</v>
      </c>
      <c r="G22" s="799">
        <f t="shared" si="1"/>
        <v>0.16666666666666666</v>
      </c>
      <c r="H22" s="380">
        <f t="shared" si="2"/>
        <v>0.83333333333333337</v>
      </c>
      <c r="I22" s="380">
        <f t="shared" si="3"/>
        <v>0</v>
      </c>
    </row>
    <row r="23" spans="1:9" x14ac:dyDescent="0.25">
      <c r="A23" s="109" t="s">
        <v>286</v>
      </c>
      <c r="B23" s="64" t="s">
        <v>41</v>
      </c>
      <c r="C23" s="61">
        <f>IFERROR(GETPIVOTDATA("Sum of Wholetime",'h13'!$A$5,"Council",B23),0)</f>
        <v>2</v>
      </c>
      <c r="D23" s="61">
        <f>IFERROR(GETPIVOTDATA("Sum of Retained",'h13'!$A$5,"Council",B23),0)</f>
        <v>0</v>
      </c>
      <c r="E23" s="61">
        <f>IFERROR(GETPIVOTDATA("Sum of Volunteer",'h13'!$A$5,"Council",B23),0)</f>
        <v>0</v>
      </c>
      <c r="F23" s="108">
        <f t="shared" si="0"/>
        <v>2</v>
      </c>
      <c r="G23" s="799">
        <f t="shared" si="1"/>
        <v>1</v>
      </c>
      <c r="H23" s="380">
        <f t="shared" si="2"/>
        <v>0</v>
      </c>
      <c r="I23" s="380">
        <f t="shared" si="3"/>
        <v>0</v>
      </c>
    </row>
    <row r="24" spans="1:9" x14ac:dyDescent="0.25">
      <c r="A24" s="109" t="s">
        <v>288</v>
      </c>
      <c r="B24" s="64" t="s">
        <v>42</v>
      </c>
      <c r="C24" s="61">
        <f>IFERROR(GETPIVOTDATA("Sum of Wholetime",'h13'!$A$5,"Council",B24),0)</f>
        <v>3</v>
      </c>
      <c r="D24" s="61">
        <f>IFERROR(GETPIVOTDATA("Sum of Retained",'h13'!$A$5,"Council",B24),0)</f>
        <v>2</v>
      </c>
      <c r="E24" s="61">
        <f>IFERROR(GETPIVOTDATA("Sum of Volunteer",'h13'!$A$5,"Council",B24),0)</f>
        <v>0</v>
      </c>
      <c r="F24" s="108">
        <f t="shared" si="0"/>
        <v>5</v>
      </c>
      <c r="G24" s="799">
        <f t="shared" si="1"/>
        <v>0.6</v>
      </c>
      <c r="H24" s="380">
        <f t="shared" si="2"/>
        <v>0.4</v>
      </c>
      <c r="I24" s="380">
        <f t="shared" si="3"/>
        <v>0</v>
      </c>
    </row>
    <row r="25" spans="1:9" x14ac:dyDescent="0.25">
      <c r="A25" s="109" t="s">
        <v>313</v>
      </c>
      <c r="B25" s="64" t="s">
        <v>43</v>
      </c>
      <c r="C25" s="61">
        <f>IFERROR(GETPIVOTDATA("Sum of Wholetime",'h13'!$A$5,"Council",B25),0)</f>
        <v>5</v>
      </c>
      <c r="D25" s="61">
        <f>IFERROR(GETPIVOTDATA("Sum of Retained",'h13'!$A$5,"Council",B25),0)</f>
        <v>8</v>
      </c>
      <c r="E25" s="61">
        <f>IFERROR(GETPIVOTDATA("Sum of Volunteer",'h13'!$A$5,"Council",B25),0)</f>
        <v>0</v>
      </c>
      <c r="F25" s="108">
        <f t="shared" si="0"/>
        <v>13</v>
      </c>
      <c r="G25" s="799">
        <f t="shared" si="1"/>
        <v>0.38461538461538464</v>
      </c>
      <c r="H25" s="380">
        <f t="shared" si="2"/>
        <v>0.61538461538461542</v>
      </c>
      <c r="I25" s="380">
        <f t="shared" si="3"/>
        <v>0</v>
      </c>
    </row>
    <row r="26" spans="1:9" x14ac:dyDescent="0.25">
      <c r="A26" s="109" t="str">
        <f>IF(A10 = "2019-20","S12000049","S12000046")</f>
        <v>S12000049</v>
      </c>
      <c r="B26" s="64" t="s">
        <v>121</v>
      </c>
      <c r="C26" s="61">
        <f>IFERROR(GETPIVOTDATA("Sum of Wholetime",'h13'!$A$5,"Council",B26),0)</f>
        <v>11</v>
      </c>
      <c r="D26" s="61">
        <f>IFERROR(GETPIVOTDATA("Sum of Retained",'h13'!$A$5,"Council",B26),0)</f>
        <v>0</v>
      </c>
      <c r="E26" s="61">
        <f>IFERROR(GETPIVOTDATA("Sum of Volunteer",'h13'!$A$5,"Council",B26),0)</f>
        <v>0</v>
      </c>
      <c r="F26" s="108">
        <f t="shared" si="0"/>
        <v>11</v>
      </c>
      <c r="G26" s="799">
        <f t="shared" si="1"/>
        <v>1</v>
      </c>
      <c r="H26" s="380">
        <f t="shared" si="2"/>
        <v>0</v>
      </c>
      <c r="I26" s="380">
        <f t="shared" si="3"/>
        <v>0</v>
      </c>
    </row>
    <row r="27" spans="1:9" x14ac:dyDescent="0.25">
      <c r="A27" s="109" t="s">
        <v>289</v>
      </c>
      <c r="B27" s="64" t="s">
        <v>44</v>
      </c>
      <c r="C27" s="61">
        <f>IFERROR(GETPIVOTDATA("Sum of Wholetime",'h13'!$A$5,"Council",B27),0)</f>
        <v>1</v>
      </c>
      <c r="D27" s="61">
        <f>IFERROR(GETPIVOTDATA("Sum of Retained",'h13'!$A$5,"Council",B27),0)</f>
        <v>51</v>
      </c>
      <c r="E27" s="61">
        <f>IFERROR(GETPIVOTDATA("Sum of Volunteer",'h13'!$A$5,"Council",B27),0)</f>
        <v>9</v>
      </c>
      <c r="F27" s="108">
        <f t="shared" si="0"/>
        <v>61</v>
      </c>
      <c r="G27" s="799">
        <f t="shared" si="1"/>
        <v>1.6393442622950821E-2</v>
      </c>
      <c r="H27" s="380">
        <f t="shared" si="2"/>
        <v>0.83606557377049184</v>
      </c>
      <c r="I27" s="380">
        <f t="shared" si="3"/>
        <v>0.14754098360655737</v>
      </c>
    </row>
    <row r="28" spans="1:9" x14ac:dyDescent="0.25">
      <c r="A28" s="109" t="s">
        <v>290</v>
      </c>
      <c r="B28" s="64" t="s">
        <v>45</v>
      </c>
      <c r="C28" s="61">
        <f>IFERROR(GETPIVOTDATA("Sum of Wholetime",'h13'!$A$5,"Council",B28),0)</f>
        <v>2</v>
      </c>
      <c r="D28" s="61">
        <f>IFERROR(GETPIVOTDATA("Sum of Retained",'h13'!$A$5,"Council",B28),0)</f>
        <v>1</v>
      </c>
      <c r="E28" s="61">
        <f>IFERROR(GETPIVOTDATA("Sum of Volunteer",'h13'!$A$5,"Council",B28),0)</f>
        <v>0</v>
      </c>
      <c r="F28" s="108">
        <f t="shared" si="0"/>
        <v>3</v>
      </c>
      <c r="G28" s="799">
        <f t="shared" si="1"/>
        <v>0.66666666666666663</v>
      </c>
      <c r="H28" s="380">
        <f t="shared" si="2"/>
        <v>0.33333333333333331</v>
      </c>
      <c r="I28" s="380">
        <f t="shared" si="3"/>
        <v>0</v>
      </c>
    </row>
    <row r="29" spans="1:9" x14ac:dyDescent="0.25">
      <c r="A29" s="109" t="s">
        <v>291</v>
      </c>
      <c r="B29" s="64" t="s">
        <v>46</v>
      </c>
      <c r="C29" s="61">
        <f>IFERROR(GETPIVOTDATA("Sum of Wholetime",'h13'!$A$5,"Council",B29),0)</f>
        <v>1</v>
      </c>
      <c r="D29" s="61">
        <f>IFERROR(GETPIVOTDATA("Sum of Retained",'h13'!$A$5,"Council",B29),0)</f>
        <v>1</v>
      </c>
      <c r="E29" s="61">
        <f>IFERROR(GETPIVOTDATA("Sum of Volunteer",'h13'!$A$5,"Council",B29),0)</f>
        <v>0</v>
      </c>
      <c r="F29" s="108">
        <f t="shared" si="0"/>
        <v>2</v>
      </c>
      <c r="G29" s="799">
        <f t="shared" si="1"/>
        <v>0.5</v>
      </c>
      <c r="H29" s="380">
        <f t="shared" si="2"/>
        <v>0.5</v>
      </c>
      <c r="I29" s="380">
        <f t="shared" si="3"/>
        <v>0</v>
      </c>
    </row>
    <row r="30" spans="1:9" x14ac:dyDescent="0.25">
      <c r="A30" s="109" t="s">
        <v>292</v>
      </c>
      <c r="B30" s="64" t="s">
        <v>47</v>
      </c>
      <c r="C30" s="61">
        <f>IFERROR(GETPIVOTDATA("Sum of Wholetime",'h13'!$A$5,"Council",B30),0)</f>
        <v>1</v>
      </c>
      <c r="D30" s="61">
        <f>IFERROR(GETPIVOTDATA("Sum of Retained",'h13'!$A$5,"Council",B30),0)</f>
        <v>10</v>
      </c>
      <c r="E30" s="61">
        <f>IFERROR(GETPIVOTDATA("Sum of Volunteer",'h13'!$A$5,"Council",B30),0)</f>
        <v>1</v>
      </c>
      <c r="F30" s="108">
        <f t="shared" si="0"/>
        <v>12</v>
      </c>
      <c r="G30" s="799">
        <f t="shared" si="1"/>
        <v>8.3333333333333329E-2</v>
      </c>
      <c r="H30" s="380">
        <f t="shared" si="2"/>
        <v>0.83333333333333337</v>
      </c>
      <c r="I30" s="380">
        <f t="shared" si="3"/>
        <v>8.3333333333333329E-2</v>
      </c>
    </row>
    <row r="31" spans="1:9" x14ac:dyDescent="0.25">
      <c r="A31" s="109" t="s">
        <v>287</v>
      </c>
      <c r="B31" s="64" t="s">
        <v>48</v>
      </c>
      <c r="C31" s="61">
        <f>IFERROR(GETPIVOTDATA("Sum of Wholetime",'h13'!$A$5,"Council",B31),0)</f>
        <v>0</v>
      </c>
      <c r="D31" s="61">
        <f>IFERROR(GETPIVOTDATA("Sum of Retained",'h13'!$A$5,"Council",B31),0)</f>
        <v>14</v>
      </c>
      <c r="E31" s="61">
        <f>IFERROR(GETPIVOTDATA("Sum of Volunteer",'h13'!$A$5,"Council",B31),0)</f>
        <v>0</v>
      </c>
      <c r="F31" s="108">
        <f t="shared" si="0"/>
        <v>14</v>
      </c>
      <c r="G31" s="799">
        <f t="shared" si="1"/>
        <v>0</v>
      </c>
      <c r="H31" s="380">
        <f t="shared" si="2"/>
        <v>1</v>
      </c>
      <c r="I31" s="380">
        <f t="shared" si="3"/>
        <v>0</v>
      </c>
    </row>
    <row r="32" spans="1:9" x14ac:dyDescent="0.25">
      <c r="A32" s="109" t="s">
        <v>293</v>
      </c>
      <c r="B32" s="64" t="s">
        <v>49</v>
      </c>
      <c r="C32" s="61">
        <f>IFERROR(GETPIVOTDATA("Sum of Wholetime",'h13'!$A$5,"Council",B32),0)</f>
        <v>3</v>
      </c>
      <c r="D32" s="61">
        <f>IFERROR(GETPIVOTDATA("Sum of Retained",'h13'!$A$5,"Council",B32),0)</f>
        <v>8</v>
      </c>
      <c r="E32" s="61">
        <f>IFERROR(GETPIVOTDATA("Sum of Volunteer",'h13'!$A$5,"Council",B32),0)</f>
        <v>3</v>
      </c>
      <c r="F32" s="108">
        <f t="shared" si="0"/>
        <v>14</v>
      </c>
      <c r="G32" s="799">
        <f t="shared" si="1"/>
        <v>0.21428571428571427</v>
      </c>
      <c r="H32" s="380">
        <f t="shared" si="2"/>
        <v>0.5714285714285714</v>
      </c>
      <c r="I32" s="380">
        <f t="shared" si="3"/>
        <v>0.21428571428571427</v>
      </c>
    </row>
    <row r="33" spans="1:9" x14ac:dyDescent="0.25">
      <c r="A33" s="109" t="str">
        <f>IF(A10="2019-20","S12000040","S12000044")</f>
        <v>S12000040</v>
      </c>
      <c r="B33" s="64" t="s">
        <v>50</v>
      </c>
      <c r="C33" s="61">
        <f>IFERROR(GETPIVOTDATA("Sum of Wholetime",'h13'!$A$5,"Council",B33),0)</f>
        <v>4</v>
      </c>
      <c r="D33" s="61">
        <f>IFERROR(GETPIVOTDATA("Sum of Retained",'h13'!$A$5,"Council",B33),0)</f>
        <v>3</v>
      </c>
      <c r="E33" s="61">
        <f>IFERROR(GETPIVOTDATA("Sum of Volunteer",'h13'!$A$5,"Council",B33),0)</f>
        <v>0</v>
      </c>
      <c r="F33" s="108">
        <f t="shared" si="0"/>
        <v>7</v>
      </c>
      <c r="G33" s="799">
        <f t="shared" si="1"/>
        <v>0.5714285714285714</v>
      </c>
      <c r="H33" s="380">
        <f t="shared" si="2"/>
        <v>0.42857142857142855</v>
      </c>
      <c r="I33" s="380">
        <f t="shared" si="3"/>
        <v>0</v>
      </c>
    </row>
    <row r="34" spans="1:9" x14ac:dyDescent="0.25">
      <c r="A34" s="109" t="s">
        <v>294</v>
      </c>
      <c r="B34" s="64" t="s">
        <v>51</v>
      </c>
      <c r="C34" s="61">
        <f>IFERROR(GETPIVOTDATA("Sum of Wholetime",'h13'!$A$5,"Council",B34),0)</f>
        <v>0</v>
      </c>
      <c r="D34" s="61">
        <f>IFERROR(GETPIVOTDATA("Sum of Retained",'h13'!$A$5,"Council",B34),0)</f>
        <v>12</v>
      </c>
      <c r="E34" s="61">
        <f>IFERROR(GETPIVOTDATA("Sum of Volunteer",'h13'!$A$5,"Council",B34),0)</f>
        <v>0</v>
      </c>
      <c r="F34" s="108">
        <f t="shared" si="0"/>
        <v>12</v>
      </c>
      <c r="G34" s="799">
        <f t="shared" si="1"/>
        <v>0</v>
      </c>
      <c r="H34" s="380">
        <f t="shared" si="2"/>
        <v>1</v>
      </c>
      <c r="I34" s="380">
        <f t="shared" si="3"/>
        <v>0</v>
      </c>
    </row>
    <row r="35" spans="1:9" x14ac:dyDescent="0.25">
      <c r="A35" s="109" t="s">
        <v>295</v>
      </c>
      <c r="B35" s="64" t="s">
        <v>52</v>
      </c>
      <c r="C35" s="61">
        <f>IFERROR(GETPIVOTDATA("Sum of Wholetime",'h13'!$A$5,"Council",B35),0)</f>
        <v>1</v>
      </c>
      <c r="D35" s="61">
        <f>IFERROR(GETPIVOTDATA("Sum of Retained",'h13'!$A$5,"Council",B35),0)</f>
        <v>10</v>
      </c>
      <c r="E35" s="61">
        <f>IFERROR(GETPIVOTDATA("Sum of Volunteer",'h13'!$A$5,"Council",B35),0)</f>
        <v>3</v>
      </c>
      <c r="F35" s="108">
        <f t="shared" si="0"/>
        <v>14</v>
      </c>
      <c r="G35" s="799">
        <f t="shared" si="1"/>
        <v>7.1428571428571425E-2</v>
      </c>
      <c r="H35" s="380">
        <f t="shared" si="2"/>
        <v>0.7142857142857143</v>
      </c>
      <c r="I35" s="380">
        <f t="shared" si="3"/>
        <v>0.21428571428571427</v>
      </c>
    </row>
    <row r="36" spans="1:9" x14ac:dyDescent="0.25">
      <c r="A36" s="109" t="s">
        <v>305</v>
      </c>
      <c r="B36" s="64" t="s">
        <v>53</v>
      </c>
      <c r="C36" s="61">
        <f>IFERROR(GETPIVOTDATA("Sum of Wholetime",'h13'!$A$5,"Council",B36),0)</f>
        <v>3</v>
      </c>
      <c r="D36" s="61">
        <f>IFERROR(GETPIVOTDATA("Sum of Retained",'h13'!$A$5,"Council",B36),0)</f>
        <v>0</v>
      </c>
      <c r="E36" s="61">
        <f>IFERROR(GETPIVOTDATA("Sum of Volunteer",'h13'!$A$5,"Council",B36),0)</f>
        <v>0</v>
      </c>
      <c r="F36" s="108">
        <f t="shared" si="0"/>
        <v>3</v>
      </c>
      <c r="G36" s="799">
        <f t="shared" si="1"/>
        <v>1</v>
      </c>
      <c r="H36" s="380">
        <f t="shared" si="2"/>
        <v>0</v>
      </c>
      <c r="I36" s="380">
        <f t="shared" si="3"/>
        <v>0</v>
      </c>
    </row>
    <row r="37" spans="1:9" x14ac:dyDescent="0.25">
      <c r="A37" s="109" t="s">
        <v>296</v>
      </c>
      <c r="B37" s="64" t="s">
        <v>54</v>
      </c>
      <c r="C37" s="61">
        <f>IFERROR(GETPIVOTDATA("Sum of Wholetime",'h13'!$A$5,"Council",B37),0)</f>
        <v>2</v>
      </c>
      <c r="D37" s="61">
        <f>IFERROR(GETPIVOTDATA("Sum of Retained",'h13'!$A$5,"Council",B37),0)</f>
        <v>11</v>
      </c>
      <c r="E37" s="61">
        <f>IFERROR(GETPIVOTDATA("Sum of Volunteer",'h13'!$A$5,"Council",B37),0)</f>
        <v>0</v>
      </c>
      <c r="F37" s="108">
        <f t="shared" si="0"/>
        <v>13</v>
      </c>
      <c r="G37" s="799">
        <f t="shared" si="1"/>
        <v>0.15384615384615385</v>
      </c>
      <c r="H37" s="380">
        <f t="shared" si="2"/>
        <v>0.84615384615384615</v>
      </c>
      <c r="I37" s="380">
        <f t="shared" si="3"/>
        <v>0</v>
      </c>
    </row>
    <row r="38" spans="1:9" x14ac:dyDescent="0.25">
      <c r="A38" s="109" t="s">
        <v>297</v>
      </c>
      <c r="B38" s="64" t="s">
        <v>55</v>
      </c>
      <c r="C38" s="61">
        <f>IFERROR(GETPIVOTDATA("Sum of Wholetime",'h13'!$A$5,"Council",B38),0)</f>
        <v>0</v>
      </c>
      <c r="D38" s="61">
        <f>IFERROR(GETPIVOTDATA("Sum of Retained",'h13'!$A$5,"Council",B38),0)</f>
        <v>14</v>
      </c>
      <c r="E38" s="61">
        <f>IFERROR(GETPIVOTDATA("Sum of Volunteer",'h13'!$A$5,"Council",B38),0)</f>
        <v>0</v>
      </c>
      <c r="F38" s="108">
        <f t="shared" si="0"/>
        <v>14</v>
      </c>
      <c r="G38" s="799">
        <f t="shared" si="1"/>
        <v>0</v>
      </c>
      <c r="H38" s="380">
        <f t="shared" si="2"/>
        <v>1</v>
      </c>
      <c r="I38" s="380">
        <f t="shared" si="3"/>
        <v>0</v>
      </c>
    </row>
    <row r="39" spans="1:9" x14ac:dyDescent="0.25">
      <c r="A39" s="109" t="s">
        <v>298</v>
      </c>
      <c r="B39" s="64" t="s">
        <v>56</v>
      </c>
      <c r="C39" s="61">
        <f>IFERROR(GETPIVOTDATA("Sum of Wholetime",'h13'!$A$5,"Council",B39),0)</f>
        <v>1</v>
      </c>
      <c r="D39" s="61">
        <f>IFERROR(GETPIVOTDATA("Sum of Retained",'h13'!$A$5,"Council",B39),0)</f>
        <v>4</v>
      </c>
      <c r="E39" s="61">
        <f>IFERROR(GETPIVOTDATA("Sum of Volunteer",'h13'!$A$5,"Council",B39),0)</f>
        <v>0</v>
      </c>
      <c r="F39" s="108">
        <f t="shared" si="0"/>
        <v>5</v>
      </c>
      <c r="G39" s="799">
        <f t="shared" si="1"/>
        <v>0.2</v>
      </c>
      <c r="H39" s="380">
        <f t="shared" si="2"/>
        <v>0.8</v>
      </c>
      <c r="I39" s="380">
        <f t="shared" si="3"/>
        <v>0</v>
      </c>
    </row>
    <row r="40" spans="1:9" x14ac:dyDescent="0.25">
      <c r="A40" s="109" t="s">
        <v>299</v>
      </c>
      <c r="B40" s="64" t="s">
        <v>57</v>
      </c>
      <c r="C40" s="61">
        <f>IFERROR(GETPIVOTDATA("Sum of Wholetime",'h13'!$A$5,"Council",B40),0)</f>
        <v>4</v>
      </c>
      <c r="D40" s="61">
        <f>IFERROR(GETPIVOTDATA("Sum of Retained",'h13'!$A$5,"Council",B40),0)</f>
        <v>7</v>
      </c>
      <c r="E40" s="61">
        <f>IFERROR(GETPIVOTDATA("Sum of Volunteer",'h13'!$A$5,"Council",B40),0)</f>
        <v>1</v>
      </c>
      <c r="F40" s="108">
        <f t="shared" si="0"/>
        <v>12</v>
      </c>
      <c r="G40" s="799">
        <f t="shared" si="1"/>
        <v>0.33333333333333331</v>
      </c>
      <c r="H40" s="380">
        <f t="shared" si="2"/>
        <v>0.58333333333333337</v>
      </c>
      <c r="I40" s="380">
        <f t="shared" si="3"/>
        <v>8.3333333333333329E-2</v>
      </c>
    </row>
    <row r="41" spans="1:9" x14ac:dyDescent="0.25">
      <c r="A41" s="109" t="s">
        <v>300</v>
      </c>
      <c r="B41" s="64" t="s">
        <v>58</v>
      </c>
      <c r="C41" s="61">
        <f>IFERROR(GETPIVOTDATA("Sum of Wholetime",'h13'!$A$5,"Council",B41),0)</f>
        <v>1</v>
      </c>
      <c r="D41" s="61">
        <f>IFERROR(GETPIVOTDATA("Sum of Retained",'h13'!$A$5,"Council",B41),0)</f>
        <v>9</v>
      </c>
      <c r="E41" s="61">
        <f>IFERROR(GETPIVOTDATA("Sum of Volunteer",'h13'!$A$5,"Council",B41),0)</f>
        <v>0</v>
      </c>
      <c r="F41" s="108">
        <f t="shared" si="0"/>
        <v>10</v>
      </c>
      <c r="G41" s="799">
        <f t="shared" si="1"/>
        <v>0.1</v>
      </c>
      <c r="H41" s="380">
        <f t="shared" si="2"/>
        <v>0.9</v>
      </c>
      <c r="I41" s="380">
        <f t="shared" si="3"/>
        <v>0</v>
      </c>
    </row>
    <row r="42" spans="1:9" x14ac:dyDescent="0.25">
      <c r="A42" s="109" t="s">
        <v>306</v>
      </c>
      <c r="B42" s="64" t="s">
        <v>59</v>
      </c>
      <c r="C42" s="61">
        <f>IFERROR(GETPIVOTDATA("Sum of Wholetime",'h13'!$A$5,"Council",B42),0)</f>
        <v>2</v>
      </c>
      <c r="D42" s="61">
        <f>IFERROR(GETPIVOTDATA("Sum of Retained",'h13'!$A$5,"Council",B42),0)</f>
        <v>1</v>
      </c>
      <c r="E42" s="61">
        <f>IFERROR(GETPIVOTDATA("Sum of Volunteer",'h13'!$A$5,"Council",B42),0)</f>
        <v>0</v>
      </c>
      <c r="F42" s="108">
        <f t="shared" si="0"/>
        <v>3</v>
      </c>
      <c r="G42" s="799">
        <f t="shared" si="1"/>
        <v>0.66666666666666663</v>
      </c>
      <c r="H42" s="380">
        <f t="shared" si="2"/>
        <v>0.33333333333333331</v>
      </c>
      <c r="I42" s="380">
        <f t="shared" si="3"/>
        <v>0</v>
      </c>
    </row>
    <row r="43" spans="1:9" ht="15.75" customHeight="1" x14ac:dyDescent="0.25">
      <c r="A43" s="109" t="s">
        <v>307</v>
      </c>
      <c r="B43" s="64" t="s">
        <v>60</v>
      </c>
      <c r="C43" s="61">
        <f>IFERROR(GETPIVOTDATA("Sum of Wholetime",'h13'!$A$5,"Council",B43),0)</f>
        <v>2</v>
      </c>
      <c r="D43" s="61">
        <f>IFERROR(GETPIVOTDATA("Sum of Retained",'h13'!$A$5,"Council",B43),0)</f>
        <v>4</v>
      </c>
      <c r="E43" s="61">
        <f>IFERROR(GETPIVOTDATA("Sum of Volunteer",'h13'!$A$5,"Council",B43),0)</f>
        <v>0</v>
      </c>
      <c r="F43" s="108">
        <f t="shared" si="0"/>
        <v>6</v>
      </c>
      <c r="G43" s="799">
        <f t="shared" si="1"/>
        <v>0.33333333333333331</v>
      </c>
      <c r="H43" s="380">
        <f t="shared" si="2"/>
        <v>0.66666666666666663</v>
      </c>
      <c r="I43" s="380">
        <f t="shared" si="3"/>
        <v>0</v>
      </c>
    </row>
    <row r="44" spans="1:9" ht="21" customHeight="1" thickBot="1" x14ac:dyDescent="0.3">
      <c r="A44" s="41"/>
      <c r="B44" s="41" t="s">
        <v>810</v>
      </c>
      <c r="C44" s="86">
        <f>SUM(C12:C43)</f>
        <v>74</v>
      </c>
      <c r="D44" s="86">
        <f>SUM(D12:D43)</f>
        <v>240</v>
      </c>
      <c r="E44" s="86">
        <f>SUM(E12:E43)</f>
        <v>43</v>
      </c>
      <c r="F44" s="86">
        <f>SUM(F12:F43)</f>
        <v>357</v>
      </c>
      <c r="G44" s="800">
        <f t="shared" si="1"/>
        <v>0.20728291316526612</v>
      </c>
      <c r="H44" s="381">
        <f t="shared" si="2"/>
        <v>0.67226890756302526</v>
      </c>
      <c r="I44" s="381">
        <f t="shared" si="3"/>
        <v>0.12044817927170869</v>
      </c>
    </row>
    <row r="45" spans="1:9" x14ac:dyDescent="0.25">
      <c r="A45" s="252"/>
      <c r="B45" s="253"/>
      <c r="C45" s="253"/>
      <c r="D45" s="253"/>
      <c r="E45" s="253"/>
      <c r="F45" s="250"/>
      <c r="G45" s="382"/>
      <c r="H45" s="382"/>
      <c r="I45" s="250"/>
    </row>
    <row r="46" spans="1:9" x14ac:dyDescent="0.25">
      <c r="A46" s="516" t="s">
        <v>8</v>
      </c>
      <c r="B46" s="517"/>
      <c r="C46" s="517"/>
      <c r="D46" s="517"/>
      <c r="E46" s="517"/>
      <c r="F46" s="519"/>
      <c r="G46" s="520"/>
      <c r="H46" s="520"/>
      <c r="I46" s="518"/>
    </row>
    <row r="47" spans="1:9" ht="30" customHeight="1" x14ac:dyDescent="0.25">
      <c r="A47" s="1079" t="s">
        <v>797</v>
      </c>
      <c r="B47" s="1079"/>
      <c r="C47" s="1079"/>
      <c r="D47" s="1079"/>
      <c r="E47" s="1079"/>
      <c r="F47" s="1079"/>
      <c r="G47" s="1079"/>
      <c r="H47" s="1079"/>
      <c r="I47" s="1079"/>
    </row>
    <row r="48" spans="1:9" ht="30" customHeight="1" x14ac:dyDescent="0.25">
      <c r="A48" s="1080" t="s">
        <v>936</v>
      </c>
      <c r="B48" s="1080"/>
      <c r="C48" s="1080"/>
      <c r="D48" s="1080"/>
      <c r="E48" s="1080"/>
      <c r="F48" s="1080"/>
      <c r="G48" s="1080"/>
      <c r="H48" s="1080"/>
    </row>
    <row r="49" spans="1:1" x14ac:dyDescent="0.25">
      <c r="A49" t="s">
        <v>935</v>
      </c>
    </row>
  </sheetData>
  <sheetProtection algorithmName="SHA-512" hashValue="jIY2GROfGLZmJvCDGRYGeOb5aKQzee46pIDr7IeI7SyybpPAPklFU9K+oI+e5o0lMD4esj0Cajn20jUnhKeQdQ==" saltValue="iZRH/yLRdQy22KuUshQIdA==" spinCount="100000" sheet="1" scenarios="1" formatCells="0" formatColumns="0" formatRows="0" sort="0" autoFilter="0" pivotTables="0"/>
  <mergeCells count="4">
    <mergeCell ref="A1:C1"/>
    <mergeCell ref="A4:F4"/>
    <mergeCell ref="A47:I47"/>
    <mergeCell ref="A48:H48"/>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628</v>
      </c>
      <c r="B1" s="802"/>
      <c r="C1" s="802"/>
    </row>
    <row r="2" spans="1:8" ht="15.75" x14ac:dyDescent="0.25">
      <c r="A2" s="772" t="s">
        <v>578</v>
      </c>
      <c r="B2" s="780"/>
      <c r="C2" s="780"/>
    </row>
    <row r="4" spans="1:8" ht="15.75" x14ac:dyDescent="0.25">
      <c r="A4" s="1087" t="s">
        <v>630</v>
      </c>
      <c r="B4" s="1087"/>
      <c r="C4" s="1087"/>
      <c r="D4" s="1087"/>
      <c r="E4" s="1087"/>
      <c r="F4" s="1087"/>
      <c r="G4" s="1087"/>
      <c r="H4" s="1087"/>
    </row>
    <row r="5" spans="1:8" x14ac:dyDescent="0.25">
      <c r="A5" s="944" t="s">
        <v>798</v>
      </c>
    </row>
    <row r="6" spans="1:8" x14ac:dyDescent="0.25">
      <c r="A6" s="944" t="s">
        <v>743</v>
      </c>
    </row>
  </sheetData>
  <sheetProtection algorithmName="SHA-512" hashValue="aAFp9Y0GwrooZNylZCPpg98geKcPA8wKaTC9k9R8KI9KjjuoHi8zlKVrIgSOBfhZj0AzTnPCh4l/dZhgIZnvlg==" saltValue="XM2utiR4KjTbI0h9+r1WBw=="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32"/>
  <sheetViews>
    <sheetView showGridLines="0" workbookViewId="0">
      <pane ySplit="2" topLeftCell="A3" activePane="bottomLeft" state="frozen"/>
      <selection pane="bottomLeft"/>
    </sheetView>
  </sheetViews>
  <sheetFormatPr defaultRowHeight="15" x14ac:dyDescent="0.25"/>
  <sheetData>
    <row r="1" spans="1:8" ht="15.75" x14ac:dyDescent="0.25">
      <c r="A1" s="802" t="s">
        <v>628</v>
      </c>
      <c r="B1" s="802"/>
      <c r="C1" s="802"/>
    </row>
    <row r="2" spans="1:8" ht="15.75" x14ac:dyDescent="0.25">
      <c r="A2" s="772" t="s">
        <v>578</v>
      </c>
      <c r="B2" s="780"/>
      <c r="C2" s="780"/>
    </row>
    <row r="4" spans="1:8" ht="15.75" x14ac:dyDescent="0.25">
      <c r="A4" s="1087" t="s">
        <v>631</v>
      </c>
      <c r="B4" s="1087"/>
      <c r="C4" s="1087"/>
      <c r="D4" s="1087"/>
      <c r="E4" s="1087"/>
      <c r="F4" s="1087"/>
      <c r="G4" s="1087"/>
      <c r="H4" s="1087"/>
    </row>
    <row r="5" spans="1:8" x14ac:dyDescent="0.25">
      <c r="A5" s="944" t="s">
        <v>798</v>
      </c>
    </row>
    <row r="6" spans="1:8" x14ac:dyDescent="0.25">
      <c r="A6" s="944" t="s">
        <v>745</v>
      </c>
    </row>
    <row r="32" spans="1:1" x14ac:dyDescent="0.25">
      <c r="A32" s="437"/>
    </row>
  </sheetData>
  <sheetProtection algorithmName="SHA-512" hashValue="RmGIb6yJTbIhcqqX7nz46RQ5dHqN1NzjYpAd8BSJ6+nm8TA7N3pmc1JGKNWEPKE7/8h0R8lJe6WgFnimd796WQ==" saltValue="opJ+ngWgAkSRw/H/n3gNcw=="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628</v>
      </c>
      <c r="B1" s="802"/>
      <c r="C1" s="802"/>
    </row>
    <row r="2" spans="1:8" ht="15.75" x14ac:dyDescent="0.25">
      <c r="A2" s="772" t="s">
        <v>578</v>
      </c>
      <c r="B2" s="1021"/>
      <c r="C2" s="1021"/>
    </row>
    <row r="4" spans="1:8" ht="15.75" customHeight="1" x14ac:dyDescent="0.25">
      <c r="A4" s="828" t="s">
        <v>1059</v>
      </c>
      <c r="B4" s="828"/>
      <c r="C4" s="828"/>
      <c r="D4" s="828"/>
      <c r="E4" s="828"/>
      <c r="F4" s="828"/>
      <c r="G4" s="828"/>
      <c r="H4" s="828"/>
    </row>
    <row r="5" spans="1:8" x14ac:dyDescent="0.25">
      <c r="A5" s="944" t="s">
        <v>798</v>
      </c>
    </row>
    <row r="6" spans="1:8" x14ac:dyDescent="0.25">
      <c r="A6" s="944" t="s">
        <v>1056</v>
      </c>
    </row>
  </sheetData>
  <sheetProtection algorithmName="SHA-512" hashValue="8Euw+3Py2T0aUXpChhJ2GXt5ppwqZoyF2sIqDQdeiAKkS7L/v5FGXbct4EgwAzTnWqyCFvFUqAdH/IXGzL56LQ==" saltValue="bjPwlGdvMZKdADFcGf8+0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628</v>
      </c>
      <c r="B1" s="802"/>
      <c r="C1" s="802"/>
    </row>
    <row r="2" spans="1:8" ht="15.75" x14ac:dyDescent="0.25">
      <c r="A2" s="772" t="s">
        <v>578</v>
      </c>
      <c r="B2" s="1021"/>
      <c r="C2" s="1021"/>
    </row>
    <row r="4" spans="1:8" ht="15.75" customHeight="1" x14ac:dyDescent="0.25">
      <c r="A4" s="828" t="s">
        <v>1058</v>
      </c>
      <c r="B4" s="828"/>
      <c r="C4" s="828"/>
      <c r="D4" s="828"/>
      <c r="E4" s="828"/>
      <c r="F4" s="828"/>
      <c r="G4" s="828"/>
      <c r="H4" s="828"/>
    </row>
    <row r="5" spans="1:8" x14ac:dyDescent="0.25">
      <c r="A5" s="944" t="s">
        <v>798</v>
      </c>
    </row>
    <row r="6" spans="1:8" x14ac:dyDescent="0.25">
      <c r="A6" s="944" t="s">
        <v>1057</v>
      </c>
    </row>
  </sheetData>
  <sheetProtection algorithmName="SHA-512" hashValue="V36wI1frsCY1NODU3IgaCleB84VZf7qOUDN8ypNXsN++XMRUVxbTSrzbjDuxmgBQw/EWDksDvvX20X/u9rmbqw==" saltValue="FIz4u7fmxZiqRJJx57n31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628</v>
      </c>
      <c r="B1" s="802"/>
      <c r="C1" s="802"/>
    </row>
    <row r="2" spans="1:8" ht="15.75" x14ac:dyDescent="0.25">
      <c r="A2" s="772" t="s">
        <v>578</v>
      </c>
      <c r="B2" s="1021"/>
      <c r="C2" s="1021"/>
    </row>
    <row r="4" spans="1:8" ht="15.75" customHeight="1" x14ac:dyDescent="0.25">
      <c r="A4" s="828" t="s">
        <v>1060</v>
      </c>
      <c r="B4" s="828"/>
      <c r="C4" s="828"/>
      <c r="D4" s="828"/>
      <c r="E4" s="828"/>
      <c r="F4" s="828"/>
      <c r="G4" s="828"/>
      <c r="H4" s="828"/>
    </row>
    <row r="5" spans="1:8" x14ac:dyDescent="0.25">
      <c r="A5" s="944" t="s">
        <v>798</v>
      </c>
    </row>
    <row r="6" spans="1:8" x14ac:dyDescent="0.25">
      <c r="A6" s="944" t="s">
        <v>1061</v>
      </c>
    </row>
  </sheetData>
  <sheetProtection algorithmName="SHA-512" hashValue="YW2aQ2USXMiZD/UXVI5RTnSJjQWA3mI5UQW+A/1m3+cgVER9hzk7jNUnb6PSO6V2gXVgB1VKhwjqohx1SIvABw==" saltValue="9eAH9p+gEyU718J+asErIQ=="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tint="0.39997558519241921"/>
    <pageSetUpPr fitToPage="1"/>
  </sheetPr>
  <dimension ref="A1:N51"/>
  <sheetViews>
    <sheetView showGridLines="0" workbookViewId="0">
      <pane ySplit="2" topLeftCell="A3" activePane="bottomLeft" state="frozen"/>
      <selection pane="bottomLeft"/>
    </sheetView>
  </sheetViews>
  <sheetFormatPr defaultRowHeight="15" x14ac:dyDescent="0.25"/>
  <cols>
    <col min="1" max="1" width="33" customWidth="1"/>
    <col min="2" max="6" width="15.7109375" customWidth="1"/>
    <col min="7" max="8" width="8.42578125" customWidth="1"/>
  </cols>
  <sheetData>
    <row r="1" spans="1:11" ht="15.75" x14ac:dyDescent="0.25">
      <c r="A1" s="802" t="s">
        <v>633</v>
      </c>
    </row>
    <row r="2" spans="1:11" x14ac:dyDescent="0.25">
      <c r="A2" s="772" t="s">
        <v>578</v>
      </c>
    </row>
    <row r="3" spans="1:11" x14ac:dyDescent="0.25">
      <c r="A3" s="31"/>
    </row>
    <row r="4" spans="1:11" ht="15.75" x14ac:dyDescent="0.25">
      <c r="A4" s="1116" t="s">
        <v>632</v>
      </c>
      <c r="B4" s="1116"/>
      <c r="C4" s="1116"/>
      <c r="D4" s="1116"/>
      <c r="E4" s="1116"/>
      <c r="F4" s="1116"/>
      <c r="G4" s="1116"/>
      <c r="H4" s="1116"/>
      <c r="I4" s="1116"/>
      <c r="J4" s="1116"/>
      <c r="K4" s="1116"/>
    </row>
    <row r="5" spans="1:11" ht="15.75" x14ac:dyDescent="0.25">
      <c r="A5" t="s">
        <v>363</v>
      </c>
      <c r="B5" t="s">
        <v>787</v>
      </c>
      <c r="C5" s="784"/>
      <c r="D5" s="784"/>
      <c r="E5" s="784"/>
      <c r="F5" s="784"/>
      <c r="G5" s="784"/>
      <c r="H5" s="784"/>
      <c r="I5" s="784"/>
      <c r="J5" s="784"/>
      <c r="K5" s="784"/>
    </row>
    <row r="6" spans="1:11" ht="15.75" customHeight="1" x14ac:dyDescent="0.25">
      <c r="A6" t="s">
        <v>364</v>
      </c>
      <c r="B6" t="s">
        <v>366</v>
      </c>
      <c r="C6" s="784"/>
      <c r="D6" s="784"/>
      <c r="E6" s="784"/>
      <c r="F6" s="784"/>
      <c r="G6" s="784"/>
      <c r="H6" s="784"/>
      <c r="I6" s="784"/>
      <c r="J6" s="784"/>
      <c r="K6" s="784"/>
    </row>
    <row r="7" spans="1:11" ht="15.75" x14ac:dyDescent="0.25">
      <c r="A7" t="s">
        <v>365</v>
      </c>
      <c r="B7" t="s">
        <v>367</v>
      </c>
      <c r="C7" s="784"/>
      <c r="D7" s="784"/>
      <c r="E7" s="784"/>
      <c r="F7" s="784"/>
      <c r="G7" s="784"/>
      <c r="H7" s="784"/>
      <c r="I7" s="784"/>
      <c r="J7" s="784"/>
      <c r="K7" s="784"/>
    </row>
    <row r="8" spans="1:11" ht="15.75" x14ac:dyDescent="0.25">
      <c r="B8" s="419"/>
      <c r="C8" s="784"/>
      <c r="D8" s="784"/>
      <c r="E8" s="784"/>
      <c r="F8" s="784"/>
      <c r="K8" s="784"/>
    </row>
    <row r="9" spans="1:11" ht="39" customHeight="1" x14ac:dyDescent="0.25">
      <c r="A9" s="126" t="s">
        <v>1</v>
      </c>
      <c r="B9" s="637" t="s">
        <v>167</v>
      </c>
      <c r="C9" s="1027" t="s">
        <v>1003</v>
      </c>
      <c r="D9" s="1027" t="s">
        <v>1068</v>
      </c>
      <c r="E9" s="881" t="s">
        <v>192</v>
      </c>
      <c r="F9" s="881" t="s">
        <v>889</v>
      </c>
      <c r="G9" s="39" t="s">
        <v>26</v>
      </c>
    </row>
    <row r="10" spans="1:11" x14ac:dyDescent="0.25">
      <c r="A10" s="5" t="str">
        <f>'T20'!$A$5</f>
        <v>2014-15</v>
      </c>
      <c r="B10" s="84">
        <f>'T20'!$C$5</f>
        <v>8206</v>
      </c>
      <c r="C10" s="1029">
        <f>'T20'!F5</f>
        <v>0</v>
      </c>
      <c r="D10" s="1030">
        <f>'T20'!G5</f>
        <v>1648</v>
      </c>
      <c r="E10" s="128">
        <f>'T20'!$D$5</f>
        <v>2038</v>
      </c>
      <c r="F10" s="1029">
        <f>'T20'!E5</f>
        <v>0</v>
      </c>
      <c r="G10" s="76">
        <f>'T20'!$B$5</f>
        <v>11892</v>
      </c>
    </row>
    <row r="11" spans="1:11" x14ac:dyDescent="0.25">
      <c r="A11" s="5" t="str">
        <f>'T20'!$A$6</f>
        <v>2015-16</v>
      </c>
      <c r="B11" s="84">
        <f>'T20'!$C$6</f>
        <v>9834</v>
      </c>
      <c r="C11" s="1028">
        <f>'T20'!F6</f>
        <v>0</v>
      </c>
      <c r="D11" s="128">
        <f>'T20'!G6</f>
        <v>2373</v>
      </c>
      <c r="E11" s="128">
        <f>'T20'!$D$6</f>
        <v>3501</v>
      </c>
      <c r="F11" s="1028">
        <f>'T20'!E6</f>
        <v>0</v>
      </c>
      <c r="G11" s="76">
        <f>'T20'!$B$6</f>
        <v>15708</v>
      </c>
    </row>
    <row r="12" spans="1:11" x14ac:dyDescent="0.25">
      <c r="A12" s="5" t="str">
        <f>'T20'!$A$7</f>
        <v>2016-17</v>
      </c>
      <c r="B12" s="84">
        <f>'T20'!$C$7</f>
        <v>8939</v>
      </c>
      <c r="C12" s="1028">
        <f>'T20'!F7</f>
        <v>0</v>
      </c>
      <c r="D12" s="128">
        <f>'T20'!G7</f>
        <v>1461</v>
      </c>
      <c r="E12" s="128">
        <f>'T20'!$D$7</f>
        <v>2582</v>
      </c>
      <c r="F12" s="1028">
        <f>'T20'!E7</f>
        <v>0</v>
      </c>
      <c r="G12" s="76">
        <f>'T20'!$B$7</f>
        <v>12982</v>
      </c>
    </row>
    <row r="13" spans="1:11" x14ac:dyDescent="0.25">
      <c r="A13" s="5" t="str">
        <f>'T20'!$A8</f>
        <v>2017-18</v>
      </c>
      <c r="B13" s="84">
        <f>'T20'!$C8</f>
        <v>7635</v>
      </c>
      <c r="C13" s="1028">
        <f>'T20'!F8</f>
        <v>0</v>
      </c>
      <c r="D13" s="128">
        <f>'T20'!G8</f>
        <v>2592</v>
      </c>
      <c r="E13" s="128">
        <f>'T20'!$D8</f>
        <v>3241</v>
      </c>
      <c r="F13" s="1028">
        <f>'T20'!E8</f>
        <v>0</v>
      </c>
      <c r="G13" s="76">
        <f>'T20'!$B8</f>
        <v>13468</v>
      </c>
    </row>
    <row r="14" spans="1:11" x14ac:dyDescent="0.25">
      <c r="A14" s="5" t="str">
        <f>'T20'!$A9</f>
        <v>2018-19</v>
      </c>
      <c r="B14" s="84">
        <f>'T20'!$C9</f>
        <v>7872</v>
      </c>
      <c r="C14" s="1028">
        <f>'T20'!F9</f>
        <v>0</v>
      </c>
      <c r="D14" s="128">
        <f>'T20'!G9</f>
        <v>1973</v>
      </c>
      <c r="E14" s="128">
        <f>'T20'!$D9</f>
        <v>2746</v>
      </c>
      <c r="F14" s="1028">
        <f>'T20'!E9</f>
        <v>0</v>
      </c>
      <c r="G14" s="76">
        <f>'T20'!$B9</f>
        <v>12591</v>
      </c>
    </row>
    <row r="15" spans="1:11" ht="15.75" thickBot="1" x14ac:dyDescent="0.3">
      <c r="A15" s="538" t="str">
        <f>'T20'!$A10</f>
        <v>2019-20</v>
      </c>
      <c r="B15" s="878">
        <f>'T20'!$C10</f>
        <v>7261</v>
      </c>
      <c r="C15" s="879">
        <f>'T20'!F10</f>
        <v>202</v>
      </c>
      <c r="D15" s="879">
        <f>'T20'!G10</f>
        <v>918</v>
      </c>
      <c r="E15" s="879">
        <f>'T20'!$D10</f>
        <v>2460</v>
      </c>
      <c r="F15" s="879">
        <f>'T20'!E10</f>
        <v>324</v>
      </c>
      <c r="G15" s="880">
        <f>'T20'!$B10</f>
        <v>11165</v>
      </c>
      <c r="J15" s="366"/>
      <c r="K15" s="366"/>
    </row>
    <row r="16" spans="1:11" x14ac:dyDescent="0.25">
      <c r="A16" s="498"/>
      <c r="B16" s="31"/>
      <c r="C16" s="300"/>
      <c r="D16" s="31"/>
      <c r="E16" s="31"/>
      <c r="F16" s="31"/>
    </row>
    <row r="17" spans="1:14" x14ac:dyDescent="0.25">
      <c r="A17" s="499" t="s">
        <v>8</v>
      </c>
      <c r="B17" s="31"/>
      <c r="C17" s="31"/>
      <c r="D17" s="31"/>
      <c r="E17" s="31"/>
    </row>
    <row r="18" spans="1:14" ht="45.75" customHeight="1" x14ac:dyDescent="0.25">
      <c r="A18" s="1132" t="s">
        <v>1069</v>
      </c>
      <c r="B18" s="1107"/>
      <c r="C18" s="1107"/>
      <c r="D18" s="1107"/>
      <c r="E18" s="1107"/>
      <c r="F18" s="1107"/>
      <c r="G18" s="1107"/>
      <c r="H18" s="1107"/>
    </row>
    <row r="19" spans="1:14" ht="30" customHeight="1" x14ac:dyDescent="0.25">
      <c r="A19" s="1107" t="s">
        <v>1004</v>
      </c>
      <c r="B19" s="1107"/>
      <c r="C19" s="1107"/>
      <c r="D19" s="1107"/>
      <c r="E19" s="1107"/>
      <c r="F19" s="1107"/>
      <c r="G19" s="1107"/>
      <c r="H19" s="1107"/>
      <c r="K19" s="784"/>
      <c r="L19" s="784"/>
      <c r="M19" s="784"/>
      <c r="N19" s="784"/>
    </row>
    <row r="20" spans="1:14" ht="30" customHeight="1" x14ac:dyDescent="0.25">
      <c r="A20" s="1107" t="s">
        <v>239</v>
      </c>
      <c r="B20" s="1107"/>
      <c r="C20" s="1107"/>
      <c r="D20" s="1107"/>
      <c r="E20" s="1107"/>
      <c r="F20" s="1107"/>
      <c r="G20" s="1107"/>
      <c r="H20" s="1107"/>
      <c r="K20" s="28"/>
      <c r="L20" s="315"/>
      <c r="M20" s="315"/>
    </row>
    <row r="21" spans="1:14" ht="30" customHeight="1" x14ac:dyDescent="0.25">
      <c r="A21" s="1080" t="s">
        <v>1005</v>
      </c>
      <c r="B21" s="1080"/>
      <c r="C21" s="1080"/>
      <c r="D21" s="1080"/>
      <c r="E21" s="1080"/>
      <c r="F21" s="1080"/>
      <c r="G21" s="1080"/>
      <c r="H21" s="1080"/>
    </row>
    <row r="22" spans="1:14" x14ac:dyDescent="0.25">
      <c r="A22" s="1080"/>
      <c r="B22" s="1080"/>
      <c r="C22" s="1080"/>
      <c r="D22" s="1080"/>
      <c r="E22" s="1080"/>
      <c r="F22" s="1080"/>
      <c r="G22" s="1080"/>
      <c r="H22" s="1080"/>
    </row>
    <row r="23" spans="1:14" ht="15.75" customHeight="1" x14ac:dyDescent="0.25"/>
    <row r="25" spans="1:14" ht="15.75" customHeight="1" x14ac:dyDescent="0.25"/>
    <row r="50" spans="1:8" ht="30" customHeight="1" x14ac:dyDescent="0.25"/>
    <row r="51" spans="1:8" x14ac:dyDescent="0.25">
      <c r="A51" s="521"/>
      <c r="B51" s="483"/>
      <c r="C51" s="532"/>
      <c r="D51" s="533"/>
      <c r="E51" s="533"/>
      <c r="F51" s="533"/>
      <c r="G51" s="533"/>
      <c r="H51" s="533"/>
    </row>
  </sheetData>
  <sheetProtection algorithmName="SHA-512" hashValue="t9Gv92SV+hvtxei1emX2onN5ct14at8VLXV8SXwdfZs/suaBu+NjdOQnQLi7cryVwkmEILDx1tpK9DxZf0oNRA==" saltValue="mfr8P+huaSf5HMmTmYvLMw==" spinCount="100000" sheet="1" scenarios="1" formatCells="0" formatColumns="0" formatRows="0" sort="0" autoFilter="0" pivotTables="0"/>
  <mergeCells count="6">
    <mergeCell ref="A4:K4"/>
    <mergeCell ref="A22:H22"/>
    <mergeCell ref="A19:H19"/>
    <mergeCell ref="A20:H20"/>
    <mergeCell ref="A21:H21"/>
    <mergeCell ref="A18:H18"/>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32"/>
  <sheetViews>
    <sheetView showGridLines="0" workbookViewId="0">
      <pane ySplit="2" topLeftCell="A3" activePane="bottomLeft" state="frozen"/>
      <selection pane="bottomLeft"/>
    </sheetView>
  </sheetViews>
  <sheetFormatPr defaultRowHeight="15" x14ac:dyDescent="0.25"/>
  <cols>
    <col min="1" max="1" width="34.5703125" customWidth="1"/>
    <col min="2" max="11" width="10.5703125" customWidth="1"/>
  </cols>
  <sheetData>
    <row r="1" spans="1:13" ht="15.75" x14ac:dyDescent="0.25">
      <c r="A1" s="802" t="s">
        <v>633</v>
      </c>
    </row>
    <row r="2" spans="1:13" x14ac:dyDescent="0.25">
      <c r="A2" s="772" t="s">
        <v>578</v>
      </c>
    </row>
    <row r="3" spans="1:13" x14ac:dyDescent="0.25">
      <c r="A3" s="31"/>
    </row>
    <row r="4" spans="1:13" ht="15.75" x14ac:dyDescent="0.25">
      <c r="A4" s="1116" t="s">
        <v>634</v>
      </c>
      <c r="B4" s="1116"/>
      <c r="C4" s="1116"/>
      <c r="D4" s="1116"/>
      <c r="E4" s="1116"/>
      <c r="F4" s="1116"/>
      <c r="G4" s="1116"/>
      <c r="H4" s="1116"/>
      <c r="I4" s="1116"/>
      <c r="J4" s="1116"/>
      <c r="K4" s="1116"/>
    </row>
    <row r="5" spans="1:13" ht="15.75" x14ac:dyDescent="0.25">
      <c r="A5" t="s">
        <v>363</v>
      </c>
      <c r="B5" t="s">
        <v>788</v>
      </c>
      <c r="C5" s="784"/>
      <c r="D5" s="784"/>
      <c r="E5" s="784"/>
      <c r="F5" s="784"/>
      <c r="G5" s="784"/>
      <c r="H5" s="784"/>
      <c r="I5" s="784"/>
      <c r="J5" s="784"/>
      <c r="K5" s="784"/>
    </row>
    <row r="6" spans="1:13" ht="15.75" x14ac:dyDescent="0.25">
      <c r="A6" t="s">
        <v>364</v>
      </c>
      <c r="B6" t="s">
        <v>366</v>
      </c>
      <c r="C6" s="784"/>
      <c r="D6" s="784"/>
      <c r="E6" s="784"/>
      <c r="F6" s="784"/>
      <c r="G6" s="784"/>
      <c r="H6" s="784"/>
      <c r="I6" s="784"/>
      <c r="J6" s="784"/>
      <c r="K6" s="784"/>
    </row>
    <row r="7" spans="1:13" ht="15.75" x14ac:dyDescent="0.25">
      <c r="A7" t="s">
        <v>365</v>
      </c>
      <c r="B7" t="s">
        <v>367</v>
      </c>
      <c r="C7" s="784"/>
      <c r="D7" s="784"/>
      <c r="E7" s="784"/>
      <c r="F7" s="784"/>
      <c r="G7" s="784"/>
      <c r="H7" s="784"/>
      <c r="I7" s="784"/>
      <c r="J7" s="784"/>
      <c r="K7" s="784"/>
    </row>
    <row r="9" spans="1:13" x14ac:dyDescent="0.25">
      <c r="A9" s="317" t="s">
        <v>142</v>
      </c>
      <c r="B9" s="211" t="str">
        <f>'T20'!D15</f>
        <v>2009-10</v>
      </c>
      <c r="C9" s="211" t="str">
        <f>'T20'!E15</f>
        <v>2010-11</v>
      </c>
      <c r="D9" s="211" t="str">
        <f>'T20'!F15</f>
        <v>2011-12</v>
      </c>
      <c r="E9" s="211" t="str">
        <f>'T20'!G15</f>
        <v>2012-13</v>
      </c>
      <c r="F9" s="318" t="s">
        <v>204</v>
      </c>
      <c r="G9" s="211" t="str">
        <f>'T20'!H15</f>
        <v>2014-15</v>
      </c>
      <c r="H9" s="211" t="str">
        <f>'T20'!I15</f>
        <v>2015-16</v>
      </c>
      <c r="I9" s="211" t="str">
        <f>'T20'!J15</f>
        <v>2016-17</v>
      </c>
      <c r="J9" s="211" t="str">
        <f>'T20'!K15</f>
        <v>2017-18</v>
      </c>
      <c r="K9" s="211" t="str">
        <f>'T20'!L15</f>
        <v>2018-19</v>
      </c>
      <c r="L9" s="211" t="str">
        <f>'T20'!M15</f>
        <v>2019-20</v>
      </c>
    </row>
    <row r="10" spans="1:13" x14ac:dyDescent="0.25">
      <c r="A10" s="319" t="s">
        <v>143</v>
      </c>
      <c r="B10" s="320">
        <f>'T20'!D17</f>
        <v>136</v>
      </c>
      <c r="C10" s="320">
        <f>'T20'!E17</f>
        <v>236</v>
      </c>
      <c r="D10" s="320">
        <f>'T20'!F17</f>
        <v>197</v>
      </c>
      <c r="E10" s="320">
        <f>'T20'!G17</f>
        <v>217</v>
      </c>
      <c r="F10" s="540"/>
      <c r="G10" s="966">
        <f>'T20'!H17</f>
        <v>334</v>
      </c>
      <c r="H10" s="966">
        <f>'T20'!I17</f>
        <v>451</v>
      </c>
      <c r="I10" s="966">
        <f>'T20'!J17</f>
        <v>396</v>
      </c>
      <c r="J10" s="966">
        <f>'T20'!K17</f>
        <v>367</v>
      </c>
      <c r="K10" s="966">
        <f>'T20'!L17</f>
        <v>471</v>
      </c>
      <c r="L10" s="966">
        <f>'T20'!M17</f>
        <v>298</v>
      </c>
      <c r="M10" s="617"/>
    </row>
    <row r="11" spans="1:13" x14ac:dyDescent="0.25">
      <c r="A11" s="319" t="s">
        <v>144</v>
      </c>
      <c r="B11" s="320">
        <f>'T20'!D18</f>
        <v>972</v>
      </c>
      <c r="C11" s="320">
        <f>'T20'!E18</f>
        <v>1212</v>
      </c>
      <c r="D11" s="320">
        <f>'T20'!F18</f>
        <v>1286</v>
      </c>
      <c r="E11" s="320">
        <f>'T20'!G18</f>
        <v>1454</v>
      </c>
      <c r="F11" s="540"/>
      <c r="G11" s="966">
        <f>'T20'!H18</f>
        <v>1506</v>
      </c>
      <c r="H11" s="966">
        <f>'T20'!I18</f>
        <v>1760</v>
      </c>
      <c r="I11" s="966">
        <f>'T20'!J18</f>
        <v>1719</v>
      </c>
      <c r="J11" s="966">
        <f>'T20'!K18</f>
        <v>1653</v>
      </c>
      <c r="K11" s="966">
        <f>'T20'!L18</f>
        <v>1775</v>
      </c>
      <c r="L11" s="966">
        <f>'T20'!M18</f>
        <v>1486</v>
      </c>
      <c r="M11" s="617"/>
    </row>
    <row r="12" spans="1:13" x14ac:dyDescent="0.25">
      <c r="A12" s="319" t="s">
        <v>636</v>
      </c>
      <c r="B12" s="320">
        <f>'T20'!D19</f>
        <v>0</v>
      </c>
      <c r="C12" s="320">
        <f>'T20'!E19</f>
        <v>0</v>
      </c>
      <c r="D12" s="320">
        <f>'T20'!F19</f>
        <v>0</v>
      </c>
      <c r="E12" s="320">
        <f>'T20'!G19</f>
        <v>0</v>
      </c>
      <c r="F12" s="540"/>
      <c r="G12" s="966">
        <f>'T20'!H19</f>
        <v>1947</v>
      </c>
      <c r="H12" s="966">
        <f>'T20'!I19</f>
        <v>3062</v>
      </c>
      <c r="I12" s="966">
        <f>'T20'!J19</f>
        <v>2650</v>
      </c>
      <c r="J12" s="966">
        <f>'T20'!K19</f>
        <v>2077</v>
      </c>
      <c r="K12" s="966">
        <f>'T20'!L19</f>
        <v>1862</v>
      </c>
      <c r="L12" s="966">
        <f>'T20'!M19</f>
        <v>1951</v>
      </c>
      <c r="M12" s="617"/>
    </row>
    <row r="13" spans="1:13" x14ac:dyDescent="0.25">
      <c r="A13" s="319" t="s">
        <v>145</v>
      </c>
      <c r="B13" s="320">
        <f>'T20'!D20</f>
        <v>137</v>
      </c>
      <c r="C13" s="320">
        <f>'T20'!E20</f>
        <v>126</v>
      </c>
      <c r="D13" s="320">
        <f>'T20'!F20</f>
        <v>138</v>
      </c>
      <c r="E13" s="320">
        <f>'T20'!G20</f>
        <v>296</v>
      </c>
      <c r="F13" s="540"/>
      <c r="G13" s="966">
        <f>'T20'!H20</f>
        <v>138</v>
      </c>
      <c r="H13" s="966">
        <f>'T20'!I20</f>
        <v>119</v>
      </c>
      <c r="I13" s="966">
        <f>'T20'!J20</f>
        <v>128</v>
      </c>
      <c r="J13" s="966">
        <f>'T20'!K20</f>
        <v>104</v>
      </c>
      <c r="K13" s="966">
        <f>'T20'!L20</f>
        <v>88</v>
      </c>
      <c r="L13" s="966">
        <f>'T20'!M20</f>
        <v>71</v>
      </c>
      <c r="M13" s="617"/>
    </row>
    <row r="14" spans="1:13" x14ac:dyDescent="0.25">
      <c r="A14" s="319" t="s">
        <v>146</v>
      </c>
      <c r="B14" s="320">
        <f>'T20'!D21</f>
        <v>1117</v>
      </c>
      <c r="C14" s="320">
        <f>'T20'!E21</f>
        <v>1077</v>
      </c>
      <c r="D14" s="320">
        <f>'T20'!F21</f>
        <v>1081</v>
      </c>
      <c r="E14" s="320">
        <f>'T20'!G21</f>
        <v>1761</v>
      </c>
      <c r="F14" s="540"/>
      <c r="G14" s="966">
        <f>'T20'!H21</f>
        <v>1109</v>
      </c>
      <c r="H14" s="966">
        <f>'T20'!I21</f>
        <v>1263</v>
      </c>
      <c r="I14" s="966">
        <f>'T20'!J21</f>
        <v>1138</v>
      </c>
      <c r="J14" s="966">
        <f>'T20'!K21</f>
        <v>1167</v>
      </c>
      <c r="K14" s="966">
        <f>'T20'!L21</f>
        <v>1030</v>
      </c>
      <c r="L14" s="966">
        <f>'T20'!M21</f>
        <v>1081</v>
      </c>
      <c r="M14" s="617"/>
    </row>
    <row r="15" spans="1:13" x14ac:dyDescent="0.25">
      <c r="A15" s="319" t="s">
        <v>147</v>
      </c>
      <c r="B15" s="320">
        <f>'T20'!D22</f>
        <v>284</v>
      </c>
      <c r="C15" s="320">
        <f>'T20'!E22</f>
        <v>395</v>
      </c>
      <c r="D15" s="320">
        <f>'T20'!F22</f>
        <v>430</v>
      </c>
      <c r="E15" s="320">
        <f>'T20'!G22</f>
        <v>415</v>
      </c>
      <c r="F15" s="540"/>
      <c r="G15" s="966">
        <f>'T20'!H22</f>
        <v>251</v>
      </c>
      <c r="H15" s="966">
        <f>'T20'!I22</f>
        <v>351</v>
      </c>
      <c r="I15" s="966">
        <f>'T20'!J22</f>
        <v>371</v>
      </c>
      <c r="J15" s="966">
        <f>'T20'!K22</f>
        <v>408</v>
      </c>
      <c r="K15" s="966">
        <f>'T20'!L22</f>
        <v>323</v>
      </c>
      <c r="L15" s="966">
        <f>'T20'!M22</f>
        <v>470</v>
      </c>
      <c r="M15" s="617"/>
    </row>
    <row r="16" spans="1:13" x14ac:dyDescent="0.25">
      <c r="A16" s="319" t="s">
        <v>148</v>
      </c>
      <c r="B16" s="320">
        <f>'T20'!D23</f>
        <v>48</v>
      </c>
      <c r="C16" s="320">
        <f>'T20'!E23</f>
        <v>49</v>
      </c>
      <c r="D16" s="320">
        <f>'T20'!F23</f>
        <v>49</v>
      </c>
      <c r="E16" s="320">
        <f>'T20'!G23</f>
        <v>62</v>
      </c>
      <c r="F16" s="540"/>
      <c r="G16" s="966">
        <f>'T20'!H23</f>
        <v>28</v>
      </c>
      <c r="H16" s="966">
        <f>'T20'!I23</f>
        <v>36</v>
      </c>
      <c r="I16" s="966">
        <f>'T20'!J23</f>
        <v>21</v>
      </c>
      <c r="J16" s="966">
        <f>'T20'!K23</f>
        <v>37</v>
      </c>
      <c r="K16" s="966">
        <f>'T20'!L23</f>
        <v>31</v>
      </c>
      <c r="L16" s="966">
        <f>'T20'!M23</f>
        <v>25</v>
      </c>
      <c r="M16" s="617"/>
    </row>
    <row r="17" spans="1:13" x14ac:dyDescent="0.25">
      <c r="A17" s="319" t="s">
        <v>149</v>
      </c>
      <c r="B17" s="320">
        <f>'T20'!D24</f>
        <v>68</v>
      </c>
      <c r="C17" s="320">
        <f>'T20'!E24</f>
        <v>74</v>
      </c>
      <c r="D17" s="320">
        <f>'T20'!F24</f>
        <v>77</v>
      </c>
      <c r="E17" s="320">
        <f>'T20'!G24</f>
        <v>58</v>
      </c>
      <c r="F17" s="540"/>
      <c r="G17" s="966">
        <f>'T20'!H24</f>
        <v>68</v>
      </c>
      <c r="H17" s="966">
        <f>'T20'!I24</f>
        <v>49</v>
      </c>
      <c r="I17" s="966">
        <f>'T20'!J24</f>
        <v>66</v>
      </c>
      <c r="J17" s="966">
        <f>'T20'!K24</f>
        <v>59</v>
      </c>
      <c r="K17" s="966">
        <f>'T20'!L24</f>
        <v>60</v>
      </c>
      <c r="L17" s="966">
        <f>'T20'!M24</f>
        <v>39</v>
      </c>
      <c r="M17" s="617"/>
    </row>
    <row r="18" spans="1:13" x14ac:dyDescent="0.25">
      <c r="A18" s="319" t="s">
        <v>150</v>
      </c>
      <c r="B18" s="320">
        <f>'T20'!D25</f>
        <v>794</v>
      </c>
      <c r="C18" s="320">
        <f>'T20'!E25</f>
        <v>1016</v>
      </c>
      <c r="D18" s="320">
        <f>'T20'!F25</f>
        <v>1014</v>
      </c>
      <c r="E18" s="320">
        <f>'T20'!G25</f>
        <v>670</v>
      </c>
      <c r="F18" s="540"/>
      <c r="G18" s="966">
        <f>'T20'!H25</f>
        <v>596</v>
      </c>
      <c r="H18" s="966">
        <f>'T20'!I25</f>
        <v>494</v>
      </c>
      <c r="I18" s="966">
        <f>'T20'!J25</f>
        <v>482</v>
      </c>
      <c r="J18" s="966">
        <f>'T20'!K25</f>
        <v>332</v>
      </c>
      <c r="K18" s="966">
        <f>'T20'!L25</f>
        <v>374</v>
      </c>
      <c r="L18" s="966">
        <f>'T20'!M25</f>
        <v>289</v>
      </c>
      <c r="M18" s="617"/>
    </row>
    <row r="19" spans="1:13" x14ac:dyDescent="0.25">
      <c r="A19" s="319" t="s">
        <v>151</v>
      </c>
      <c r="B19" s="320">
        <f>'T20'!D26</f>
        <v>433</v>
      </c>
      <c r="C19" s="320">
        <f>'T20'!E26</f>
        <v>264</v>
      </c>
      <c r="D19" s="320">
        <f>'T20'!F26</f>
        <v>291</v>
      </c>
      <c r="E19" s="320">
        <f>'T20'!G26</f>
        <v>231</v>
      </c>
      <c r="F19" s="540"/>
      <c r="G19" s="966">
        <f>'T20'!H26</f>
        <v>260</v>
      </c>
      <c r="H19" s="966">
        <f>'T20'!I26</f>
        <v>228</v>
      </c>
      <c r="I19" s="966">
        <f>'T20'!J26</f>
        <v>363</v>
      </c>
      <c r="J19" s="966">
        <f>'T20'!K26</f>
        <v>268</v>
      </c>
      <c r="K19" s="966">
        <f>'T20'!L26</f>
        <v>470</v>
      </c>
      <c r="L19" s="966">
        <f>'T20'!M26</f>
        <v>271</v>
      </c>
      <c r="M19" s="617"/>
    </row>
    <row r="20" spans="1:13" x14ac:dyDescent="0.25">
      <c r="A20" s="319" t="s">
        <v>152</v>
      </c>
      <c r="B20" s="320">
        <f>'T20'!D27</f>
        <v>1038</v>
      </c>
      <c r="C20" s="320">
        <f>'T20'!E27</f>
        <v>1082</v>
      </c>
      <c r="D20" s="320">
        <f>'T20'!F27</f>
        <v>1619</v>
      </c>
      <c r="E20" s="320">
        <f>'T20'!G27</f>
        <v>1294</v>
      </c>
      <c r="F20" s="540"/>
      <c r="G20" s="966">
        <f>'T20'!H27</f>
        <v>683</v>
      </c>
      <c r="H20" s="966">
        <f>'T20'!I27</f>
        <v>639</v>
      </c>
      <c r="I20" s="966">
        <f>'T20'!J27</f>
        <v>523</v>
      </c>
      <c r="J20" s="966">
        <f>'T20'!K27</f>
        <v>362</v>
      </c>
      <c r="K20" s="966">
        <f>'T20'!L27</f>
        <v>382</v>
      </c>
      <c r="L20" s="966">
        <f>'T20'!M27</f>
        <v>358</v>
      </c>
      <c r="M20" s="617"/>
    </row>
    <row r="21" spans="1:13" x14ac:dyDescent="0.25">
      <c r="A21" s="319" t="s">
        <v>153</v>
      </c>
      <c r="B21" s="320">
        <f>'T20'!D28</f>
        <v>287</v>
      </c>
      <c r="C21" s="320">
        <f>'T20'!E28</f>
        <v>328</v>
      </c>
      <c r="D21" s="320">
        <f>'T20'!F28</f>
        <v>260</v>
      </c>
      <c r="E21" s="320">
        <f>'T20'!G28</f>
        <v>399</v>
      </c>
      <c r="F21" s="540"/>
      <c r="G21" s="966">
        <f>'T20'!H28</f>
        <v>356</v>
      </c>
      <c r="H21" s="966">
        <f>'T20'!I28</f>
        <v>320</v>
      </c>
      <c r="I21" s="966">
        <f>'T20'!J28</f>
        <v>235</v>
      </c>
      <c r="J21" s="966">
        <f>'T20'!K28</f>
        <v>240</v>
      </c>
      <c r="K21" s="966">
        <f>'T20'!L28</f>
        <v>283</v>
      </c>
      <c r="L21" s="966">
        <f>'T20'!M28</f>
        <v>279</v>
      </c>
      <c r="M21" s="617"/>
    </row>
    <row r="22" spans="1:13" x14ac:dyDescent="0.25">
      <c r="A22" s="319" t="s">
        <v>154</v>
      </c>
      <c r="B22" s="320">
        <f>'T20'!D29</f>
        <v>282</v>
      </c>
      <c r="C22" s="320">
        <f>'T20'!E29</f>
        <v>304</v>
      </c>
      <c r="D22" s="320">
        <f>'T20'!F29</f>
        <v>288</v>
      </c>
      <c r="E22" s="320">
        <f>'T20'!G29</f>
        <v>408</v>
      </c>
      <c r="F22" s="540"/>
      <c r="G22" s="966">
        <f>'T20'!H29</f>
        <v>412</v>
      </c>
      <c r="H22" s="966">
        <f>'T20'!I29</f>
        <v>485</v>
      </c>
      <c r="I22" s="966">
        <f>'T20'!J29</f>
        <v>329</v>
      </c>
      <c r="J22" s="966">
        <f>'T20'!K29</f>
        <v>228</v>
      </c>
      <c r="K22" s="966">
        <f>'T20'!L29</f>
        <v>267</v>
      </c>
      <c r="L22" s="966">
        <f>'T20'!M29</f>
        <v>241</v>
      </c>
      <c r="M22" s="617"/>
    </row>
    <row r="23" spans="1:13" x14ac:dyDescent="0.25">
      <c r="A23" s="319" t="s">
        <v>155</v>
      </c>
      <c r="B23" s="320">
        <f>'T20'!D30</f>
        <v>311</v>
      </c>
      <c r="C23" s="320">
        <f>'T20'!E30</f>
        <v>405</v>
      </c>
      <c r="D23" s="320">
        <f>'T20'!F30</f>
        <v>483</v>
      </c>
      <c r="E23" s="320">
        <f>'T20'!G30</f>
        <v>389</v>
      </c>
      <c r="F23" s="540"/>
      <c r="G23" s="966">
        <f>'T20'!H30</f>
        <v>344</v>
      </c>
      <c r="H23" s="966">
        <f>'T20'!I30</f>
        <v>379</v>
      </c>
      <c r="I23" s="966">
        <f>'T20'!J30</f>
        <v>275</v>
      </c>
      <c r="J23" s="966">
        <f>'T20'!K30</f>
        <v>220</v>
      </c>
      <c r="K23" s="966">
        <f>'T20'!L30</f>
        <v>267</v>
      </c>
      <c r="L23" s="966">
        <f>'T20'!M30</f>
        <v>285</v>
      </c>
      <c r="M23" s="617"/>
    </row>
    <row r="24" spans="1:13" x14ac:dyDescent="0.25">
      <c r="A24" s="319" t="s">
        <v>156</v>
      </c>
      <c r="B24" s="320">
        <f>'T20'!D31</f>
        <v>154</v>
      </c>
      <c r="C24" s="320">
        <f>'T20'!E31</f>
        <v>176</v>
      </c>
      <c r="D24" s="320">
        <f>'T20'!F31</f>
        <v>342</v>
      </c>
      <c r="E24" s="320">
        <f>'T20'!G31</f>
        <v>340</v>
      </c>
      <c r="F24" s="540"/>
      <c r="G24" s="966">
        <f>'T20'!H31</f>
        <v>174</v>
      </c>
      <c r="H24" s="966">
        <f>'T20'!I31</f>
        <v>198</v>
      </c>
      <c r="I24" s="966">
        <f>'T20'!J31</f>
        <v>243</v>
      </c>
      <c r="J24" s="966">
        <f>'T20'!K31</f>
        <v>113</v>
      </c>
      <c r="K24" s="966">
        <f>'T20'!L31</f>
        <v>189</v>
      </c>
      <c r="L24" s="966">
        <f>'T20'!M31</f>
        <v>117</v>
      </c>
      <c r="M24" s="617"/>
    </row>
    <row r="25" spans="1:13" x14ac:dyDescent="0.25">
      <c r="A25" s="319"/>
      <c r="B25" s="320"/>
      <c r="C25" s="321"/>
      <c r="E25" s="320"/>
      <c r="F25" s="321"/>
      <c r="G25" s="78"/>
      <c r="H25" s="78"/>
    </row>
    <row r="26" spans="1:13" ht="15.75" thickBot="1" x14ac:dyDescent="0.3">
      <c r="A26" s="322" t="s">
        <v>157</v>
      </c>
      <c r="B26" s="323">
        <f t="shared" ref="B26:K26" si="0">SUM(B10:B24,-B12)</f>
        <v>6061</v>
      </c>
      <c r="C26" s="323">
        <f t="shared" si="0"/>
        <v>6744</v>
      </c>
      <c r="D26" s="323">
        <f t="shared" si="0"/>
        <v>7555</v>
      </c>
      <c r="E26" s="323">
        <f t="shared" si="0"/>
        <v>7994</v>
      </c>
      <c r="F26" s="541">
        <f t="shared" si="0"/>
        <v>0</v>
      </c>
      <c r="G26" s="323">
        <f>SUM(G10:G24,-G12)</f>
        <v>6259</v>
      </c>
      <c r="H26" s="323">
        <f t="shared" si="0"/>
        <v>6772</v>
      </c>
      <c r="I26" s="323">
        <f t="shared" si="0"/>
        <v>6289</v>
      </c>
      <c r="J26" s="323">
        <f t="shared" si="0"/>
        <v>5558</v>
      </c>
      <c r="K26" s="323">
        <f t="shared" si="0"/>
        <v>6010</v>
      </c>
      <c r="L26" s="323">
        <f>SUM(L10:L24,-L12)</f>
        <v>5310</v>
      </c>
    </row>
    <row r="27" spans="1:13" x14ac:dyDescent="0.25">
      <c r="A27" s="324"/>
      <c r="B27" s="176"/>
      <c r="C27" s="176"/>
      <c r="D27" s="176"/>
      <c r="E27" s="185"/>
      <c r="F27" s="150"/>
      <c r="G27" s="325"/>
      <c r="H27" s="325"/>
    </row>
    <row r="28" spans="1:13" ht="15.75" thickBot="1" x14ac:dyDescent="0.3">
      <c r="A28" s="322" t="s">
        <v>158</v>
      </c>
      <c r="B28" s="323">
        <f>'T20'!$D$16</f>
        <v>0</v>
      </c>
      <c r="C28" s="323">
        <f>'T20'!$E$16</f>
        <v>0</v>
      </c>
      <c r="D28" s="323">
        <f>'T20'!$E$16</f>
        <v>0</v>
      </c>
      <c r="E28" s="323">
        <f>'T20'!$F$16</f>
        <v>0</v>
      </c>
      <c r="F28" s="541"/>
      <c r="G28" s="323">
        <f t="shared" ref="G28:L28" si="1">SUM(G10:G24)</f>
        <v>8206</v>
      </c>
      <c r="H28" s="323">
        <f t="shared" si="1"/>
        <v>9834</v>
      </c>
      <c r="I28" s="323">
        <f t="shared" si="1"/>
        <v>8939</v>
      </c>
      <c r="J28" s="323">
        <f t="shared" si="1"/>
        <v>7635</v>
      </c>
      <c r="K28" s="323">
        <f t="shared" si="1"/>
        <v>7872</v>
      </c>
      <c r="L28" s="323">
        <f t="shared" si="1"/>
        <v>7261</v>
      </c>
    </row>
    <row r="29" spans="1:13" x14ac:dyDescent="0.25">
      <c r="A29" s="31"/>
      <c r="B29" s="31"/>
      <c r="C29" s="31"/>
      <c r="D29" s="31"/>
      <c r="E29" s="31"/>
      <c r="F29" s="31"/>
      <c r="G29" s="31"/>
      <c r="H29" s="31"/>
    </row>
    <row r="30" spans="1:13" x14ac:dyDescent="0.25">
      <c r="A30" s="499" t="s">
        <v>8</v>
      </c>
      <c r="B30" s="498"/>
      <c r="C30" s="498"/>
      <c r="D30" s="498"/>
      <c r="E30" s="498"/>
      <c r="F30" s="498"/>
      <c r="G30" s="498"/>
      <c r="H30" s="498"/>
    </row>
    <row r="31" spans="1:13" x14ac:dyDescent="0.25">
      <c r="A31" s="498" t="s">
        <v>217</v>
      </c>
      <c r="B31" s="498"/>
      <c r="C31" s="498"/>
      <c r="D31" s="498"/>
      <c r="E31" s="498"/>
      <c r="F31" s="498"/>
      <c r="G31" s="498"/>
      <c r="H31" s="498"/>
    </row>
    <row r="32" spans="1:13" ht="30" customHeight="1" x14ac:dyDescent="0.25">
      <c r="A32" s="1080" t="s">
        <v>1005</v>
      </c>
      <c r="B32" s="1080"/>
      <c r="C32" s="1080"/>
      <c r="D32" s="1080"/>
      <c r="E32" s="1080"/>
      <c r="F32" s="1080"/>
      <c r="G32" s="1080"/>
      <c r="H32" s="1080"/>
    </row>
  </sheetData>
  <sheetProtection algorithmName="SHA-512" hashValue="9EUmsNvalnoD7d7+FqAKsy5MkzJPnC/BnrC7G43QyY/rkQ1HEctVoK8WM9qFXKNI8chrm/BPMmCvOU1q7kvDmQ==" saltValue="xoAm+rGwU+7ferQPuB6Qfg==" spinCount="100000" sheet="1" scenarios="1" formatCells="0" formatColumns="0" formatRows="0" sort="0" autoFilter="0" pivotTables="0"/>
  <mergeCells count="2">
    <mergeCell ref="A4:K4"/>
    <mergeCell ref="A32:H32"/>
  </mergeCells>
  <hyperlinks>
    <hyperlink ref="A2" location="'Table of Contents'!A1" display="Back to Table of Contents"/>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39997558519241921"/>
    <pageSetUpPr fitToPage="1"/>
  </sheetPr>
  <dimension ref="A1:S45"/>
  <sheetViews>
    <sheetView showGridLines="0" workbookViewId="0">
      <pane ySplit="2" topLeftCell="A3" activePane="bottomLeft" state="frozen"/>
      <selection pane="bottomLeft"/>
    </sheetView>
  </sheetViews>
  <sheetFormatPr defaultRowHeight="15" x14ac:dyDescent="0.25"/>
  <cols>
    <col min="1" max="1" width="17" customWidth="1"/>
    <col min="2" max="2" width="21.28515625" customWidth="1"/>
    <col min="3" max="3" width="9.85546875" customWidth="1"/>
    <col min="4" max="4" width="7.5703125" bestFit="1" customWidth="1"/>
    <col min="5" max="5" width="8" customWidth="1"/>
    <col min="6" max="7" width="7.28515625" customWidth="1"/>
    <col min="8" max="8" width="10.42578125" customWidth="1"/>
    <col min="9" max="9" width="11.28515625" customWidth="1"/>
    <col min="10" max="10" width="9.42578125" customWidth="1"/>
    <col min="11" max="11" width="11" customWidth="1"/>
    <col min="12" max="12" width="8.28515625" customWidth="1"/>
    <col min="13" max="13" width="7" customWidth="1"/>
    <col min="14" max="14" width="12.7109375" customWidth="1"/>
    <col min="15" max="15" width="12.5703125" customWidth="1"/>
    <col min="16" max="16" width="7.140625" bestFit="1" customWidth="1"/>
    <col min="17" max="17" width="11.28515625" bestFit="1" customWidth="1"/>
    <col min="18" max="18" width="8.85546875" customWidth="1"/>
    <col min="19" max="19" width="15.42578125" bestFit="1" customWidth="1"/>
  </cols>
  <sheetData>
    <row r="1" spans="1:19" ht="15.75" x14ac:dyDescent="0.25">
      <c r="A1" s="802" t="s">
        <v>633</v>
      </c>
    </row>
    <row r="2" spans="1:19" x14ac:dyDescent="0.25">
      <c r="A2" s="772" t="s">
        <v>578</v>
      </c>
    </row>
    <row r="3" spans="1:19" x14ac:dyDescent="0.25">
      <c r="A3" s="31"/>
    </row>
    <row r="4" spans="1:19" ht="15.75" x14ac:dyDescent="0.25">
      <c r="A4" s="1116" t="s">
        <v>674</v>
      </c>
      <c r="B4" s="1116"/>
      <c r="C4" s="1116"/>
      <c r="D4" s="1116"/>
      <c r="E4" s="1116"/>
      <c r="F4" s="1116"/>
      <c r="G4" s="1116"/>
      <c r="H4" s="1116"/>
      <c r="I4" s="1116"/>
      <c r="J4" s="1116"/>
      <c r="K4" s="1116"/>
    </row>
    <row r="5" spans="1:19" ht="15.75" x14ac:dyDescent="0.25">
      <c r="A5" t="s">
        <v>363</v>
      </c>
      <c r="B5" t="s">
        <v>789</v>
      </c>
      <c r="C5" s="784"/>
      <c r="D5" s="784"/>
      <c r="E5" s="784"/>
      <c r="F5" s="784"/>
      <c r="G5" s="784"/>
      <c r="H5" s="784"/>
      <c r="I5" s="784"/>
      <c r="J5" s="784"/>
      <c r="K5" s="784"/>
    </row>
    <row r="6" spans="1:19" ht="15.75" x14ac:dyDescent="0.25">
      <c r="A6" t="s">
        <v>364</v>
      </c>
      <c r="B6" t="s">
        <v>366</v>
      </c>
      <c r="C6" s="784"/>
      <c r="D6" s="784"/>
      <c r="E6" s="784"/>
      <c r="F6" s="784"/>
      <c r="G6" s="784"/>
      <c r="H6" s="784"/>
      <c r="I6" s="784"/>
      <c r="J6" s="784"/>
      <c r="K6" s="784"/>
    </row>
    <row r="7" spans="1:19" ht="15.75" x14ac:dyDescent="0.25">
      <c r="A7" t="s">
        <v>365</v>
      </c>
      <c r="B7" t="s">
        <v>367</v>
      </c>
      <c r="C7" s="784"/>
      <c r="D7" s="784"/>
      <c r="E7" s="784"/>
      <c r="F7" s="784"/>
      <c r="G7" s="784"/>
      <c r="H7" s="784"/>
      <c r="I7" s="784"/>
      <c r="J7" s="784"/>
      <c r="K7" s="784"/>
    </row>
    <row r="8" spans="1:19" ht="18.75" x14ac:dyDescent="0.3">
      <c r="F8" s="982" t="s">
        <v>1006</v>
      </c>
      <c r="G8" s="1031" t="str">
        <f>h20a!$D$2</f>
        <v>2019-20</v>
      </c>
    </row>
    <row r="9" spans="1:19" ht="60" x14ac:dyDescent="0.25">
      <c r="A9" s="326" t="s">
        <v>515</v>
      </c>
      <c r="B9" s="326" t="s">
        <v>120</v>
      </c>
      <c r="C9" s="327" t="s">
        <v>159</v>
      </c>
      <c r="D9" s="327" t="s">
        <v>144</v>
      </c>
      <c r="E9" s="327" t="s">
        <v>160</v>
      </c>
      <c r="F9" s="327" t="s">
        <v>145</v>
      </c>
      <c r="G9" s="327" t="s">
        <v>146</v>
      </c>
      <c r="H9" s="327" t="s">
        <v>161</v>
      </c>
      <c r="I9" s="327" t="s">
        <v>148</v>
      </c>
      <c r="J9" s="327" t="s">
        <v>149</v>
      </c>
      <c r="K9" s="327" t="s">
        <v>150</v>
      </c>
      <c r="L9" s="327" t="s">
        <v>151</v>
      </c>
      <c r="M9" s="327" t="s">
        <v>152</v>
      </c>
      <c r="N9" s="327" t="s">
        <v>635</v>
      </c>
      <c r="O9" s="327" t="s">
        <v>154</v>
      </c>
      <c r="P9" s="327" t="s">
        <v>155</v>
      </c>
      <c r="Q9" s="327" t="s">
        <v>156</v>
      </c>
      <c r="R9" s="586" t="s">
        <v>162</v>
      </c>
      <c r="S9" s="327" t="s">
        <v>157</v>
      </c>
    </row>
    <row r="10" spans="1:19" ht="21" customHeight="1" x14ac:dyDescent="0.25">
      <c r="A10" s="568" t="s">
        <v>301</v>
      </c>
      <c r="B10" s="887" t="s">
        <v>31</v>
      </c>
      <c r="C10" s="118">
        <f>GETPIVOTDATA("Sum of Hospital / Prison",h20a!$A$4,"Council",B10)</f>
        <v>15</v>
      </c>
      <c r="D10" s="118">
        <f>GETPIVOTDATA("Sum of Care Home",h20a!$A$4,"Council",B10)</f>
        <v>70</v>
      </c>
      <c r="E10" s="118">
        <f>GETPIVOTDATA("Sum of HMO",h20a!$A$4,"Council",B10)</f>
        <v>231</v>
      </c>
      <c r="F10" s="118">
        <f>GETPIVOTDATA("Sum of Hostel",h20a!$A$4,"Council",B10)</f>
        <v>0</v>
      </c>
      <c r="G10" s="118">
        <f>GETPIVOTDATA("Sum of Hotel",h20a!$A$4,"Council",B10)</f>
        <v>44</v>
      </c>
      <c r="H10" s="118">
        <f>GETPIVOTDATA("Sum of Other Sleeping Accommodation",h20a!$A$4,"Council",B10)</f>
        <v>17</v>
      </c>
      <c r="I10" s="118">
        <f>GETPIVOTDATA("Sum of Further Education",h20a!$A$4,"Council",B10)</f>
        <v>2</v>
      </c>
      <c r="J10" s="118">
        <f>GETPIVOTDATA("Sum of Public Building",h20a!$A$4,"Council",B10)</f>
        <v>1</v>
      </c>
      <c r="K10" s="118">
        <f>GETPIVOTDATA("Sum of Licensed Premises",h20a!$A$4,"Council",B10)</f>
        <v>7</v>
      </c>
      <c r="L10" s="118">
        <f>GETPIVOTDATA("Sum of School",h20a!$A$4,"Council",B10)</f>
        <v>6</v>
      </c>
      <c r="M10" s="118">
        <f>GETPIVOTDATA("Sum of Shop",h20a!$A$4,"Council",B10)</f>
        <v>13</v>
      </c>
      <c r="N10" s="118">
        <f>GETPIVOTDATA("Sum of Other Premises Open to Public",h20a!$A$4,"Council",B10)</f>
        <v>9</v>
      </c>
      <c r="O10" s="118">
        <f>GETPIVOTDATA("Sum of Factory or Warehouse",h20a!$A$4,"Council",B10)</f>
        <v>8</v>
      </c>
      <c r="P10" s="118">
        <f>GETPIVOTDATA("Sum of Office",h20a!$A$4,"Council",B10)</f>
        <v>6</v>
      </c>
      <c r="Q10" s="118">
        <f>GETPIVOTDATA("Sum of Other Workplace",h20a!$A$4,"Council",B10)</f>
        <v>4</v>
      </c>
      <c r="R10" s="587">
        <f>SUM(C10:Q10)</f>
        <v>433</v>
      </c>
      <c r="S10" s="108">
        <f>R10-E10</f>
        <v>202</v>
      </c>
    </row>
    <row r="11" spans="1:19" x14ac:dyDescent="0.25">
      <c r="A11" s="568" t="s">
        <v>302</v>
      </c>
      <c r="B11" s="887" t="s">
        <v>32</v>
      </c>
      <c r="C11" s="118">
        <f>GETPIVOTDATA("Sum of Hospital / Prison",h20a!$A$4,"Council",B11)</f>
        <v>15</v>
      </c>
      <c r="D11" s="118">
        <f>GETPIVOTDATA("Sum of Care Home",h20a!$A$4,"Council",B11)</f>
        <v>81</v>
      </c>
      <c r="E11" s="118">
        <f>GETPIVOTDATA("Sum of HMO",h20a!$A$4,"Council",B11)</f>
        <v>20</v>
      </c>
      <c r="F11" s="118">
        <f>GETPIVOTDATA("Sum of Hostel",h20a!$A$4,"Council",B11)</f>
        <v>5</v>
      </c>
      <c r="G11" s="118">
        <f>GETPIVOTDATA("Sum of Hotel",h20a!$A$4,"Council",B11)</f>
        <v>44</v>
      </c>
      <c r="H11" s="118">
        <f>GETPIVOTDATA("Sum of Other Sleeping Accommodation",h20a!$A$4,"Council",B11)</f>
        <v>47</v>
      </c>
      <c r="I11" s="118">
        <f>GETPIVOTDATA("Sum of Further Education",h20a!$A$4,"Council",B11)</f>
        <v>0</v>
      </c>
      <c r="J11" s="118">
        <f>GETPIVOTDATA("Sum of Public Building",h20a!$A$4,"Council",B11)</f>
        <v>3</v>
      </c>
      <c r="K11" s="118">
        <f>GETPIVOTDATA("Sum of Licensed Premises",h20a!$A$4,"Council",B11)</f>
        <v>8</v>
      </c>
      <c r="L11" s="118">
        <f>GETPIVOTDATA("Sum of School",h20a!$A$4,"Council",B11)</f>
        <v>30</v>
      </c>
      <c r="M11" s="118">
        <f>GETPIVOTDATA("Sum of Shop",h20a!$A$4,"Council",B11)</f>
        <v>34</v>
      </c>
      <c r="N11" s="118">
        <f>GETPIVOTDATA("Sum of Other Premises Open to Public",h20a!$A$4,"Council",B11)</f>
        <v>9</v>
      </c>
      <c r="O11" s="118">
        <f>GETPIVOTDATA("Sum of Factory or Warehouse",h20a!$A$4,"Council",B11)</f>
        <v>19</v>
      </c>
      <c r="P11" s="118">
        <f>GETPIVOTDATA("Sum of Office",h20a!$A$4,"Council",B11)</f>
        <v>17</v>
      </c>
      <c r="Q11" s="118">
        <f>GETPIVOTDATA("Sum of Other Workplace",h20a!$A$4,"Council",B11)</f>
        <v>19</v>
      </c>
      <c r="R11" s="587">
        <f t="shared" ref="R11:R41" si="0">SUM(C11:Q11)</f>
        <v>351</v>
      </c>
      <c r="S11" s="108">
        <f t="shared" ref="S11:S41" si="1">R11-E11</f>
        <v>331</v>
      </c>
    </row>
    <row r="12" spans="1:19" x14ac:dyDescent="0.25">
      <c r="A12" s="568" t="s">
        <v>308</v>
      </c>
      <c r="B12" s="887" t="s">
        <v>33</v>
      </c>
      <c r="C12" s="118">
        <f>GETPIVOTDATA("Sum of Hospital / Prison",h20a!$A$4,"Council",B12)</f>
        <v>7</v>
      </c>
      <c r="D12" s="118">
        <f>GETPIVOTDATA("Sum of Care Home",h20a!$A$4,"Council",B12)</f>
        <v>38</v>
      </c>
      <c r="E12" s="118">
        <f>GETPIVOTDATA("Sum of HMO",h20a!$A$4,"Council",B12)</f>
        <v>7</v>
      </c>
      <c r="F12" s="118">
        <f>GETPIVOTDATA("Sum of Hostel",h20a!$A$4,"Council",B12)</f>
        <v>0</v>
      </c>
      <c r="G12" s="118">
        <f>GETPIVOTDATA("Sum of Hotel",h20a!$A$4,"Council",B12)</f>
        <v>2</v>
      </c>
      <c r="H12" s="118">
        <f>GETPIVOTDATA("Sum of Other Sleeping Accommodation",h20a!$A$4,"Council",B12)</f>
        <v>6</v>
      </c>
      <c r="I12" s="118">
        <f>GETPIVOTDATA("Sum of Further Education",h20a!$A$4,"Council",B12)</f>
        <v>0</v>
      </c>
      <c r="J12" s="118">
        <f>GETPIVOTDATA("Sum of Public Building",h20a!$A$4,"Council",B12)</f>
        <v>7</v>
      </c>
      <c r="K12" s="118">
        <f>GETPIVOTDATA("Sum of Licensed Premises",h20a!$A$4,"Council",B12)</f>
        <v>10</v>
      </c>
      <c r="L12" s="118">
        <f>GETPIVOTDATA("Sum of School",h20a!$A$4,"Council",B12)</f>
        <v>8</v>
      </c>
      <c r="M12" s="118">
        <f>GETPIVOTDATA("Sum of Shop",h20a!$A$4,"Council",B12)</f>
        <v>10</v>
      </c>
      <c r="N12" s="118">
        <f>GETPIVOTDATA("Sum of Other Premises Open to Public",h20a!$A$4,"Council",B12)</f>
        <v>9</v>
      </c>
      <c r="O12" s="118">
        <f>GETPIVOTDATA("Sum of Factory or Warehouse",h20a!$A$4,"Council",B12)</f>
        <v>8</v>
      </c>
      <c r="P12" s="118">
        <f>GETPIVOTDATA("Sum of Office",h20a!$A$4,"Council",B12)</f>
        <v>2</v>
      </c>
      <c r="Q12" s="118">
        <f>GETPIVOTDATA("Sum of Other Workplace",h20a!$A$4,"Council",B12)</f>
        <v>9</v>
      </c>
      <c r="R12" s="587">
        <f t="shared" si="0"/>
        <v>123</v>
      </c>
      <c r="S12" s="108">
        <f t="shared" si="1"/>
        <v>116</v>
      </c>
    </row>
    <row r="13" spans="1:19" x14ac:dyDescent="0.25">
      <c r="A13" s="568" t="s">
        <v>303</v>
      </c>
      <c r="B13" s="887" t="s">
        <v>34</v>
      </c>
      <c r="C13" s="118">
        <f>GETPIVOTDATA("Sum of Hospital / Prison",h20a!$A$4,"Council",B13)</f>
        <v>7</v>
      </c>
      <c r="D13" s="118">
        <f>GETPIVOTDATA("Sum of Care Home",h20a!$A$4,"Council",B13)</f>
        <v>28</v>
      </c>
      <c r="E13" s="118">
        <f>GETPIVOTDATA("Sum of HMO",h20a!$A$4,"Council",B13)</f>
        <v>38</v>
      </c>
      <c r="F13" s="118">
        <f>GETPIVOTDATA("Sum of Hostel",h20a!$A$4,"Council",B13)</f>
        <v>8</v>
      </c>
      <c r="G13" s="118">
        <f>GETPIVOTDATA("Sum of Hotel",h20a!$A$4,"Council",B13)</f>
        <v>107</v>
      </c>
      <c r="H13" s="118">
        <f>GETPIVOTDATA("Sum of Other Sleeping Accommodation",h20a!$A$4,"Council",B13)</f>
        <v>49</v>
      </c>
      <c r="I13" s="118">
        <f>GETPIVOTDATA("Sum of Further Education",h20a!$A$4,"Council",B13)</f>
        <v>2</v>
      </c>
      <c r="J13" s="118">
        <f>GETPIVOTDATA("Sum of Public Building",h20a!$A$4,"Council",B13)</f>
        <v>3</v>
      </c>
      <c r="K13" s="118">
        <f>GETPIVOTDATA("Sum of Licensed Premises",h20a!$A$4,"Council",B13)</f>
        <v>5</v>
      </c>
      <c r="L13" s="118">
        <f>GETPIVOTDATA("Sum of School",h20a!$A$4,"Council",B13)</f>
        <v>7</v>
      </c>
      <c r="M13" s="118">
        <f>GETPIVOTDATA("Sum of Shop",h20a!$A$4,"Council",B13)</f>
        <v>8</v>
      </c>
      <c r="N13" s="118">
        <f>GETPIVOTDATA("Sum of Other Premises Open to Public",h20a!$A$4,"Council",B13)</f>
        <v>5</v>
      </c>
      <c r="O13" s="118">
        <f>GETPIVOTDATA("Sum of Factory or Warehouse",h20a!$A$4,"Council",B13)</f>
        <v>7</v>
      </c>
      <c r="P13" s="118">
        <f>GETPIVOTDATA("Sum of Office",h20a!$A$4,"Council",B13)</f>
        <v>6</v>
      </c>
      <c r="Q13" s="118">
        <f>GETPIVOTDATA("Sum of Other Workplace",h20a!$A$4,"Council",B13)</f>
        <v>2</v>
      </c>
      <c r="R13" s="587">
        <f t="shared" si="0"/>
        <v>282</v>
      </c>
      <c r="S13" s="108">
        <f t="shared" si="1"/>
        <v>244</v>
      </c>
    </row>
    <row r="14" spans="1:19" x14ac:dyDescent="0.25">
      <c r="A14" s="568" t="s">
        <v>304</v>
      </c>
      <c r="B14" s="887" t="s">
        <v>258</v>
      </c>
      <c r="C14" s="118">
        <f>GETPIVOTDATA("Sum of Hospital / Prison",h20a!$A$4,"Council",B14)</f>
        <v>44</v>
      </c>
      <c r="D14" s="118">
        <f>GETPIVOTDATA("Sum of Care Home",h20a!$A$4,"Council",B14)</f>
        <v>107</v>
      </c>
      <c r="E14" s="118">
        <f>GETPIVOTDATA("Sum of HMO",h20a!$A$4,"Council",B14)</f>
        <v>91</v>
      </c>
      <c r="F14" s="118">
        <f>GETPIVOTDATA("Sum of Hostel",h20a!$A$4,"Council",B14)</f>
        <v>11</v>
      </c>
      <c r="G14" s="118">
        <f>GETPIVOTDATA("Sum of Hotel",h20a!$A$4,"Council",B14)</f>
        <v>97</v>
      </c>
      <c r="H14" s="118">
        <f>GETPIVOTDATA("Sum of Other Sleeping Accommodation",h20a!$A$4,"Council",B14)</f>
        <v>84</v>
      </c>
      <c r="I14" s="118">
        <f>GETPIVOTDATA("Sum of Further Education",h20a!$A$4,"Council",B14)</f>
        <v>4</v>
      </c>
      <c r="J14" s="118">
        <f>GETPIVOTDATA("Sum of Public Building",h20a!$A$4,"Council",B14)</f>
        <v>2</v>
      </c>
      <c r="K14" s="118">
        <f>GETPIVOTDATA("Sum of Licensed Premises",h20a!$A$4,"Council",B14)</f>
        <v>52</v>
      </c>
      <c r="L14" s="118">
        <f>GETPIVOTDATA("Sum of School",h20a!$A$4,"Council",B14)</f>
        <v>28</v>
      </c>
      <c r="M14" s="118">
        <f>GETPIVOTDATA("Sum of Shop",h20a!$A$4,"Council",B14)</f>
        <v>42</v>
      </c>
      <c r="N14" s="118">
        <f>GETPIVOTDATA("Sum of Other Premises Open to Public",h20a!$A$4,"Council",B14)</f>
        <v>31</v>
      </c>
      <c r="O14" s="118">
        <f>GETPIVOTDATA("Sum of Factory or Warehouse",h20a!$A$4,"Council",B14)</f>
        <v>7</v>
      </c>
      <c r="P14" s="118">
        <f>GETPIVOTDATA("Sum of Office",h20a!$A$4,"Council",B14)</f>
        <v>45</v>
      </c>
      <c r="Q14" s="118">
        <f>GETPIVOTDATA("Sum of Other Workplace",h20a!$A$4,"Council",B14)</f>
        <v>3</v>
      </c>
      <c r="R14" s="587">
        <f t="shared" si="0"/>
        <v>648</v>
      </c>
      <c r="S14" s="108">
        <f t="shared" si="1"/>
        <v>557</v>
      </c>
    </row>
    <row r="15" spans="1:19" x14ac:dyDescent="0.25">
      <c r="A15" s="568" t="s">
        <v>282</v>
      </c>
      <c r="B15" s="887" t="s">
        <v>35</v>
      </c>
      <c r="C15" s="118">
        <f>GETPIVOTDATA("Sum of Hospital / Prison",h20a!$A$4,"Council",B15)</f>
        <v>4</v>
      </c>
      <c r="D15" s="118">
        <f>GETPIVOTDATA("Sum of Care Home",h20a!$A$4,"Council",B15)</f>
        <v>22</v>
      </c>
      <c r="E15" s="118">
        <f>GETPIVOTDATA("Sum of HMO",h20a!$A$4,"Council",B15)</f>
        <v>3</v>
      </c>
      <c r="F15" s="118">
        <f>GETPIVOTDATA("Sum of Hostel",h20a!$A$4,"Council",B15)</f>
        <v>0</v>
      </c>
      <c r="G15" s="118">
        <f>GETPIVOTDATA("Sum of Hotel",h20a!$A$4,"Council",B15)</f>
        <v>0</v>
      </c>
      <c r="H15" s="118">
        <f>GETPIVOTDATA("Sum of Other Sleeping Accommodation",h20a!$A$4,"Council",B15)</f>
        <v>0</v>
      </c>
      <c r="I15" s="118">
        <f>GETPIVOTDATA("Sum of Further Education",h20a!$A$4,"Council",B15)</f>
        <v>0</v>
      </c>
      <c r="J15" s="118">
        <f>GETPIVOTDATA("Sum of Public Building",h20a!$A$4,"Council",B15)</f>
        <v>0</v>
      </c>
      <c r="K15" s="118">
        <f>GETPIVOTDATA("Sum of Licensed Premises",h20a!$A$4,"Council",B15)</f>
        <v>0</v>
      </c>
      <c r="L15" s="118">
        <f>GETPIVOTDATA("Sum of School",h20a!$A$4,"Council",B15)</f>
        <v>8</v>
      </c>
      <c r="M15" s="118">
        <f>GETPIVOTDATA("Sum of Shop",h20a!$A$4,"Council",B15)</f>
        <v>1</v>
      </c>
      <c r="N15" s="118">
        <f>GETPIVOTDATA("Sum of Other Premises Open to Public",h20a!$A$4,"Council",B15)</f>
        <v>4</v>
      </c>
      <c r="O15" s="118">
        <f>GETPIVOTDATA("Sum of Factory or Warehouse",h20a!$A$4,"Council",B15)</f>
        <v>3</v>
      </c>
      <c r="P15" s="118">
        <f>GETPIVOTDATA("Sum of Office",h20a!$A$4,"Council",B15)</f>
        <v>4</v>
      </c>
      <c r="Q15" s="118">
        <f>GETPIVOTDATA("Sum of Other Workplace",h20a!$A$4,"Council",B15)</f>
        <v>0</v>
      </c>
      <c r="R15" s="587">
        <f t="shared" si="0"/>
        <v>49</v>
      </c>
      <c r="S15" s="108">
        <f t="shared" si="1"/>
        <v>46</v>
      </c>
    </row>
    <row r="16" spans="1:19" x14ac:dyDescent="0.25">
      <c r="A16" s="568" t="s">
        <v>283</v>
      </c>
      <c r="B16" s="887" t="s">
        <v>36</v>
      </c>
      <c r="C16" s="118">
        <f>GETPIVOTDATA("Sum of Hospital / Prison",h20a!$A$4,"Council",B16)</f>
        <v>7</v>
      </c>
      <c r="D16" s="118">
        <f>GETPIVOTDATA("Sum of Care Home",h20a!$A$4,"Council",B16)</f>
        <v>61</v>
      </c>
      <c r="E16" s="118">
        <f>GETPIVOTDATA("Sum of HMO",h20a!$A$4,"Council",B16)</f>
        <v>21</v>
      </c>
      <c r="F16" s="118">
        <f>GETPIVOTDATA("Sum of Hostel",h20a!$A$4,"Council",B16)</f>
        <v>6</v>
      </c>
      <c r="G16" s="118">
        <f>GETPIVOTDATA("Sum of Hotel",h20a!$A$4,"Council",B16)</f>
        <v>90</v>
      </c>
      <c r="H16" s="118">
        <f>GETPIVOTDATA("Sum of Other Sleeping Accommodation",h20a!$A$4,"Council",B16)</f>
        <v>67</v>
      </c>
      <c r="I16" s="118">
        <f>GETPIVOTDATA("Sum of Further Education",h20a!$A$4,"Council",B16)</f>
        <v>0</v>
      </c>
      <c r="J16" s="118">
        <f>GETPIVOTDATA("Sum of Public Building",h20a!$A$4,"Council",B16)</f>
        <v>4</v>
      </c>
      <c r="K16" s="118">
        <f>GETPIVOTDATA("Sum of Licensed Premises",h20a!$A$4,"Council",B16)</f>
        <v>12</v>
      </c>
      <c r="L16" s="118">
        <f>GETPIVOTDATA("Sum of School",h20a!$A$4,"Council",B16)</f>
        <v>23</v>
      </c>
      <c r="M16" s="118">
        <f>GETPIVOTDATA("Sum of Shop",h20a!$A$4,"Council",B16)</f>
        <v>20</v>
      </c>
      <c r="N16" s="118">
        <f>GETPIVOTDATA("Sum of Other Premises Open to Public",h20a!$A$4,"Council",B16)</f>
        <v>44</v>
      </c>
      <c r="O16" s="118">
        <f>GETPIVOTDATA("Sum of Factory or Warehouse",h20a!$A$4,"Council",B16)</f>
        <v>43</v>
      </c>
      <c r="P16" s="118">
        <f>GETPIVOTDATA("Sum of Office",h20a!$A$4,"Council",B16)</f>
        <v>30</v>
      </c>
      <c r="Q16" s="118">
        <f>GETPIVOTDATA("Sum of Other Workplace",h20a!$A$4,"Council",B16)</f>
        <v>7</v>
      </c>
      <c r="R16" s="587">
        <f t="shared" si="0"/>
        <v>435</v>
      </c>
      <c r="S16" s="108">
        <f t="shared" si="1"/>
        <v>414</v>
      </c>
    </row>
    <row r="17" spans="1:19" x14ac:dyDescent="0.25">
      <c r="A17" s="568" t="s">
        <v>309</v>
      </c>
      <c r="B17" s="887" t="s">
        <v>37</v>
      </c>
      <c r="C17" s="118">
        <f>GETPIVOTDATA("Sum of Hospital / Prison",h20a!$A$4,"Council",B17)</f>
        <v>3</v>
      </c>
      <c r="D17" s="118">
        <f>GETPIVOTDATA("Sum of Care Home",h20a!$A$4,"Council",B17)</f>
        <v>35</v>
      </c>
      <c r="E17" s="118">
        <f>GETPIVOTDATA("Sum of HMO",h20a!$A$4,"Council",B17)</f>
        <v>336</v>
      </c>
      <c r="F17" s="118">
        <f>GETPIVOTDATA("Sum of Hostel",h20a!$A$4,"Council",B17)</f>
        <v>1</v>
      </c>
      <c r="G17" s="118">
        <f>GETPIVOTDATA("Sum of Hotel",h20a!$A$4,"Council",B17)</f>
        <v>17</v>
      </c>
      <c r="H17" s="118">
        <f>GETPIVOTDATA("Sum of Other Sleeping Accommodation",h20a!$A$4,"Council",B17)</f>
        <v>1</v>
      </c>
      <c r="I17" s="118">
        <f>GETPIVOTDATA("Sum of Further Education",h20a!$A$4,"Council",B17)</f>
        <v>0</v>
      </c>
      <c r="J17" s="118">
        <f>GETPIVOTDATA("Sum of Public Building",h20a!$A$4,"Council",B17)</f>
        <v>2</v>
      </c>
      <c r="K17" s="118">
        <f>GETPIVOTDATA("Sum of Licensed Premises",h20a!$A$4,"Council",B17)</f>
        <v>12</v>
      </c>
      <c r="L17" s="118">
        <f>GETPIVOTDATA("Sum of School",h20a!$A$4,"Council",B17)</f>
        <v>1</v>
      </c>
      <c r="M17" s="118">
        <f>GETPIVOTDATA("Sum of Shop",h20a!$A$4,"Council",B17)</f>
        <v>4</v>
      </c>
      <c r="N17" s="118">
        <f>GETPIVOTDATA("Sum of Other Premises Open to Public",h20a!$A$4,"Council",B17)</f>
        <v>7</v>
      </c>
      <c r="O17" s="118">
        <f>GETPIVOTDATA("Sum of Factory or Warehouse",h20a!$A$4,"Council",B17)</f>
        <v>4</v>
      </c>
      <c r="P17" s="118">
        <f>GETPIVOTDATA("Sum of Office",h20a!$A$4,"Council",B17)</f>
        <v>0</v>
      </c>
      <c r="Q17" s="118">
        <f>GETPIVOTDATA("Sum of Other Workplace",h20a!$A$4,"Council",B17)</f>
        <v>1</v>
      </c>
      <c r="R17" s="587">
        <f t="shared" si="0"/>
        <v>424</v>
      </c>
      <c r="S17" s="108">
        <f t="shared" si="1"/>
        <v>88</v>
      </c>
    </row>
    <row r="18" spans="1:19" x14ac:dyDescent="0.25">
      <c r="A18" s="568" t="s">
        <v>284</v>
      </c>
      <c r="B18" s="887" t="s">
        <v>38</v>
      </c>
      <c r="C18" s="118">
        <f>GETPIVOTDATA("Sum of Hospital / Prison",h20a!$A$4,"Council",B18)</f>
        <v>2</v>
      </c>
      <c r="D18" s="118">
        <f>GETPIVOTDATA("Sum of Care Home",h20a!$A$4,"Council",B18)</f>
        <v>54</v>
      </c>
      <c r="E18" s="118">
        <f>GETPIVOTDATA("Sum of HMO",h20a!$A$4,"Council",B18)</f>
        <v>8</v>
      </c>
      <c r="F18" s="118">
        <f>GETPIVOTDATA("Sum of Hostel",h20a!$A$4,"Council",B18)</f>
        <v>0</v>
      </c>
      <c r="G18" s="118">
        <f>GETPIVOTDATA("Sum of Hotel",h20a!$A$4,"Council",B18)</f>
        <v>13</v>
      </c>
      <c r="H18" s="118">
        <f>GETPIVOTDATA("Sum of Other Sleeping Accommodation",h20a!$A$4,"Council",B18)</f>
        <v>11</v>
      </c>
      <c r="I18" s="118">
        <f>GETPIVOTDATA("Sum of Further Education",h20a!$A$4,"Council",B18)</f>
        <v>0</v>
      </c>
      <c r="J18" s="118">
        <f>GETPIVOTDATA("Sum of Public Building",h20a!$A$4,"Council",B18)</f>
        <v>0</v>
      </c>
      <c r="K18" s="118">
        <f>GETPIVOTDATA("Sum of Licensed Premises",h20a!$A$4,"Council",B18)</f>
        <v>3</v>
      </c>
      <c r="L18" s="118">
        <f>GETPIVOTDATA("Sum of School",h20a!$A$4,"Council",B18)</f>
        <v>10</v>
      </c>
      <c r="M18" s="118">
        <f>GETPIVOTDATA("Sum of Shop",h20a!$A$4,"Council",B18)</f>
        <v>6</v>
      </c>
      <c r="N18" s="118">
        <f>GETPIVOTDATA("Sum of Other Premises Open to Public",h20a!$A$4,"Council",B18)</f>
        <v>3</v>
      </c>
      <c r="O18" s="118">
        <f>GETPIVOTDATA("Sum of Factory or Warehouse",h20a!$A$4,"Council",B18)</f>
        <v>0</v>
      </c>
      <c r="P18" s="118">
        <f>GETPIVOTDATA("Sum of Office",h20a!$A$4,"Council",B18)</f>
        <v>0</v>
      </c>
      <c r="Q18" s="118">
        <f>GETPIVOTDATA("Sum of Other Workplace",h20a!$A$4,"Council",B18)</f>
        <v>0</v>
      </c>
      <c r="R18" s="587">
        <f t="shared" si="0"/>
        <v>110</v>
      </c>
      <c r="S18" s="108">
        <f t="shared" si="1"/>
        <v>102</v>
      </c>
    </row>
    <row r="19" spans="1:19" x14ac:dyDescent="0.25">
      <c r="A19" s="568" t="s">
        <v>311</v>
      </c>
      <c r="B19" s="887" t="s">
        <v>39</v>
      </c>
      <c r="C19" s="118">
        <f>GETPIVOTDATA("Sum of Hospital / Prison",h20a!$A$4,"Council",B19)</f>
        <v>4</v>
      </c>
      <c r="D19" s="118">
        <f>GETPIVOTDATA("Sum of Care Home",h20a!$A$4,"Council",B19)</f>
        <v>32</v>
      </c>
      <c r="E19" s="118">
        <f>GETPIVOTDATA("Sum of HMO",h20a!$A$4,"Council",B19)</f>
        <v>29</v>
      </c>
      <c r="F19" s="118">
        <f>GETPIVOTDATA("Sum of Hostel",h20a!$A$4,"Council",B19)</f>
        <v>0</v>
      </c>
      <c r="G19" s="118">
        <f>GETPIVOTDATA("Sum of Hotel",h20a!$A$4,"Council",B19)</f>
        <v>6</v>
      </c>
      <c r="H19" s="118">
        <f>GETPIVOTDATA("Sum of Other Sleeping Accommodation",h20a!$A$4,"Council",B19)</f>
        <v>1</v>
      </c>
      <c r="I19" s="118">
        <f>GETPIVOTDATA("Sum of Further Education",h20a!$A$4,"Council",B19)</f>
        <v>0</v>
      </c>
      <c r="J19" s="118">
        <f>GETPIVOTDATA("Sum of Public Building",h20a!$A$4,"Council",B19)</f>
        <v>1</v>
      </c>
      <c r="K19" s="118">
        <f>GETPIVOTDATA("Sum of Licensed Premises",h20a!$A$4,"Council",B19)</f>
        <v>8</v>
      </c>
      <c r="L19" s="118">
        <f>GETPIVOTDATA("Sum of School",h20a!$A$4,"Council",B19)</f>
        <v>8</v>
      </c>
      <c r="M19" s="118">
        <f>GETPIVOTDATA("Sum of Shop",h20a!$A$4,"Council",B19)</f>
        <v>6</v>
      </c>
      <c r="N19" s="118">
        <f>GETPIVOTDATA("Sum of Other Premises Open to Public",h20a!$A$4,"Council",B19)</f>
        <v>1</v>
      </c>
      <c r="O19" s="118">
        <f>GETPIVOTDATA("Sum of Factory or Warehouse",h20a!$A$4,"Council",B19)</f>
        <v>0</v>
      </c>
      <c r="P19" s="118">
        <f>GETPIVOTDATA("Sum of Office",h20a!$A$4,"Council",B19)</f>
        <v>4</v>
      </c>
      <c r="Q19" s="118">
        <f>GETPIVOTDATA("Sum of Other Workplace",h20a!$A$4,"Council",B19)</f>
        <v>1</v>
      </c>
      <c r="R19" s="587">
        <f t="shared" si="0"/>
        <v>101</v>
      </c>
      <c r="S19" s="108">
        <f t="shared" si="1"/>
        <v>72</v>
      </c>
    </row>
    <row r="20" spans="1:19" x14ac:dyDescent="0.25">
      <c r="A20" s="568" t="s">
        <v>285</v>
      </c>
      <c r="B20" s="887" t="s">
        <v>40</v>
      </c>
      <c r="C20" s="118">
        <f>GETPIVOTDATA("Sum of Hospital / Prison",h20a!$A$4,"Council",B20)</f>
        <v>5</v>
      </c>
      <c r="D20" s="118">
        <f>GETPIVOTDATA("Sum of Care Home",h20a!$A$4,"Council",B20)</f>
        <v>23</v>
      </c>
      <c r="E20" s="118">
        <f>GETPIVOTDATA("Sum of HMO",h20a!$A$4,"Council",B20)</f>
        <v>12</v>
      </c>
      <c r="F20" s="118">
        <f>GETPIVOTDATA("Sum of Hostel",h20a!$A$4,"Council",B20)</f>
        <v>0</v>
      </c>
      <c r="G20" s="118">
        <f>GETPIVOTDATA("Sum of Hotel",h20a!$A$4,"Council",B20)</f>
        <v>4</v>
      </c>
      <c r="H20" s="118">
        <f>GETPIVOTDATA("Sum of Other Sleeping Accommodation",h20a!$A$4,"Council",B20)</f>
        <v>2</v>
      </c>
      <c r="I20" s="118">
        <f>GETPIVOTDATA("Sum of Further Education",h20a!$A$4,"Council",B20)</f>
        <v>0</v>
      </c>
      <c r="J20" s="118">
        <f>GETPIVOTDATA("Sum of Public Building",h20a!$A$4,"Council",B20)</f>
        <v>1</v>
      </c>
      <c r="K20" s="118">
        <f>GETPIVOTDATA("Sum of Licensed Premises",h20a!$A$4,"Council",B20)</f>
        <v>10</v>
      </c>
      <c r="L20" s="118">
        <f>GETPIVOTDATA("Sum of School",h20a!$A$4,"Council",B20)</f>
        <v>8</v>
      </c>
      <c r="M20" s="118">
        <f>GETPIVOTDATA("Sum of Shop",h20a!$A$4,"Council",B20)</f>
        <v>2</v>
      </c>
      <c r="N20" s="118">
        <f>GETPIVOTDATA("Sum of Other Premises Open to Public",h20a!$A$4,"Council",B20)</f>
        <v>7</v>
      </c>
      <c r="O20" s="118">
        <f>GETPIVOTDATA("Sum of Factory or Warehouse",h20a!$A$4,"Council",B20)</f>
        <v>1</v>
      </c>
      <c r="P20" s="118">
        <f>GETPIVOTDATA("Sum of Office",h20a!$A$4,"Council",B20)</f>
        <v>1</v>
      </c>
      <c r="Q20" s="118">
        <f>GETPIVOTDATA("Sum of Other Workplace",h20a!$A$4,"Council",B20)</f>
        <v>2</v>
      </c>
      <c r="R20" s="587">
        <f t="shared" si="0"/>
        <v>78</v>
      </c>
      <c r="S20" s="108">
        <f t="shared" si="1"/>
        <v>66</v>
      </c>
    </row>
    <row r="21" spans="1:19" x14ac:dyDescent="0.25">
      <c r="A21" s="568" t="s">
        <v>286</v>
      </c>
      <c r="B21" s="887" t="s">
        <v>41</v>
      </c>
      <c r="C21" s="118">
        <f>GETPIVOTDATA("Sum of Hospital / Prison",h20a!$A$4,"Council",B21)</f>
        <v>0</v>
      </c>
      <c r="D21" s="118">
        <f>GETPIVOTDATA("Sum of Care Home",h20a!$A$4,"Council",B21)</f>
        <v>7</v>
      </c>
      <c r="E21" s="118">
        <f>GETPIVOTDATA("Sum of HMO",h20a!$A$4,"Council",B21)</f>
        <v>2</v>
      </c>
      <c r="F21" s="118">
        <f>GETPIVOTDATA("Sum of Hostel",h20a!$A$4,"Council",B21)</f>
        <v>0</v>
      </c>
      <c r="G21" s="118">
        <f>GETPIVOTDATA("Sum of Hotel",h20a!$A$4,"Council",B21)</f>
        <v>6</v>
      </c>
      <c r="H21" s="118">
        <f>GETPIVOTDATA("Sum of Other Sleeping Accommodation",h20a!$A$4,"Council",B21)</f>
        <v>2</v>
      </c>
      <c r="I21" s="118">
        <f>GETPIVOTDATA("Sum of Further Education",h20a!$A$4,"Council",B21)</f>
        <v>0</v>
      </c>
      <c r="J21" s="118">
        <f>GETPIVOTDATA("Sum of Public Building",h20a!$A$4,"Council",B21)</f>
        <v>0</v>
      </c>
      <c r="K21" s="118">
        <f>GETPIVOTDATA("Sum of Licensed Premises",h20a!$A$4,"Council",B21)</f>
        <v>0</v>
      </c>
      <c r="L21" s="118">
        <f>GETPIVOTDATA("Sum of School",h20a!$A$4,"Council",B21)</f>
        <v>5</v>
      </c>
      <c r="M21" s="118">
        <f>GETPIVOTDATA("Sum of Shop",h20a!$A$4,"Council",B21)</f>
        <v>0</v>
      </c>
      <c r="N21" s="118">
        <f>GETPIVOTDATA("Sum of Other Premises Open to Public",h20a!$A$4,"Council",B21)</f>
        <v>3</v>
      </c>
      <c r="O21" s="118">
        <f>GETPIVOTDATA("Sum of Factory or Warehouse",h20a!$A$4,"Council",B21)</f>
        <v>1</v>
      </c>
      <c r="P21" s="118">
        <f>GETPIVOTDATA("Sum of Office",h20a!$A$4,"Council",B21)</f>
        <v>2</v>
      </c>
      <c r="Q21" s="118">
        <f>GETPIVOTDATA("Sum of Other Workplace",h20a!$A$4,"Council",B21)</f>
        <v>0</v>
      </c>
      <c r="R21" s="587">
        <f t="shared" si="0"/>
        <v>28</v>
      </c>
      <c r="S21" s="108">
        <f t="shared" si="1"/>
        <v>26</v>
      </c>
    </row>
    <row r="22" spans="1:19" x14ac:dyDescent="0.25">
      <c r="A22" s="568" t="s">
        <v>288</v>
      </c>
      <c r="B22" s="887" t="s">
        <v>42</v>
      </c>
      <c r="C22" s="118">
        <f>GETPIVOTDATA("Sum of Hospital / Prison",h20a!$A$4,"Council",B22)</f>
        <v>9</v>
      </c>
      <c r="D22" s="118">
        <f>GETPIVOTDATA("Sum of Care Home",h20a!$A$4,"Council",B22)</f>
        <v>41</v>
      </c>
      <c r="E22" s="118">
        <f>GETPIVOTDATA("Sum of HMO",h20a!$A$4,"Council",B22)</f>
        <v>4</v>
      </c>
      <c r="F22" s="118">
        <f>GETPIVOTDATA("Sum of Hostel",h20a!$A$4,"Council",B22)</f>
        <v>1</v>
      </c>
      <c r="G22" s="118">
        <f>GETPIVOTDATA("Sum of Hotel",h20a!$A$4,"Council",B22)</f>
        <v>19</v>
      </c>
      <c r="H22" s="118">
        <f>GETPIVOTDATA("Sum of Other Sleeping Accommodation",h20a!$A$4,"Council",B22)</f>
        <v>0</v>
      </c>
      <c r="I22" s="118">
        <f>GETPIVOTDATA("Sum of Further Education",h20a!$A$4,"Council",B22)</f>
        <v>1</v>
      </c>
      <c r="J22" s="118">
        <f>GETPIVOTDATA("Sum of Public Building",h20a!$A$4,"Council",B22)</f>
        <v>5</v>
      </c>
      <c r="K22" s="118">
        <f>GETPIVOTDATA("Sum of Licensed Premises",h20a!$A$4,"Council",B22)</f>
        <v>22</v>
      </c>
      <c r="L22" s="118">
        <f>GETPIVOTDATA("Sum of School",h20a!$A$4,"Council",B22)</f>
        <v>12</v>
      </c>
      <c r="M22" s="118">
        <f>GETPIVOTDATA("Sum of Shop",h20a!$A$4,"Council",B22)</f>
        <v>13</v>
      </c>
      <c r="N22" s="118">
        <f>GETPIVOTDATA("Sum of Other Premises Open to Public",h20a!$A$4,"Council",B22)</f>
        <v>14</v>
      </c>
      <c r="O22" s="118">
        <f>GETPIVOTDATA("Sum of Factory or Warehouse",h20a!$A$4,"Council",B22)</f>
        <v>8</v>
      </c>
      <c r="P22" s="118">
        <f>GETPIVOTDATA("Sum of Office",h20a!$A$4,"Council",B22)</f>
        <v>1</v>
      </c>
      <c r="Q22" s="118">
        <f>GETPIVOTDATA("Sum of Other Workplace",h20a!$A$4,"Council",B22)</f>
        <v>0</v>
      </c>
      <c r="R22" s="587">
        <f t="shared" si="0"/>
        <v>150</v>
      </c>
      <c r="S22" s="108">
        <f t="shared" si="1"/>
        <v>146</v>
      </c>
    </row>
    <row r="23" spans="1:19" x14ac:dyDescent="0.25">
      <c r="A23" s="568" t="s">
        <v>430</v>
      </c>
      <c r="B23" s="887" t="s">
        <v>43</v>
      </c>
      <c r="C23" s="118">
        <f>GETPIVOTDATA("Sum of Hospital / Prison",h20a!$A$4,"Council",B23)</f>
        <v>13</v>
      </c>
      <c r="D23" s="118">
        <f>GETPIVOTDATA("Sum of Care Home",h20a!$A$4,"Council",B23)</f>
        <v>132</v>
      </c>
      <c r="E23" s="118">
        <f>GETPIVOTDATA("Sum of HMO",h20a!$A$4,"Council",B23)</f>
        <v>156</v>
      </c>
      <c r="F23" s="118">
        <f>GETPIVOTDATA("Sum of Hostel",h20a!$A$4,"Council",B23)</f>
        <v>1</v>
      </c>
      <c r="G23" s="118">
        <f>GETPIVOTDATA("Sum of Hotel",h20a!$A$4,"Council",B23)</f>
        <v>54</v>
      </c>
      <c r="H23" s="118">
        <f>GETPIVOTDATA("Sum of Other Sleeping Accommodation",h20a!$A$4,"Council",B23)</f>
        <v>17</v>
      </c>
      <c r="I23" s="118">
        <f>GETPIVOTDATA("Sum of Further Education",h20a!$A$4,"Council",B23)</f>
        <v>1</v>
      </c>
      <c r="J23" s="118">
        <f>GETPIVOTDATA("Sum of Public Building",h20a!$A$4,"Council",B23)</f>
        <v>0</v>
      </c>
      <c r="K23" s="118">
        <f>GETPIVOTDATA("Sum of Licensed Premises",h20a!$A$4,"Council",B23)</f>
        <v>7</v>
      </c>
      <c r="L23" s="118">
        <f>GETPIVOTDATA("Sum of School",h20a!$A$4,"Council",B23)</f>
        <v>10</v>
      </c>
      <c r="M23" s="118">
        <f>GETPIVOTDATA("Sum of Shop",h20a!$A$4,"Council",B23)</f>
        <v>4</v>
      </c>
      <c r="N23" s="118">
        <f>GETPIVOTDATA("Sum of Other Premises Open to Public",h20a!$A$4,"Council",B23)</f>
        <v>9</v>
      </c>
      <c r="O23" s="118">
        <f>GETPIVOTDATA("Sum of Factory or Warehouse",h20a!$A$4,"Council",B23)</f>
        <v>7</v>
      </c>
      <c r="P23" s="118">
        <f>GETPIVOTDATA("Sum of Office",h20a!$A$4,"Council",B23)</f>
        <v>2</v>
      </c>
      <c r="Q23" s="118">
        <f>GETPIVOTDATA("Sum of Other Workplace",h20a!$A$4,"Council",B23)</f>
        <v>4</v>
      </c>
      <c r="R23" s="587">
        <f t="shared" si="0"/>
        <v>417</v>
      </c>
      <c r="S23" s="108">
        <f t="shared" si="1"/>
        <v>261</v>
      </c>
    </row>
    <row r="24" spans="1:19" x14ac:dyDescent="0.25">
      <c r="A24" s="568" t="s">
        <v>312</v>
      </c>
      <c r="B24" s="887" t="s">
        <v>121</v>
      </c>
      <c r="C24" s="118">
        <f>GETPIVOTDATA("Sum of Hospital / Prison",h20a!$A$4,"Council",B24)</f>
        <v>25</v>
      </c>
      <c r="D24" s="118">
        <f>GETPIVOTDATA("Sum of Care Home",h20a!$A$4,"Council",B24)</f>
        <v>86</v>
      </c>
      <c r="E24" s="118">
        <f>GETPIVOTDATA("Sum of HMO",h20a!$A$4,"Council",B24)</f>
        <v>646</v>
      </c>
      <c r="F24" s="118">
        <f>GETPIVOTDATA("Sum of Hostel",h20a!$A$4,"Council",B24)</f>
        <v>6</v>
      </c>
      <c r="G24" s="118">
        <f>GETPIVOTDATA("Sum of Hotel",h20a!$A$4,"Council",B24)</f>
        <v>74</v>
      </c>
      <c r="H24" s="118">
        <f>GETPIVOTDATA("Sum of Other Sleeping Accommodation",h20a!$A$4,"Council",B24)</f>
        <v>5</v>
      </c>
      <c r="I24" s="118">
        <f>GETPIVOTDATA("Sum of Further Education",h20a!$A$4,"Council",B24)</f>
        <v>4</v>
      </c>
      <c r="J24" s="118">
        <f>GETPIVOTDATA("Sum of Public Building",h20a!$A$4,"Council",B24)</f>
        <v>3</v>
      </c>
      <c r="K24" s="118">
        <f>GETPIVOTDATA("Sum of Licensed Premises",h20a!$A$4,"Council",B24)</f>
        <v>42</v>
      </c>
      <c r="L24" s="118">
        <f>GETPIVOTDATA("Sum of School",h20a!$A$4,"Council",B24)</f>
        <v>17</v>
      </c>
      <c r="M24" s="118">
        <f>GETPIVOTDATA("Sum of Shop",h20a!$A$4,"Council",B24)</f>
        <v>58</v>
      </c>
      <c r="N24" s="118">
        <f>GETPIVOTDATA("Sum of Other Premises Open to Public",h20a!$A$4,"Council",B24)</f>
        <v>23</v>
      </c>
      <c r="O24" s="118">
        <f>GETPIVOTDATA("Sum of Factory or Warehouse",h20a!$A$4,"Council",B24)</f>
        <v>10</v>
      </c>
      <c r="P24" s="118">
        <f>GETPIVOTDATA("Sum of Office",h20a!$A$4,"Council",B24)</f>
        <v>27</v>
      </c>
      <c r="Q24" s="118">
        <f>GETPIVOTDATA("Sum of Other Workplace",h20a!$A$4,"Council",B24)</f>
        <v>13</v>
      </c>
      <c r="R24" s="587">
        <f t="shared" si="0"/>
        <v>1039</v>
      </c>
      <c r="S24" s="108">
        <f t="shared" si="1"/>
        <v>393</v>
      </c>
    </row>
    <row r="25" spans="1:19" x14ac:dyDescent="0.25">
      <c r="A25" s="568" t="s">
        <v>289</v>
      </c>
      <c r="B25" s="887" t="s">
        <v>44</v>
      </c>
      <c r="C25" s="118">
        <f>GETPIVOTDATA("Sum of Hospital / Prison",h20a!$A$4,"Council",B25)</f>
        <v>20</v>
      </c>
      <c r="D25" s="118">
        <f>GETPIVOTDATA("Sum of Care Home",h20a!$A$4,"Council",B25)</f>
        <v>95</v>
      </c>
      <c r="E25" s="118">
        <f>GETPIVOTDATA("Sum of HMO",h20a!$A$4,"Council",B25)</f>
        <v>65</v>
      </c>
      <c r="F25" s="118">
        <f>GETPIVOTDATA("Sum of Hostel",h20a!$A$4,"Council",B25)</f>
        <v>15</v>
      </c>
      <c r="G25" s="118">
        <f>GETPIVOTDATA("Sum of Hotel",h20a!$A$4,"Council",B25)</f>
        <v>236</v>
      </c>
      <c r="H25" s="118">
        <f>GETPIVOTDATA("Sum of Other Sleeping Accommodation",h20a!$A$4,"Council",B25)</f>
        <v>33</v>
      </c>
      <c r="I25" s="118">
        <f>GETPIVOTDATA("Sum of Further Education",h20a!$A$4,"Council",B25)</f>
        <v>1</v>
      </c>
      <c r="J25" s="118">
        <f>GETPIVOTDATA("Sum of Public Building",h20a!$A$4,"Council",B25)</f>
        <v>0</v>
      </c>
      <c r="K25" s="118">
        <f>GETPIVOTDATA("Sum of Licensed Premises",h20a!$A$4,"Council",B25)</f>
        <v>11</v>
      </c>
      <c r="L25" s="118">
        <f>GETPIVOTDATA("Sum of School",h20a!$A$4,"Council",B25)</f>
        <v>1</v>
      </c>
      <c r="M25" s="118">
        <f>GETPIVOTDATA("Sum of Shop",h20a!$A$4,"Council",B25)</f>
        <v>8</v>
      </c>
      <c r="N25" s="118">
        <f>GETPIVOTDATA("Sum of Other Premises Open to Public",h20a!$A$4,"Council",B25)</f>
        <v>3</v>
      </c>
      <c r="O25" s="118">
        <f>GETPIVOTDATA("Sum of Factory or Warehouse",h20a!$A$4,"Council",B25)</f>
        <v>1</v>
      </c>
      <c r="P25" s="118">
        <f>GETPIVOTDATA("Sum of Office",h20a!$A$4,"Council",B25)</f>
        <v>3</v>
      </c>
      <c r="Q25" s="118">
        <f>GETPIVOTDATA("Sum of Other Workplace",h20a!$A$4,"Council",B25)</f>
        <v>1</v>
      </c>
      <c r="R25" s="587">
        <f t="shared" si="0"/>
        <v>493</v>
      </c>
      <c r="S25" s="108">
        <f t="shared" si="1"/>
        <v>428</v>
      </c>
    </row>
    <row r="26" spans="1:19" x14ac:dyDescent="0.25">
      <c r="A26" s="568" t="s">
        <v>290</v>
      </c>
      <c r="B26" s="887" t="s">
        <v>45</v>
      </c>
      <c r="C26" s="118">
        <f>GETPIVOTDATA("Sum of Hospital / Prison",h20a!$A$4,"Council",B26)</f>
        <v>2</v>
      </c>
      <c r="D26" s="118">
        <f>GETPIVOTDATA("Sum of Care Home",h20a!$A$4,"Council",B26)</f>
        <v>34</v>
      </c>
      <c r="E26" s="118">
        <f>GETPIVOTDATA("Sum of HMO",h20a!$A$4,"Council",B26)</f>
        <v>8</v>
      </c>
      <c r="F26" s="118">
        <f>GETPIVOTDATA("Sum of Hostel",h20a!$A$4,"Council",B26)</f>
        <v>0</v>
      </c>
      <c r="G26" s="118">
        <f>GETPIVOTDATA("Sum of Hotel",h20a!$A$4,"Council",B26)</f>
        <v>3</v>
      </c>
      <c r="H26" s="118">
        <f>GETPIVOTDATA("Sum of Other Sleeping Accommodation",h20a!$A$4,"Council",B26)</f>
        <v>1</v>
      </c>
      <c r="I26" s="118">
        <f>GETPIVOTDATA("Sum of Further Education",h20a!$A$4,"Council",B26)</f>
        <v>0</v>
      </c>
      <c r="J26" s="118">
        <f>GETPIVOTDATA("Sum of Public Building",h20a!$A$4,"Council",B26)</f>
        <v>0</v>
      </c>
      <c r="K26" s="118">
        <f>GETPIVOTDATA("Sum of Licensed Premises",h20a!$A$4,"Council",B26)</f>
        <v>0</v>
      </c>
      <c r="L26" s="118">
        <f>GETPIVOTDATA("Sum of School",h20a!$A$4,"Council",B26)</f>
        <v>1</v>
      </c>
      <c r="M26" s="118">
        <f>GETPIVOTDATA("Sum of Shop",h20a!$A$4,"Council",B26)</f>
        <v>1</v>
      </c>
      <c r="N26" s="118">
        <f>GETPIVOTDATA("Sum of Other Premises Open to Public",h20a!$A$4,"Council",B26)</f>
        <v>3</v>
      </c>
      <c r="O26" s="118">
        <f>GETPIVOTDATA("Sum of Factory or Warehouse",h20a!$A$4,"Council",B26)</f>
        <v>0</v>
      </c>
      <c r="P26" s="118">
        <f>GETPIVOTDATA("Sum of Office",h20a!$A$4,"Council",B26)</f>
        <v>1</v>
      </c>
      <c r="Q26" s="118">
        <f>GETPIVOTDATA("Sum of Other Workplace",h20a!$A$4,"Council",B26)</f>
        <v>0</v>
      </c>
      <c r="R26" s="587">
        <f t="shared" si="0"/>
        <v>54</v>
      </c>
      <c r="S26" s="108">
        <f t="shared" si="1"/>
        <v>46</v>
      </c>
    </row>
    <row r="27" spans="1:19" x14ac:dyDescent="0.25">
      <c r="A27" s="568" t="s">
        <v>291</v>
      </c>
      <c r="B27" s="887" t="s">
        <v>46</v>
      </c>
      <c r="C27" s="118">
        <f>GETPIVOTDATA("Sum of Hospital / Prison",h20a!$A$4,"Council",B27)</f>
        <v>3</v>
      </c>
      <c r="D27" s="118">
        <f>GETPIVOTDATA("Sum of Care Home",h20a!$A$4,"Council",B27)</f>
        <v>18</v>
      </c>
      <c r="E27" s="118">
        <f>GETPIVOTDATA("Sum of HMO",h20a!$A$4,"Council",B27)</f>
        <v>8</v>
      </c>
      <c r="F27" s="118">
        <f>GETPIVOTDATA("Sum of Hostel",h20a!$A$4,"Council",B27)</f>
        <v>0</v>
      </c>
      <c r="G27" s="118">
        <f>GETPIVOTDATA("Sum of Hotel",h20a!$A$4,"Council",B27)</f>
        <v>5</v>
      </c>
      <c r="H27" s="118">
        <f>GETPIVOTDATA("Sum of Other Sleeping Accommodation",h20a!$A$4,"Council",B27)</f>
        <v>1</v>
      </c>
      <c r="I27" s="118">
        <f>GETPIVOTDATA("Sum of Further Education",h20a!$A$4,"Council",B27)</f>
        <v>0</v>
      </c>
      <c r="J27" s="118">
        <f>GETPIVOTDATA("Sum of Public Building",h20a!$A$4,"Council",B27)</f>
        <v>0</v>
      </c>
      <c r="K27" s="118">
        <f>GETPIVOTDATA("Sum of Licensed Premises",h20a!$A$4,"Council",B27)</f>
        <v>6</v>
      </c>
      <c r="L27" s="118">
        <f>GETPIVOTDATA("Sum of School",h20a!$A$4,"Council",B27)</f>
        <v>12</v>
      </c>
      <c r="M27" s="118">
        <f>GETPIVOTDATA("Sum of Shop",h20a!$A$4,"Council",B27)</f>
        <v>5</v>
      </c>
      <c r="N27" s="118">
        <f>GETPIVOTDATA("Sum of Other Premises Open to Public",h20a!$A$4,"Council",B27)</f>
        <v>8</v>
      </c>
      <c r="O27" s="118">
        <f>GETPIVOTDATA("Sum of Factory or Warehouse",h20a!$A$4,"Council",B27)</f>
        <v>0</v>
      </c>
      <c r="P27" s="118">
        <f>GETPIVOTDATA("Sum of Office",h20a!$A$4,"Council",B27)</f>
        <v>4</v>
      </c>
      <c r="Q27" s="118">
        <f>GETPIVOTDATA("Sum of Other Workplace",h20a!$A$4,"Council",B27)</f>
        <v>0</v>
      </c>
      <c r="R27" s="587">
        <f t="shared" si="0"/>
        <v>70</v>
      </c>
      <c r="S27" s="108">
        <f t="shared" si="1"/>
        <v>62</v>
      </c>
    </row>
    <row r="28" spans="1:19" x14ac:dyDescent="0.25">
      <c r="A28" s="568" t="s">
        <v>292</v>
      </c>
      <c r="B28" s="887" t="s">
        <v>47</v>
      </c>
      <c r="C28" s="118">
        <f>GETPIVOTDATA("Sum of Hospital / Prison",h20a!$A$4,"Council",B28)</f>
        <v>4</v>
      </c>
      <c r="D28" s="118">
        <f>GETPIVOTDATA("Sum of Care Home",h20a!$A$4,"Council",B28)</f>
        <v>21</v>
      </c>
      <c r="E28" s="118">
        <f>GETPIVOTDATA("Sum of HMO",h20a!$A$4,"Council",B28)</f>
        <v>6</v>
      </c>
      <c r="F28" s="118">
        <f>GETPIVOTDATA("Sum of Hostel",h20a!$A$4,"Council",B28)</f>
        <v>1</v>
      </c>
      <c r="G28" s="118">
        <f>GETPIVOTDATA("Sum of Hotel",h20a!$A$4,"Council",B28)</f>
        <v>20</v>
      </c>
      <c r="H28" s="118">
        <f>GETPIVOTDATA("Sum of Other Sleeping Accommodation",h20a!$A$4,"Council",B28)</f>
        <v>23</v>
      </c>
      <c r="I28" s="118">
        <f>GETPIVOTDATA("Sum of Further Education",h20a!$A$4,"Council",B28)</f>
        <v>1</v>
      </c>
      <c r="J28" s="118">
        <f>GETPIVOTDATA("Sum of Public Building",h20a!$A$4,"Council",B28)</f>
        <v>1</v>
      </c>
      <c r="K28" s="118">
        <f>GETPIVOTDATA("Sum of Licensed Premises",h20a!$A$4,"Council",B28)</f>
        <v>0</v>
      </c>
      <c r="L28" s="118">
        <f>GETPIVOTDATA("Sum of School",h20a!$A$4,"Council",B28)</f>
        <v>7</v>
      </c>
      <c r="M28" s="118">
        <f>GETPIVOTDATA("Sum of Shop",h20a!$A$4,"Council",B28)</f>
        <v>7</v>
      </c>
      <c r="N28" s="118">
        <f>GETPIVOTDATA("Sum of Other Premises Open to Public",h20a!$A$4,"Council",B28)</f>
        <v>4</v>
      </c>
      <c r="O28" s="118">
        <f>GETPIVOTDATA("Sum of Factory or Warehouse",h20a!$A$4,"Council",B28)</f>
        <v>4</v>
      </c>
      <c r="P28" s="118">
        <f>GETPIVOTDATA("Sum of Office",h20a!$A$4,"Council",B28)</f>
        <v>1</v>
      </c>
      <c r="Q28" s="118">
        <f>GETPIVOTDATA("Sum of Other Workplace",h20a!$A$4,"Council",B28)</f>
        <v>0</v>
      </c>
      <c r="R28" s="587">
        <f t="shared" si="0"/>
        <v>100</v>
      </c>
      <c r="S28" s="108">
        <f t="shared" si="1"/>
        <v>94</v>
      </c>
    </row>
    <row r="29" spans="1:19" x14ac:dyDescent="0.25">
      <c r="A29" s="568" t="s">
        <v>287</v>
      </c>
      <c r="B29" s="887" t="s">
        <v>48</v>
      </c>
      <c r="C29" s="118">
        <f>IFERROR(GETPIVOTDATA("Sum of Hospital / Prison",h20a!$A$4,"Council",B29),0)</f>
        <v>0</v>
      </c>
      <c r="D29" s="118">
        <f>IFERROR(GETPIVOTDATA("Sum of Care Home",h20a!$A$4,"Council",B29),0)</f>
        <v>0</v>
      </c>
      <c r="E29" s="118">
        <f>IFERROR(GETPIVOTDATA("Sum of HMO",h20a!$A$4,"Council",B29),0)</f>
        <v>0</v>
      </c>
      <c r="F29" s="118">
        <f>IFERROR(GETPIVOTDATA("Sum of Hostel",h20a!$A$4,"Council",B29),0)</f>
        <v>0</v>
      </c>
      <c r="G29" s="118">
        <f>IFERROR(GETPIVOTDATA("Sum of Hotel",h20a!$A$4,"Council",B29),0)</f>
        <v>0</v>
      </c>
      <c r="H29" s="118">
        <f>IFERROR(GETPIVOTDATA("Sum of Other Sleeping Accommodation",h20a!$A$4,"Council",B29),0)</f>
        <v>0</v>
      </c>
      <c r="I29" s="118">
        <f>IFERROR(GETPIVOTDATA("Sum of Further Education",h20a!$A$4,"Council",B29),0)</f>
        <v>0</v>
      </c>
      <c r="J29" s="118">
        <f>IFERROR(GETPIVOTDATA("Sum of Public Building",h20a!$A$4,"Council",B29),0)</f>
        <v>0</v>
      </c>
      <c r="K29" s="118">
        <f>IFERROR(GETPIVOTDATA("Sum of Licensed Premises",h20a!$A$4,"Council",B29),0)</f>
        <v>0</v>
      </c>
      <c r="L29" s="118">
        <f>IFERROR(GETPIVOTDATA("Sum of School",h20a!$A$4,"Council",B29),0)</f>
        <v>0</v>
      </c>
      <c r="M29" s="118">
        <f>IFERROR(GETPIVOTDATA("Sum of Shop",h20a!$A$4,"Council",B29),0)</f>
        <v>0</v>
      </c>
      <c r="N29" s="118">
        <f>IFERROR(GETPIVOTDATA("Sum of Other Premises Open to Public",h20a!$A$4,"Council",B29),0)</f>
        <v>0</v>
      </c>
      <c r="O29" s="118">
        <f>IFERROR(GETPIVOTDATA("Sum of Factory or Warehouse",h20a!$A$4,"Council",B29),0)</f>
        <v>0</v>
      </c>
      <c r="P29" s="118">
        <f>IFERROR(GETPIVOTDATA("Sum of Office",h20a!$A$4,"Council",B29),0)</f>
        <v>0</v>
      </c>
      <c r="Q29" s="118">
        <f>IFERROR(GETPIVOTDATA("Sum of Other Workplace",h20a!$A$4,"Council",B29),0)</f>
        <v>0</v>
      </c>
      <c r="R29" s="587">
        <f t="shared" si="0"/>
        <v>0</v>
      </c>
      <c r="S29" s="108">
        <f t="shared" si="1"/>
        <v>0</v>
      </c>
    </row>
    <row r="30" spans="1:19" x14ac:dyDescent="0.25">
      <c r="A30" s="568" t="s">
        <v>293</v>
      </c>
      <c r="B30" s="887" t="s">
        <v>49</v>
      </c>
      <c r="C30" s="118">
        <f>GETPIVOTDATA("Sum of Hospital / Prison",h20a!$A$4,"Council",B30)</f>
        <v>3</v>
      </c>
      <c r="D30" s="118">
        <f>GETPIVOTDATA("Sum of Care Home",h20a!$A$4,"Council",B30)</f>
        <v>62</v>
      </c>
      <c r="E30" s="118">
        <f>GETPIVOTDATA("Sum of HMO",h20a!$A$4,"Council",B30)</f>
        <v>8</v>
      </c>
      <c r="F30" s="118">
        <f>GETPIVOTDATA("Sum of Hostel",h20a!$A$4,"Council",B30)</f>
        <v>7</v>
      </c>
      <c r="G30" s="118">
        <f>GETPIVOTDATA("Sum of Hotel",h20a!$A$4,"Council",B30)</f>
        <v>8</v>
      </c>
      <c r="H30" s="118">
        <f>GETPIVOTDATA("Sum of Other Sleeping Accommodation",h20a!$A$4,"Council",B30)</f>
        <v>11</v>
      </c>
      <c r="I30" s="118">
        <f>GETPIVOTDATA("Sum of Further Education",h20a!$A$4,"Council",B30)</f>
        <v>5</v>
      </c>
      <c r="J30" s="118">
        <f>GETPIVOTDATA("Sum of Public Building",h20a!$A$4,"Council",B30)</f>
        <v>1</v>
      </c>
      <c r="K30" s="118">
        <f>GETPIVOTDATA("Sum of Licensed Premises",h20a!$A$4,"Council",B30)</f>
        <v>8</v>
      </c>
      <c r="L30" s="118">
        <f>GETPIVOTDATA("Sum of School",h20a!$A$4,"Council",B30)</f>
        <v>2</v>
      </c>
      <c r="M30" s="118">
        <f>GETPIVOTDATA("Sum of Shop",h20a!$A$4,"Council",B30)</f>
        <v>14</v>
      </c>
      <c r="N30" s="118">
        <f>GETPIVOTDATA("Sum of Other Premises Open to Public",h20a!$A$4,"Council",B30)</f>
        <v>7</v>
      </c>
      <c r="O30" s="118">
        <f>GETPIVOTDATA("Sum of Factory or Warehouse",h20a!$A$4,"Council",B30)</f>
        <v>4</v>
      </c>
      <c r="P30" s="118">
        <f>GETPIVOTDATA("Sum of Office",h20a!$A$4,"Council",B30)</f>
        <v>3</v>
      </c>
      <c r="Q30" s="118">
        <f>GETPIVOTDATA("Sum of Other Workplace",h20a!$A$4,"Council",B30)</f>
        <v>5</v>
      </c>
      <c r="R30" s="587">
        <f t="shared" si="0"/>
        <v>148</v>
      </c>
      <c r="S30" s="108">
        <f t="shared" si="1"/>
        <v>140</v>
      </c>
    </row>
    <row r="31" spans="1:19" x14ac:dyDescent="0.25">
      <c r="A31" s="568" t="s">
        <v>310</v>
      </c>
      <c r="B31" s="887" t="s">
        <v>50</v>
      </c>
      <c r="C31" s="118">
        <f>GETPIVOTDATA("Sum of Hospital / Prison",h20a!$A$4,"Council",B31)</f>
        <v>12</v>
      </c>
      <c r="D31" s="118">
        <f>GETPIVOTDATA("Sum of Care Home",h20a!$A$4,"Council",B31)</f>
        <v>50</v>
      </c>
      <c r="E31" s="118">
        <f>GETPIVOTDATA("Sum of HMO",h20a!$A$4,"Council",B31)</f>
        <v>11</v>
      </c>
      <c r="F31" s="118">
        <f>GETPIVOTDATA("Sum of Hostel",h20a!$A$4,"Council",B31)</f>
        <v>2</v>
      </c>
      <c r="G31" s="118">
        <f>GETPIVOTDATA("Sum of Hotel",h20a!$A$4,"Council",B31)</f>
        <v>26</v>
      </c>
      <c r="H31" s="118">
        <f>GETPIVOTDATA("Sum of Other Sleeping Accommodation",h20a!$A$4,"Council",B31)</f>
        <v>3</v>
      </c>
      <c r="I31" s="118">
        <f>GETPIVOTDATA("Sum of Further Education",h20a!$A$4,"Council",B31)</f>
        <v>0</v>
      </c>
      <c r="J31" s="118">
        <f>GETPIVOTDATA("Sum of Public Building",h20a!$A$4,"Council",B31)</f>
        <v>1</v>
      </c>
      <c r="K31" s="118">
        <f>GETPIVOTDATA("Sum of Licensed Premises",h20a!$A$4,"Council",B31)</f>
        <v>11</v>
      </c>
      <c r="L31" s="118">
        <f>GETPIVOTDATA("Sum of School",h20a!$A$4,"Council",B31)</f>
        <v>13</v>
      </c>
      <c r="M31" s="118">
        <f>GETPIVOTDATA("Sum of Shop",h20a!$A$4,"Council",B31)</f>
        <v>25</v>
      </c>
      <c r="N31" s="118">
        <f>GETPIVOTDATA("Sum of Other Premises Open to Public",h20a!$A$4,"Council",B31)</f>
        <v>11</v>
      </c>
      <c r="O31" s="118">
        <f>GETPIVOTDATA("Sum of Factory or Warehouse",h20a!$A$4,"Council",B31)</f>
        <v>29</v>
      </c>
      <c r="P31" s="118">
        <f>GETPIVOTDATA("Sum of Office",h20a!$A$4,"Council",B31)</f>
        <v>92</v>
      </c>
      <c r="Q31" s="118">
        <f>GETPIVOTDATA("Sum of Other Workplace",h20a!$A$4,"Council",B31)</f>
        <v>20</v>
      </c>
      <c r="R31" s="587">
        <f t="shared" si="0"/>
        <v>306</v>
      </c>
      <c r="S31" s="108">
        <f t="shared" si="1"/>
        <v>295</v>
      </c>
    </row>
    <row r="32" spans="1:19" x14ac:dyDescent="0.25">
      <c r="A32" s="568" t="s">
        <v>294</v>
      </c>
      <c r="B32" s="887" t="s">
        <v>51</v>
      </c>
      <c r="C32" s="118">
        <f>GETPIVOTDATA("Sum of Hospital / Prison",h20a!$A$4,"Council",B32)</f>
        <v>1</v>
      </c>
      <c r="D32" s="118">
        <f>GETPIVOTDATA("Sum of Care Home",h20a!$A$4,"Council",B32)</f>
        <v>12</v>
      </c>
      <c r="E32" s="118">
        <f>GETPIVOTDATA("Sum of HMO",h20a!$A$4,"Council",B32)</f>
        <v>0</v>
      </c>
      <c r="F32" s="118">
        <f>GETPIVOTDATA("Sum of Hostel",h20a!$A$4,"Council",B32)</f>
        <v>0</v>
      </c>
      <c r="G32" s="118">
        <f>GETPIVOTDATA("Sum of Hotel",h20a!$A$4,"Council",B32)</f>
        <v>9</v>
      </c>
      <c r="H32" s="118">
        <f>GETPIVOTDATA("Sum of Other Sleeping Accommodation",h20a!$A$4,"Council",B32)</f>
        <v>1</v>
      </c>
      <c r="I32" s="118">
        <f>GETPIVOTDATA("Sum of Further Education",h20a!$A$4,"Council",B32)</f>
        <v>0</v>
      </c>
      <c r="J32" s="118">
        <f>GETPIVOTDATA("Sum of Public Building",h20a!$A$4,"Council",B32)</f>
        <v>0</v>
      </c>
      <c r="K32" s="118">
        <f>GETPIVOTDATA("Sum of Licensed Premises",h20a!$A$4,"Council",B32)</f>
        <v>0</v>
      </c>
      <c r="L32" s="118">
        <f>GETPIVOTDATA("Sum of School",h20a!$A$4,"Council",B32)</f>
        <v>0</v>
      </c>
      <c r="M32" s="118">
        <f>GETPIVOTDATA("Sum of Shop",h20a!$A$4,"Council",B32)</f>
        <v>0</v>
      </c>
      <c r="N32" s="118">
        <f>GETPIVOTDATA("Sum of Other Premises Open to Public",h20a!$A$4,"Council",B32)</f>
        <v>0</v>
      </c>
      <c r="O32" s="118">
        <f>GETPIVOTDATA("Sum of Factory or Warehouse",h20a!$A$4,"Council",B32)</f>
        <v>0</v>
      </c>
      <c r="P32" s="118">
        <f>GETPIVOTDATA("Sum of Office",h20a!$A$4,"Council",B32)</f>
        <v>0</v>
      </c>
      <c r="Q32" s="118">
        <f>GETPIVOTDATA("Sum of Other Workplace",h20a!$A$4,"Council",B32)</f>
        <v>0</v>
      </c>
      <c r="R32" s="587">
        <f t="shared" si="0"/>
        <v>23</v>
      </c>
      <c r="S32" s="108">
        <f t="shared" si="1"/>
        <v>23</v>
      </c>
    </row>
    <row r="33" spans="1:19" x14ac:dyDescent="0.25">
      <c r="A33" s="568" t="s">
        <v>295</v>
      </c>
      <c r="B33" s="887" t="s">
        <v>52</v>
      </c>
      <c r="C33" s="118">
        <f>GETPIVOTDATA("Sum of Hospital / Prison",h20a!$A$4,"Council",B33)</f>
        <v>36</v>
      </c>
      <c r="D33" s="118">
        <f>GETPIVOTDATA("Sum of Care Home",h20a!$A$4,"Council",B33)</f>
        <v>71</v>
      </c>
      <c r="E33" s="118">
        <f>GETPIVOTDATA("Sum of HMO",h20a!$A$4,"Council",B33)</f>
        <v>10</v>
      </c>
      <c r="F33" s="118">
        <f>GETPIVOTDATA("Sum of Hostel",h20a!$A$4,"Council",B33)</f>
        <v>2</v>
      </c>
      <c r="G33" s="118">
        <f>GETPIVOTDATA("Sum of Hotel",h20a!$A$4,"Council",B33)</f>
        <v>67</v>
      </c>
      <c r="H33" s="118">
        <f>GETPIVOTDATA("Sum of Other Sleeping Accommodation",h20a!$A$4,"Council",B33)</f>
        <v>33</v>
      </c>
      <c r="I33" s="118">
        <f>GETPIVOTDATA("Sum of Further Education",h20a!$A$4,"Council",B33)</f>
        <v>0</v>
      </c>
      <c r="J33" s="118">
        <f>GETPIVOTDATA("Sum of Public Building",h20a!$A$4,"Council",B33)</f>
        <v>0</v>
      </c>
      <c r="K33" s="118">
        <f>GETPIVOTDATA("Sum of Licensed Premises",h20a!$A$4,"Council",B33)</f>
        <v>6</v>
      </c>
      <c r="L33" s="118">
        <f>GETPIVOTDATA("Sum of School",h20a!$A$4,"Council",B33)</f>
        <v>6</v>
      </c>
      <c r="M33" s="118">
        <f>GETPIVOTDATA("Sum of Shop",h20a!$A$4,"Council",B33)</f>
        <v>6</v>
      </c>
      <c r="N33" s="118">
        <f>GETPIVOTDATA("Sum of Other Premises Open to Public",h20a!$A$4,"Council",B33)</f>
        <v>6</v>
      </c>
      <c r="O33" s="118">
        <f>GETPIVOTDATA("Sum of Factory or Warehouse",h20a!$A$4,"Council",B33)</f>
        <v>2</v>
      </c>
      <c r="P33" s="118">
        <f>GETPIVOTDATA("Sum of Office",h20a!$A$4,"Council",B33)</f>
        <v>1</v>
      </c>
      <c r="Q33" s="118">
        <f>GETPIVOTDATA("Sum of Other Workplace",h20a!$A$4,"Council",B33)</f>
        <v>2</v>
      </c>
      <c r="R33" s="587">
        <f t="shared" si="0"/>
        <v>248</v>
      </c>
      <c r="S33" s="108">
        <f t="shared" si="1"/>
        <v>238</v>
      </c>
    </row>
    <row r="34" spans="1:19" x14ac:dyDescent="0.25">
      <c r="A34" s="568" t="s">
        <v>305</v>
      </c>
      <c r="B34" s="887" t="s">
        <v>53</v>
      </c>
      <c r="C34" s="118">
        <f>GETPIVOTDATA("Sum of Hospital / Prison",h20a!$A$4,"Council",B34)</f>
        <v>1</v>
      </c>
      <c r="D34" s="118">
        <f>GETPIVOTDATA("Sum of Care Home",h20a!$A$4,"Council",B34)</f>
        <v>48</v>
      </c>
      <c r="E34" s="118">
        <f>GETPIVOTDATA("Sum of HMO",h20a!$A$4,"Council",B34)</f>
        <v>5</v>
      </c>
      <c r="F34" s="118">
        <f>GETPIVOTDATA("Sum of Hostel",h20a!$A$4,"Council",B34)</f>
        <v>0</v>
      </c>
      <c r="G34" s="118">
        <f>GETPIVOTDATA("Sum of Hotel",h20a!$A$4,"Council",B34)</f>
        <v>24</v>
      </c>
      <c r="H34" s="118">
        <f>GETPIVOTDATA("Sum of Other Sleeping Accommodation",h20a!$A$4,"Council",B34)</f>
        <v>20</v>
      </c>
      <c r="I34" s="118">
        <f>GETPIVOTDATA("Sum of Further Education",h20a!$A$4,"Council",B34)</f>
        <v>1</v>
      </c>
      <c r="J34" s="118">
        <f>GETPIVOTDATA("Sum of Public Building",h20a!$A$4,"Council",B34)</f>
        <v>0</v>
      </c>
      <c r="K34" s="118">
        <f>GETPIVOTDATA("Sum of Licensed Premises",h20a!$A$4,"Council",B34)</f>
        <v>9</v>
      </c>
      <c r="L34" s="118">
        <f>GETPIVOTDATA("Sum of School",h20a!$A$4,"Council",B34)</f>
        <v>7</v>
      </c>
      <c r="M34" s="118">
        <f>GETPIVOTDATA("Sum of Shop",h20a!$A$4,"Council",B34)</f>
        <v>11</v>
      </c>
      <c r="N34" s="118">
        <f>GETPIVOTDATA("Sum of Other Premises Open to Public",h20a!$A$4,"Council",B34)</f>
        <v>10</v>
      </c>
      <c r="O34" s="118">
        <f>GETPIVOTDATA("Sum of Factory or Warehouse",h20a!$A$4,"Council",B34)</f>
        <v>5</v>
      </c>
      <c r="P34" s="118">
        <f>GETPIVOTDATA("Sum of Office",h20a!$A$4,"Council",B34)</f>
        <v>3</v>
      </c>
      <c r="Q34" s="118">
        <f>GETPIVOTDATA("Sum of Other Workplace",h20a!$A$4,"Council",B34)</f>
        <v>5</v>
      </c>
      <c r="R34" s="587">
        <f t="shared" si="0"/>
        <v>149</v>
      </c>
      <c r="S34" s="108">
        <f t="shared" si="1"/>
        <v>144</v>
      </c>
    </row>
    <row r="35" spans="1:19" x14ac:dyDescent="0.25">
      <c r="A35" s="568" t="s">
        <v>296</v>
      </c>
      <c r="B35" s="887" t="s">
        <v>54</v>
      </c>
      <c r="C35" s="118">
        <f>GETPIVOTDATA("Sum of Hospital / Prison",h20a!$A$4,"Council",B35)</f>
        <v>18</v>
      </c>
      <c r="D35" s="118">
        <f>GETPIVOTDATA("Sum of Care Home",h20a!$A$4,"Council",B35)</f>
        <v>32</v>
      </c>
      <c r="E35" s="118">
        <f>GETPIVOTDATA("Sum of HMO",h20a!$A$4,"Council",B35)</f>
        <v>16</v>
      </c>
      <c r="F35" s="118">
        <f>GETPIVOTDATA("Sum of Hostel",h20a!$A$4,"Council",B35)</f>
        <v>0</v>
      </c>
      <c r="G35" s="118">
        <f>GETPIVOTDATA("Sum of Hotel",h20a!$A$4,"Council",B35)</f>
        <v>8</v>
      </c>
      <c r="H35" s="118">
        <f>GETPIVOTDATA("Sum of Other Sleeping Accommodation",h20a!$A$4,"Council",B35)</f>
        <v>2</v>
      </c>
      <c r="I35" s="118">
        <f>GETPIVOTDATA("Sum of Further Education",h20a!$A$4,"Council",B35)</f>
        <v>0</v>
      </c>
      <c r="J35" s="118">
        <f>GETPIVOTDATA("Sum of Public Building",h20a!$A$4,"Council",B35)</f>
        <v>0</v>
      </c>
      <c r="K35" s="118">
        <f>GETPIVOTDATA("Sum of Licensed Premises",h20a!$A$4,"Council",B35)</f>
        <v>4</v>
      </c>
      <c r="L35" s="118">
        <f>GETPIVOTDATA("Sum of School",h20a!$A$4,"Council",B35)</f>
        <v>11</v>
      </c>
      <c r="M35" s="118">
        <f>GETPIVOTDATA("Sum of Shop",h20a!$A$4,"Council",B35)</f>
        <v>1</v>
      </c>
      <c r="N35" s="118">
        <f>GETPIVOTDATA("Sum of Other Premises Open to Public",h20a!$A$4,"Council",B35)</f>
        <v>6</v>
      </c>
      <c r="O35" s="118">
        <f>GETPIVOTDATA("Sum of Factory or Warehouse",h20a!$A$4,"Council",B35)</f>
        <v>5</v>
      </c>
      <c r="P35" s="118">
        <f>GETPIVOTDATA("Sum of Office",h20a!$A$4,"Council",B35)</f>
        <v>0</v>
      </c>
      <c r="Q35" s="118">
        <f>GETPIVOTDATA("Sum of Other Workplace",h20a!$A$4,"Council",B35)</f>
        <v>1</v>
      </c>
      <c r="R35" s="587">
        <f t="shared" si="0"/>
        <v>104</v>
      </c>
      <c r="S35" s="108">
        <f t="shared" si="1"/>
        <v>88</v>
      </c>
    </row>
    <row r="36" spans="1:19" x14ac:dyDescent="0.25">
      <c r="A36" s="568" t="s">
        <v>297</v>
      </c>
      <c r="B36" s="887" t="s">
        <v>55</v>
      </c>
      <c r="C36" s="118">
        <f>GETPIVOTDATA("Sum of Hospital / Prison",h20a!$A$4,"Council",B36)</f>
        <v>0</v>
      </c>
      <c r="D36" s="118">
        <f>GETPIVOTDATA("Sum of Care Home",h20a!$A$4,"Council",B36)</f>
        <v>11</v>
      </c>
      <c r="E36" s="118">
        <f>GETPIVOTDATA("Sum of HMO",h20a!$A$4,"Council",B36)</f>
        <v>0</v>
      </c>
      <c r="F36" s="118">
        <f>GETPIVOTDATA("Sum of Hostel",h20a!$A$4,"Council",B36)</f>
        <v>0</v>
      </c>
      <c r="G36" s="118">
        <f>GETPIVOTDATA("Sum of Hotel",h20a!$A$4,"Council",B36)</f>
        <v>0</v>
      </c>
      <c r="H36" s="118">
        <f>GETPIVOTDATA("Sum of Other Sleeping Accommodation",h20a!$A$4,"Council",B36)</f>
        <v>0</v>
      </c>
      <c r="I36" s="118">
        <f>GETPIVOTDATA("Sum of Further Education",h20a!$A$4,"Council",B36)</f>
        <v>0</v>
      </c>
      <c r="J36" s="118">
        <f>GETPIVOTDATA("Sum of Public Building",h20a!$A$4,"Council",B36)</f>
        <v>0</v>
      </c>
      <c r="K36" s="118">
        <f>GETPIVOTDATA("Sum of Licensed Premises",h20a!$A$4,"Council",B36)</f>
        <v>0</v>
      </c>
      <c r="L36" s="118">
        <f>GETPIVOTDATA("Sum of School",h20a!$A$4,"Council",B36)</f>
        <v>0</v>
      </c>
      <c r="M36" s="118">
        <f>GETPIVOTDATA("Sum of Shop",h20a!$A$4,"Council",B36)</f>
        <v>0</v>
      </c>
      <c r="N36" s="118">
        <f>GETPIVOTDATA("Sum of Other Premises Open to Public",h20a!$A$4,"Council",B36)</f>
        <v>0</v>
      </c>
      <c r="O36" s="118">
        <f>GETPIVOTDATA("Sum of Factory or Warehouse",h20a!$A$4,"Council",B36)</f>
        <v>0</v>
      </c>
      <c r="P36" s="118">
        <f>GETPIVOTDATA("Sum of Office",h20a!$A$4,"Council",B36)</f>
        <v>0</v>
      </c>
      <c r="Q36" s="118">
        <f>GETPIVOTDATA("Sum of Other Workplace",h20a!$A$4,"Council",B36)</f>
        <v>0</v>
      </c>
      <c r="R36" s="587">
        <f t="shared" si="0"/>
        <v>11</v>
      </c>
      <c r="S36" s="108">
        <f t="shared" si="1"/>
        <v>11</v>
      </c>
    </row>
    <row r="37" spans="1:19" x14ac:dyDescent="0.25">
      <c r="A37" s="568" t="s">
        <v>298</v>
      </c>
      <c r="B37" s="887" t="s">
        <v>56</v>
      </c>
      <c r="C37" s="118">
        <f>GETPIVOTDATA("Sum of Hospital / Prison",h20a!$A$4,"Council",B37)</f>
        <v>7</v>
      </c>
      <c r="D37" s="118">
        <f>GETPIVOTDATA("Sum of Care Home",h20a!$A$4,"Council",B37)</f>
        <v>44</v>
      </c>
      <c r="E37" s="118">
        <f>GETPIVOTDATA("Sum of HMO",h20a!$A$4,"Council",B37)</f>
        <v>31</v>
      </c>
      <c r="F37" s="118">
        <f>GETPIVOTDATA("Sum of Hostel",h20a!$A$4,"Council",B37)</f>
        <v>2</v>
      </c>
      <c r="G37" s="118">
        <f>GETPIVOTDATA("Sum of Hotel",h20a!$A$4,"Council",B37)</f>
        <v>40</v>
      </c>
      <c r="H37" s="118">
        <f>GETPIVOTDATA("Sum of Other Sleeping Accommodation",h20a!$A$4,"Council",B37)</f>
        <v>20</v>
      </c>
      <c r="I37" s="118">
        <f>GETPIVOTDATA("Sum of Further Education",h20a!$A$4,"Council",B37)</f>
        <v>2</v>
      </c>
      <c r="J37" s="118">
        <f>GETPIVOTDATA("Sum of Public Building",h20a!$A$4,"Council",B37)</f>
        <v>0</v>
      </c>
      <c r="K37" s="118">
        <f>GETPIVOTDATA("Sum of Licensed Premises",h20a!$A$4,"Council",B37)</f>
        <v>7</v>
      </c>
      <c r="L37" s="118">
        <f>GETPIVOTDATA("Sum of School",h20a!$A$4,"Council",B37)</f>
        <v>7</v>
      </c>
      <c r="M37" s="118">
        <f>GETPIVOTDATA("Sum of Shop",h20a!$A$4,"Council",B37)</f>
        <v>10</v>
      </c>
      <c r="N37" s="118">
        <f>GETPIVOTDATA("Sum of Other Premises Open to Public",h20a!$A$4,"Council",B37)</f>
        <v>10</v>
      </c>
      <c r="O37" s="118">
        <f>GETPIVOTDATA("Sum of Factory or Warehouse",h20a!$A$4,"Council",B37)</f>
        <v>25</v>
      </c>
      <c r="P37" s="118">
        <f>GETPIVOTDATA("Sum of Office",h20a!$A$4,"Council",B37)</f>
        <v>13</v>
      </c>
      <c r="Q37" s="118">
        <f>GETPIVOTDATA("Sum of Other Workplace",h20a!$A$4,"Council",B37)</f>
        <v>7</v>
      </c>
      <c r="R37" s="587">
        <f t="shared" si="0"/>
        <v>225</v>
      </c>
      <c r="S37" s="108">
        <f t="shared" si="1"/>
        <v>194</v>
      </c>
    </row>
    <row r="38" spans="1:19" x14ac:dyDescent="0.25">
      <c r="A38" s="568" t="s">
        <v>299</v>
      </c>
      <c r="B38" s="887" t="s">
        <v>57</v>
      </c>
      <c r="C38" s="118">
        <f>GETPIVOTDATA("Sum of Hospital / Prison",h20a!$A$4,"Council",B38)</f>
        <v>15</v>
      </c>
      <c r="D38" s="118">
        <f>GETPIVOTDATA("Sum of Care Home",h20a!$A$4,"Council",B38)</f>
        <v>61</v>
      </c>
      <c r="E38" s="118">
        <f>GETPIVOTDATA("Sum of HMO",h20a!$A$4,"Council",B38)</f>
        <v>45</v>
      </c>
      <c r="F38" s="118">
        <f>GETPIVOTDATA("Sum of Hostel",h20a!$A$4,"Council",B38)</f>
        <v>0</v>
      </c>
      <c r="G38" s="118">
        <f>GETPIVOTDATA("Sum of Hotel",h20a!$A$4,"Council",B38)</f>
        <v>3</v>
      </c>
      <c r="H38" s="118">
        <f>GETPIVOTDATA("Sum of Other Sleeping Accommodation",h20a!$A$4,"Council",B38)</f>
        <v>2</v>
      </c>
      <c r="I38" s="118">
        <f>GETPIVOTDATA("Sum of Further Education",h20a!$A$4,"Council",B38)</f>
        <v>0</v>
      </c>
      <c r="J38" s="118">
        <f>GETPIVOTDATA("Sum of Public Building",h20a!$A$4,"Council",B38)</f>
        <v>1</v>
      </c>
      <c r="K38" s="118">
        <f>GETPIVOTDATA("Sum of Licensed Premises",h20a!$A$4,"Council",B38)</f>
        <v>5</v>
      </c>
      <c r="L38" s="118">
        <f>GETPIVOTDATA("Sum of School",h20a!$A$4,"Council",B38)</f>
        <v>1</v>
      </c>
      <c r="M38" s="118">
        <f>GETPIVOTDATA("Sum of Shop",h20a!$A$4,"Council",B38)</f>
        <v>13</v>
      </c>
      <c r="N38" s="118">
        <f>GETPIVOTDATA("Sum of Other Premises Open to Public",h20a!$A$4,"Council",B38)</f>
        <v>1</v>
      </c>
      <c r="O38" s="118">
        <f>GETPIVOTDATA("Sum of Factory or Warehouse",h20a!$A$4,"Council",B38)</f>
        <v>5</v>
      </c>
      <c r="P38" s="118">
        <f>GETPIVOTDATA("Sum of Office",h20a!$A$4,"Council",B38)</f>
        <v>3</v>
      </c>
      <c r="Q38" s="118">
        <f>GETPIVOTDATA("Sum of Other Workplace",h20a!$A$4,"Council",B38)</f>
        <v>4</v>
      </c>
      <c r="R38" s="587">
        <f t="shared" si="0"/>
        <v>159</v>
      </c>
      <c r="S38" s="108">
        <f t="shared" si="1"/>
        <v>114</v>
      </c>
    </row>
    <row r="39" spans="1:19" x14ac:dyDescent="0.25">
      <c r="A39" s="568" t="s">
        <v>300</v>
      </c>
      <c r="B39" s="887" t="s">
        <v>58</v>
      </c>
      <c r="C39" s="118">
        <f>GETPIVOTDATA("Sum of Hospital / Prison",h20a!$A$4,"Council",B39)</f>
        <v>5</v>
      </c>
      <c r="D39" s="118">
        <f>GETPIVOTDATA("Sum of Care Home",h20a!$A$4,"Council",B39)</f>
        <v>46</v>
      </c>
      <c r="E39" s="118">
        <f>GETPIVOTDATA("Sum of HMO",h20a!$A$4,"Council",B39)</f>
        <v>87</v>
      </c>
      <c r="F39" s="118">
        <f>GETPIVOTDATA("Sum of Hostel",h20a!$A$4,"Council",B39)</f>
        <v>3</v>
      </c>
      <c r="G39" s="118">
        <f>GETPIVOTDATA("Sum of Hotel",h20a!$A$4,"Council",B39)</f>
        <v>25</v>
      </c>
      <c r="H39" s="118">
        <f>GETPIVOTDATA("Sum of Other Sleeping Accommodation",h20a!$A$4,"Council",B39)</f>
        <v>6</v>
      </c>
      <c r="I39" s="118">
        <f>GETPIVOTDATA("Sum of Further Education",h20a!$A$4,"Council",B39)</f>
        <v>0</v>
      </c>
      <c r="J39" s="118">
        <f>GETPIVOTDATA("Sum of Public Building",h20a!$A$4,"Council",B39)</f>
        <v>0</v>
      </c>
      <c r="K39" s="118">
        <f>GETPIVOTDATA("Sum of Licensed Premises",h20a!$A$4,"Council",B39)</f>
        <v>3</v>
      </c>
      <c r="L39" s="118">
        <f>GETPIVOTDATA("Sum of School",h20a!$A$4,"Council",B39)</f>
        <v>10</v>
      </c>
      <c r="M39" s="118">
        <f>GETPIVOTDATA("Sum of Shop",h20a!$A$4,"Council",B39)</f>
        <v>6</v>
      </c>
      <c r="N39" s="118">
        <f>GETPIVOTDATA("Sum of Other Premises Open to Public",h20a!$A$4,"Council",B39)</f>
        <v>3</v>
      </c>
      <c r="O39" s="118">
        <f>GETPIVOTDATA("Sum of Factory or Warehouse",h20a!$A$4,"Council",B39)</f>
        <v>3</v>
      </c>
      <c r="P39" s="118">
        <f>GETPIVOTDATA("Sum of Office",h20a!$A$4,"Council",B39)</f>
        <v>4</v>
      </c>
      <c r="Q39" s="118">
        <f>GETPIVOTDATA("Sum of Other Workplace",h20a!$A$4,"Council",B39)</f>
        <v>0</v>
      </c>
      <c r="R39" s="587">
        <f t="shared" si="0"/>
        <v>201</v>
      </c>
      <c r="S39" s="108">
        <f t="shared" si="1"/>
        <v>114</v>
      </c>
    </row>
    <row r="40" spans="1:19" x14ac:dyDescent="0.25">
      <c r="A40" s="568" t="s">
        <v>306</v>
      </c>
      <c r="B40" s="887" t="s">
        <v>59</v>
      </c>
      <c r="C40" s="118">
        <f>GETPIVOTDATA("Sum of Hospital / Prison",h20a!$A$4,"Council",B40)</f>
        <v>6</v>
      </c>
      <c r="D40" s="118">
        <f>GETPIVOTDATA("Sum of Care Home",h20a!$A$4,"Council",B40)</f>
        <v>19</v>
      </c>
      <c r="E40" s="118">
        <f>GETPIVOTDATA("Sum of HMO",h20a!$A$4,"Council",B40)</f>
        <v>21</v>
      </c>
      <c r="F40" s="118">
        <f>GETPIVOTDATA("Sum of Hostel",h20a!$A$4,"Council",B40)</f>
        <v>0</v>
      </c>
      <c r="G40" s="118">
        <f>GETPIVOTDATA("Sum of Hotel",h20a!$A$4,"Council",B40)</f>
        <v>20</v>
      </c>
      <c r="H40" s="118">
        <f>GETPIVOTDATA("Sum of Other Sleeping Accommodation",h20a!$A$4,"Council",B40)</f>
        <v>3</v>
      </c>
      <c r="I40" s="118">
        <f>GETPIVOTDATA("Sum of Further Education",h20a!$A$4,"Council",B40)</f>
        <v>0</v>
      </c>
      <c r="J40" s="118">
        <f>GETPIVOTDATA("Sum of Public Building",h20a!$A$4,"Council",B40)</f>
        <v>2</v>
      </c>
      <c r="K40" s="118">
        <f>GETPIVOTDATA("Sum of Licensed Premises",h20a!$A$4,"Council",B40)</f>
        <v>12</v>
      </c>
      <c r="L40" s="118">
        <f>GETPIVOTDATA("Sum of School",h20a!$A$4,"Council",B40)</f>
        <v>1</v>
      </c>
      <c r="M40" s="118">
        <f>GETPIVOTDATA("Sum of Shop",h20a!$A$4,"Council",B40)</f>
        <v>13</v>
      </c>
      <c r="N40" s="118">
        <f>GETPIVOTDATA("Sum of Other Premises Open to Public",h20a!$A$4,"Council",B40)</f>
        <v>7</v>
      </c>
      <c r="O40" s="118">
        <f>GETPIVOTDATA("Sum of Factory or Warehouse",h20a!$A$4,"Council",B40)</f>
        <v>15</v>
      </c>
      <c r="P40" s="118">
        <f>GETPIVOTDATA("Sum of Office",h20a!$A$4,"Council",B40)</f>
        <v>5</v>
      </c>
      <c r="Q40" s="118">
        <f>GETPIVOTDATA("Sum of Other Workplace",h20a!$A$4,"Council",B40)</f>
        <v>4</v>
      </c>
      <c r="R40" s="587">
        <f t="shared" si="0"/>
        <v>128</v>
      </c>
      <c r="S40" s="108">
        <f t="shared" si="1"/>
        <v>107</v>
      </c>
    </row>
    <row r="41" spans="1:19" x14ac:dyDescent="0.25">
      <c r="A41" s="568" t="s">
        <v>307</v>
      </c>
      <c r="B41" s="888" t="s">
        <v>60</v>
      </c>
      <c r="C41" s="118">
        <f>GETPIVOTDATA("Sum of Hospital / Prison",h20a!$A$4,"Council",B41)</f>
        <v>5</v>
      </c>
      <c r="D41" s="118">
        <f>GETPIVOTDATA("Sum of Care Home",h20a!$A$4,"Council",B41)</f>
        <v>45</v>
      </c>
      <c r="E41" s="118">
        <f>GETPIVOTDATA("Sum of HMO",h20a!$A$4,"Council",B41)</f>
        <v>26</v>
      </c>
      <c r="F41" s="118">
        <f>GETPIVOTDATA("Sum of Hostel",h20a!$A$4,"Council",B41)</f>
        <v>0</v>
      </c>
      <c r="G41" s="118">
        <f>GETPIVOTDATA("Sum of Hotel",h20a!$A$4,"Council",B41)</f>
        <v>10</v>
      </c>
      <c r="H41" s="118">
        <f>GETPIVOTDATA("Sum of Other Sleeping Accommodation",h20a!$A$4,"Council",B41)</f>
        <v>2</v>
      </c>
      <c r="I41" s="118">
        <f>GETPIVOTDATA("Sum of Further Education",h20a!$A$4,"Council",B41)</f>
        <v>1</v>
      </c>
      <c r="J41" s="118">
        <f>GETPIVOTDATA("Sum of Public Building",h20a!$A$4,"Council",B41)</f>
        <v>1</v>
      </c>
      <c r="K41" s="118">
        <f>GETPIVOTDATA("Sum of Licensed Premises",h20a!$A$4,"Council",B41)</f>
        <v>9</v>
      </c>
      <c r="L41" s="118">
        <f>GETPIVOTDATA("Sum of School",h20a!$A$4,"Council",B41)</f>
        <v>11</v>
      </c>
      <c r="M41" s="118">
        <f>GETPIVOTDATA("Sum of Shop",h20a!$A$4,"Council",B41)</f>
        <v>17</v>
      </c>
      <c r="N41" s="118">
        <f>GETPIVOTDATA("Sum of Other Premises Open to Public",h20a!$A$4,"Council",B41)</f>
        <v>22</v>
      </c>
      <c r="O41" s="118">
        <f>GETPIVOTDATA("Sum of Factory or Warehouse",h20a!$A$4,"Council",B41)</f>
        <v>17</v>
      </c>
      <c r="P41" s="118">
        <f>GETPIVOTDATA("Sum of Office",h20a!$A$4,"Council",B41)</f>
        <v>5</v>
      </c>
      <c r="Q41" s="118">
        <f>GETPIVOTDATA("Sum of Other Workplace",h20a!$A$4,"Council",B41)</f>
        <v>3</v>
      </c>
      <c r="R41" s="587">
        <f t="shared" si="0"/>
        <v>174</v>
      </c>
      <c r="S41" s="108">
        <f t="shared" si="1"/>
        <v>148</v>
      </c>
    </row>
    <row r="42" spans="1:19" ht="23.25" customHeight="1" thickBot="1" x14ac:dyDescent="0.3">
      <c r="A42" s="277"/>
      <c r="B42" s="886" t="s">
        <v>810</v>
      </c>
      <c r="C42" s="328">
        <f>SUM(C10:C41)</f>
        <v>298</v>
      </c>
      <c r="D42" s="328">
        <f t="shared" ref="D42:O42" si="2">SUM(D10:D41)</f>
        <v>1486</v>
      </c>
      <c r="E42" s="328">
        <f t="shared" si="2"/>
        <v>1951</v>
      </c>
      <c r="F42" s="328">
        <f t="shared" si="2"/>
        <v>71</v>
      </c>
      <c r="G42" s="328">
        <f t="shared" si="2"/>
        <v>1081</v>
      </c>
      <c r="H42" s="328">
        <f t="shared" si="2"/>
        <v>470</v>
      </c>
      <c r="I42" s="328">
        <f t="shared" si="2"/>
        <v>25</v>
      </c>
      <c r="J42" s="328">
        <f t="shared" si="2"/>
        <v>39</v>
      </c>
      <c r="K42" s="328">
        <f t="shared" si="2"/>
        <v>289</v>
      </c>
      <c r="L42" s="328">
        <f t="shared" si="2"/>
        <v>271</v>
      </c>
      <c r="M42" s="328">
        <f t="shared" si="2"/>
        <v>358</v>
      </c>
      <c r="N42" s="328">
        <f t="shared" si="2"/>
        <v>279</v>
      </c>
      <c r="O42" s="328">
        <f t="shared" si="2"/>
        <v>241</v>
      </c>
      <c r="P42" s="328">
        <f>SUM(P10:P41)</f>
        <v>285</v>
      </c>
      <c r="Q42" s="328">
        <f>SUM(Q10:Q41)</f>
        <v>117</v>
      </c>
      <c r="R42" s="588">
        <f>SUM(R10:R41)</f>
        <v>7261</v>
      </c>
      <c r="S42" s="328">
        <f>SUM(S10:S41)</f>
        <v>5310</v>
      </c>
    </row>
    <row r="43" spans="1:19" x14ac:dyDescent="0.25">
      <c r="B43" s="16"/>
      <c r="C43" s="16"/>
      <c r="D43" s="16"/>
      <c r="E43" s="16"/>
      <c r="F43" s="16"/>
      <c r="G43" s="16"/>
      <c r="H43" s="16"/>
      <c r="I43" s="16"/>
      <c r="J43" s="16"/>
      <c r="K43" s="16"/>
      <c r="L43" s="16"/>
      <c r="M43" s="16"/>
      <c r="N43" s="16"/>
      <c r="O43" s="16"/>
      <c r="P43" s="16"/>
      <c r="Q43" s="16"/>
      <c r="R43" s="16"/>
      <c r="S43" s="16"/>
    </row>
    <row r="44" spans="1:19" x14ac:dyDescent="0.25">
      <c r="A44" s="885" t="s">
        <v>8</v>
      </c>
      <c r="B44" s="1133"/>
      <c r="C44" s="1133"/>
      <c r="D44" s="1133"/>
      <c r="E44" s="1133"/>
      <c r="F44" s="1133"/>
      <c r="G44" s="1133"/>
      <c r="H44" s="1133"/>
      <c r="I44" s="1133"/>
      <c r="J44" s="1133"/>
      <c r="K44" s="1133"/>
      <c r="L44" s="1133"/>
      <c r="M44" s="1133"/>
      <c r="N44" s="1133"/>
      <c r="O44" s="1133"/>
      <c r="P44" s="1133"/>
      <c r="Q44" s="1133"/>
      <c r="R44" s="1133"/>
      <c r="S44" s="1133"/>
    </row>
    <row r="45" spans="1:19" x14ac:dyDescent="0.25">
      <c r="A45" t="s">
        <v>637</v>
      </c>
      <c r="B45" s="508"/>
      <c r="C45" s="508"/>
      <c r="D45" s="508"/>
      <c r="E45" s="508"/>
      <c r="F45" s="508"/>
      <c r="G45" s="508"/>
      <c r="H45" s="508"/>
      <c r="I45" s="508"/>
      <c r="J45" s="508"/>
      <c r="K45" s="508"/>
      <c r="L45" s="508"/>
      <c r="M45" s="508"/>
      <c r="N45" s="508"/>
      <c r="O45" s="508"/>
      <c r="P45" s="508"/>
      <c r="Q45" s="508"/>
      <c r="R45" s="508"/>
      <c r="S45" s="508"/>
    </row>
  </sheetData>
  <sheetProtection algorithmName="SHA-512" hashValue="ZAMqRhNkfoaei0Hr01dQ3zEl4hqHMLUWj2Du9mEdYSq+tJRX0TS8bvmOZbitDkMKIDHuJX3VCvKlxoozPj8cyg==" saltValue="222WFiz7YGCYiYaHKeyjGg==" spinCount="100000" sheet="1" scenarios="1" formatCells="0" formatColumns="0" formatRows="0" sort="0" autoFilter="0" pivotTables="0"/>
  <mergeCells count="2">
    <mergeCell ref="B44:S44"/>
    <mergeCell ref="A4:K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9" orientation="landscape" r:id="rId1"/>
  <drawing r:id="rId2"/>
  <extLst>
    <ext xmlns:x14="http://schemas.microsoft.com/office/spreadsheetml/2009/9/main" uri="{A8765BA9-456A-4dab-B4F3-ACF838C121DE}">
      <x14:slicerList>
        <x14:slicer r:id="rId3"/>
      </x14:slicerList>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P36"/>
  <sheetViews>
    <sheetView workbookViewId="0">
      <selection activeCell="D3" sqref="D3"/>
    </sheetView>
  </sheetViews>
  <sheetFormatPr defaultRowHeight="15" x14ac:dyDescent="0.25"/>
  <cols>
    <col min="1" max="1" width="21.85546875" bestFit="1" customWidth="1"/>
    <col min="2" max="2" width="22.5703125" bestFit="1" customWidth="1"/>
    <col min="3" max="3" width="17.5703125" bestFit="1" customWidth="1"/>
    <col min="4" max="4" width="12.140625" bestFit="1" customWidth="1"/>
    <col min="5" max="5" width="13.42578125" bestFit="1" customWidth="1"/>
    <col min="6" max="6" width="12.42578125" bestFit="1" customWidth="1"/>
    <col min="7" max="7" width="36.5703125" bestFit="1" customWidth="1"/>
    <col min="8" max="8" width="23.7109375" bestFit="1" customWidth="1"/>
    <col min="9" max="9" width="21" bestFit="1" customWidth="1"/>
    <col min="10" max="10" width="24.28515625" bestFit="1" customWidth="1"/>
    <col min="11" max="11" width="13.5703125" bestFit="1" customWidth="1"/>
    <col min="12" max="12" width="12" bestFit="1" customWidth="1"/>
    <col min="13" max="13" width="35.5703125" bestFit="1" customWidth="1"/>
    <col min="14" max="14" width="27.5703125" bestFit="1" customWidth="1"/>
    <col min="15" max="15" width="13.140625" bestFit="1" customWidth="1"/>
    <col min="16" max="16" width="23.140625" bestFit="1" customWidth="1"/>
    <col min="17" max="17" width="30.140625" bestFit="1" customWidth="1"/>
  </cols>
  <sheetData>
    <row r="2" spans="1:16" x14ac:dyDescent="0.25">
      <c r="A2" s="565" t="s">
        <v>329</v>
      </c>
      <c r="B2" t="s">
        <v>851</v>
      </c>
      <c r="D2" t="str">
        <f>B2</f>
        <v>2019-20</v>
      </c>
    </row>
    <row r="4" spans="1:16" x14ac:dyDescent="0.25">
      <c r="A4" s="565" t="s">
        <v>246</v>
      </c>
      <c r="B4" t="s">
        <v>415</v>
      </c>
      <c r="C4" t="s">
        <v>416</v>
      </c>
      <c r="D4" t="s">
        <v>417</v>
      </c>
      <c r="E4" t="s">
        <v>418</v>
      </c>
      <c r="F4" t="s">
        <v>419</v>
      </c>
      <c r="G4" t="s">
        <v>420</v>
      </c>
      <c r="H4" t="s">
        <v>421</v>
      </c>
      <c r="I4" t="s">
        <v>422</v>
      </c>
      <c r="J4" t="s">
        <v>423</v>
      </c>
      <c r="K4" t="s">
        <v>424</v>
      </c>
      <c r="L4" t="s">
        <v>425</v>
      </c>
      <c r="M4" t="s">
        <v>426</v>
      </c>
      <c r="N4" t="s">
        <v>427</v>
      </c>
      <c r="O4" t="s">
        <v>428</v>
      </c>
      <c r="P4" t="s">
        <v>429</v>
      </c>
    </row>
    <row r="5" spans="1:16" x14ac:dyDescent="0.25">
      <c r="A5" s="1068" t="s">
        <v>31</v>
      </c>
      <c r="B5" s="567">
        <v>15</v>
      </c>
      <c r="C5" s="567">
        <v>70</v>
      </c>
      <c r="D5" s="567">
        <v>231</v>
      </c>
      <c r="E5" s="567"/>
      <c r="F5" s="567">
        <v>44</v>
      </c>
      <c r="G5" s="567">
        <v>17</v>
      </c>
      <c r="H5" s="567">
        <v>2</v>
      </c>
      <c r="I5" s="567">
        <v>1</v>
      </c>
      <c r="J5" s="567">
        <v>7</v>
      </c>
      <c r="K5" s="567">
        <v>6</v>
      </c>
      <c r="L5" s="567">
        <v>13</v>
      </c>
      <c r="M5" s="567">
        <v>9</v>
      </c>
      <c r="N5" s="567">
        <v>8</v>
      </c>
      <c r="O5" s="567">
        <v>6</v>
      </c>
      <c r="P5" s="567">
        <v>4</v>
      </c>
    </row>
    <row r="6" spans="1:16" x14ac:dyDescent="0.25">
      <c r="A6" s="1068" t="s">
        <v>32</v>
      </c>
      <c r="B6" s="567">
        <v>15</v>
      </c>
      <c r="C6" s="567">
        <v>81</v>
      </c>
      <c r="D6" s="567">
        <v>20</v>
      </c>
      <c r="E6" s="567">
        <v>5</v>
      </c>
      <c r="F6" s="567">
        <v>44</v>
      </c>
      <c r="G6" s="567">
        <v>47</v>
      </c>
      <c r="H6" s="567"/>
      <c r="I6" s="567">
        <v>3</v>
      </c>
      <c r="J6" s="567">
        <v>8</v>
      </c>
      <c r="K6" s="567">
        <v>30</v>
      </c>
      <c r="L6" s="567">
        <v>34</v>
      </c>
      <c r="M6" s="567">
        <v>9</v>
      </c>
      <c r="N6" s="567">
        <v>19</v>
      </c>
      <c r="O6" s="567">
        <v>17</v>
      </c>
      <c r="P6" s="567">
        <v>19</v>
      </c>
    </row>
    <row r="7" spans="1:16" x14ac:dyDescent="0.25">
      <c r="A7" s="1068" t="s">
        <v>33</v>
      </c>
      <c r="B7" s="567">
        <v>7</v>
      </c>
      <c r="C7" s="567">
        <v>38</v>
      </c>
      <c r="D7" s="567">
        <v>7</v>
      </c>
      <c r="E7" s="567"/>
      <c r="F7" s="567">
        <v>2</v>
      </c>
      <c r="G7" s="567">
        <v>6</v>
      </c>
      <c r="H7" s="567"/>
      <c r="I7" s="567">
        <v>7</v>
      </c>
      <c r="J7" s="567">
        <v>10</v>
      </c>
      <c r="K7" s="567">
        <v>8</v>
      </c>
      <c r="L7" s="567">
        <v>10</v>
      </c>
      <c r="M7" s="567">
        <v>9</v>
      </c>
      <c r="N7" s="567">
        <v>8</v>
      </c>
      <c r="O7" s="567">
        <v>2</v>
      </c>
      <c r="P7" s="567">
        <v>9</v>
      </c>
    </row>
    <row r="8" spans="1:16" x14ac:dyDescent="0.25">
      <c r="A8" s="1068" t="s">
        <v>34</v>
      </c>
      <c r="B8" s="567">
        <v>7</v>
      </c>
      <c r="C8" s="567">
        <v>28</v>
      </c>
      <c r="D8" s="567">
        <v>38</v>
      </c>
      <c r="E8" s="567">
        <v>8</v>
      </c>
      <c r="F8" s="567">
        <v>107</v>
      </c>
      <c r="G8" s="567">
        <v>49</v>
      </c>
      <c r="H8" s="567">
        <v>2</v>
      </c>
      <c r="I8" s="567">
        <v>3</v>
      </c>
      <c r="J8" s="567">
        <v>5</v>
      </c>
      <c r="K8" s="567">
        <v>7</v>
      </c>
      <c r="L8" s="567">
        <v>8</v>
      </c>
      <c r="M8" s="567">
        <v>5</v>
      </c>
      <c r="N8" s="567">
        <v>7</v>
      </c>
      <c r="O8" s="567">
        <v>6</v>
      </c>
      <c r="P8" s="567">
        <v>2</v>
      </c>
    </row>
    <row r="9" spans="1:16" x14ac:dyDescent="0.25">
      <c r="A9" s="1068" t="s">
        <v>258</v>
      </c>
      <c r="B9" s="567">
        <v>44</v>
      </c>
      <c r="C9" s="567">
        <v>107</v>
      </c>
      <c r="D9" s="567">
        <v>91</v>
      </c>
      <c r="E9" s="567">
        <v>11</v>
      </c>
      <c r="F9" s="567">
        <v>97</v>
      </c>
      <c r="G9" s="567">
        <v>84</v>
      </c>
      <c r="H9" s="567">
        <v>4</v>
      </c>
      <c r="I9" s="567">
        <v>2</v>
      </c>
      <c r="J9" s="567">
        <v>52</v>
      </c>
      <c r="K9" s="567">
        <v>28</v>
      </c>
      <c r="L9" s="567">
        <v>42</v>
      </c>
      <c r="M9" s="567">
        <v>31</v>
      </c>
      <c r="N9" s="567">
        <v>7</v>
      </c>
      <c r="O9" s="567">
        <v>45</v>
      </c>
      <c r="P9" s="567">
        <v>3</v>
      </c>
    </row>
    <row r="10" spans="1:16" x14ac:dyDescent="0.25">
      <c r="A10" s="1068" t="s">
        <v>35</v>
      </c>
      <c r="B10" s="567">
        <v>4</v>
      </c>
      <c r="C10" s="567">
        <v>22</v>
      </c>
      <c r="D10" s="567">
        <v>3</v>
      </c>
      <c r="E10" s="567"/>
      <c r="F10" s="567"/>
      <c r="G10" s="567"/>
      <c r="H10" s="567"/>
      <c r="I10" s="567"/>
      <c r="J10" s="567"/>
      <c r="K10" s="567">
        <v>8</v>
      </c>
      <c r="L10" s="567">
        <v>1</v>
      </c>
      <c r="M10" s="567">
        <v>4</v>
      </c>
      <c r="N10" s="567">
        <v>3</v>
      </c>
      <c r="O10" s="567">
        <v>4</v>
      </c>
      <c r="P10" s="567"/>
    </row>
    <row r="11" spans="1:16" x14ac:dyDescent="0.25">
      <c r="A11" s="1068" t="s">
        <v>36</v>
      </c>
      <c r="B11" s="567">
        <v>7</v>
      </c>
      <c r="C11" s="567">
        <v>61</v>
      </c>
      <c r="D11" s="567">
        <v>21</v>
      </c>
      <c r="E11" s="567">
        <v>6</v>
      </c>
      <c r="F11" s="567">
        <v>90</v>
      </c>
      <c r="G11" s="567">
        <v>67</v>
      </c>
      <c r="H11" s="567"/>
      <c r="I11" s="567">
        <v>4</v>
      </c>
      <c r="J11" s="567">
        <v>12</v>
      </c>
      <c r="K11" s="567">
        <v>23</v>
      </c>
      <c r="L11" s="567">
        <v>20</v>
      </c>
      <c r="M11" s="567">
        <v>44</v>
      </c>
      <c r="N11" s="567">
        <v>43</v>
      </c>
      <c r="O11" s="567">
        <v>30</v>
      </c>
      <c r="P11" s="567">
        <v>7</v>
      </c>
    </row>
    <row r="12" spans="1:16" x14ac:dyDescent="0.25">
      <c r="A12" s="1068" t="s">
        <v>37</v>
      </c>
      <c r="B12" s="567">
        <v>3</v>
      </c>
      <c r="C12" s="567">
        <v>35</v>
      </c>
      <c r="D12" s="567">
        <v>336</v>
      </c>
      <c r="E12" s="567">
        <v>1</v>
      </c>
      <c r="F12" s="567">
        <v>17</v>
      </c>
      <c r="G12" s="567">
        <v>1</v>
      </c>
      <c r="H12" s="567"/>
      <c r="I12" s="567">
        <v>2</v>
      </c>
      <c r="J12" s="567">
        <v>12</v>
      </c>
      <c r="K12" s="567">
        <v>1</v>
      </c>
      <c r="L12" s="567">
        <v>4</v>
      </c>
      <c r="M12" s="567">
        <v>7</v>
      </c>
      <c r="N12" s="567">
        <v>4</v>
      </c>
      <c r="O12" s="567"/>
      <c r="P12" s="567">
        <v>1</v>
      </c>
    </row>
    <row r="13" spans="1:16" x14ac:dyDescent="0.25">
      <c r="A13" s="1068" t="s">
        <v>38</v>
      </c>
      <c r="B13" s="567">
        <v>2</v>
      </c>
      <c r="C13" s="567">
        <v>54</v>
      </c>
      <c r="D13" s="567">
        <v>8</v>
      </c>
      <c r="E13" s="567"/>
      <c r="F13" s="567">
        <v>13</v>
      </c>
      <c r="G13" s="567">
        <v>11</v>
      </c>
      <c r="H13" s="567"/>
      <c r="I13" s="567"/>
      <c r="J13" s="567">
        <v>3</v>
      </c>
      <c r="K13" s="567">
        <v>10</v>
      </c>
      <c r="L13" s="567">
        <v>6</v>
      </c>
      <c r="M13" s="567">
        <v>3</v>
      </c>
      <c r="N13" s="567"/>
      <c r="O13" s="567"/>
      <c r="P13" s="567"/>
    </row>
    <row r="14" spans="1:16" x14ac:dyDescent="0.25">
      <c r="A14" s="1068" t="s">
        <v>39</v>
      </c>
      <c r="B14" s="567">
        <v>4</v>
      </c>
      <c r="C14" s="567">
        <v>32</v>
      </c>
      <c r="D14" s="567">
        <v>29</v>
      </c>
      <c r="E14" s="567"/>
      <c r="F14" s="567">
        <v>6</v>
      </c>
      <c r="G14" s="567">
        <v>1</v>
      </c>
      <c r="H14" s="567"/>
      <c r="I14" s="567">
        <v>1</v>
      </c>
      <c r="J14" s="567">
        <v>8</v>
      </c>
      <c r="K14" s="567">
        <v>8</v>
      </c>
      <c r="L14" s="567">
        <v>6</v>
      </c>
      <c r="M14" s="567">
        <v>1</v>
      </c>
      <c r="N14" s="567"/>
      <c r="O14" s="567">
        <v>4</v>
      </c>
      <c r="P14" s="567">
        <v>1</v>
      </c>
    </row>
    <row r="15" spans="1:16" x14ac:dyDescent="0.25">
      <c r="A15" s="1068" t="s">
        <v>40</v>
      </c>
      <c r="B15" s="567">
        <v>5</v>
      </c>
      <c r="C15" s="567">
        <v>23</v>
      </c>
      <c r="D15" s="567">
        <v>12</v>
      </c>
      <c r="E15" s="567"/>
      <c r="F15" s="567">
        <v>4</v>
      </c>
      <c r="G15" s="567">
        <v>2</v>
      </c>
      <c r="H15" s="567"/>
      <c r="I15" s="567">
        <v>1</v>
      </c>
      <c r="J15" s="567">
        <v>10</v>
      </c>
      <c r="K15" s="567">
        <v>8</v>
      </c>
      <c r="L15" s="567">
        <v>2</v>
      </c>
      <c r="M15" s="567">
        <v>7</v>
      </c>
      <c r="N15" s="567">
        <v>1</v>
      </c>
      <c r="O15" s="567">
        <v>1</v>
      </c>
      <c r="P15" s="567">
        <v>2</v>
      </c>
    </row>
    <row r="16" spans="1:16" x14ac:dyDescent="0.25">
      <c r="A16" s="1068" t="s">
        <v>41</v>
      </c>
      <c r="B16" s="567"/>
      <c r="C16" s="567">
        <v>7</v>
      </c>
      <c r="D16" s="567">
        <v>2</v>
      </c>
      <c r="E16" s="567"/>
      <c r="F16" s="567">
        <v>6</v>
      </c>
      <c r="G16" s="567">
        <v>2</v>
      </c>
      <c r="H16" s="567"/>
      <c r="I16" s="567"/>
      <c r="J16" s="567"/>
      <c r="K16" s="567">
        <v>5</v>
      </c>
      <c r="L16" s="567"/>
      <c r="M16" s="567">
        <v>3</v>
      </c>
      <c r="N16" s="567">
        <v>1</v>
      </c>
      <c r="O16" s="567">
        <v>2</v>
      </c>
      <c r="P16" s="567"/>
    </row>
    <row r="17" spans="1:16" x14ac:dyDescent="0.25">
      <c r="A17" s="1068" t="s">
        <v>42</v>
      </c>
      <c r="B17" s="567">
        <v>9</v>
      </c>
      <c r="C17" s="567">
        <v>41</v>
      </c>
      <c r="D17" s="567">
        <v>4</v>
      </c>
      <c r="E17" s="567">
        <v>1</v>
      </c>
      <c r="F17" s="567">
        <v>19</v>
      </c>
      <c r="G17" s="567"/>
      <c r="H17" s="567">
        <v>1</v>
      </c>
      <c r="I17" s="567">
        <v>5</v>
      </c>
      <c r="J17" s="567">
        <v>22</v>
      </c>
      <c r="K17" s="567">
        <v>12</v>
      </c>
      <c r="L17" s="567">
        <v>13</v>
      </c>
      <c r="M17" s="567">
        <v>14</v>
      </c>
      <c r="N17" s="567">
        <v>8</v>
      </c>
      <c r="O17" s="567">
        <v>1</v>
      </c>
      <c r="P17" s="567"/>
    </row>
    <row r="18" spans="1:16" x14ac:dyDescent="0.25">
      <c r="A18" s="1068" t="s">
        <v>43</v>
      </c>
      <c r="B18" s="567">
        <v>13</v>
      </c>
      <c r="C18" s="567">
        <v>132</v>
      </c>
      <c r="D18" s="567">
        <v>156</v>
      </c>
      <c r="E18" s="567">
        <v>1</v>
      </c>
      <c r="F18" s="567">
        <v>54</v>
      </c>
      <c r="G18" s="567">
        <v>17</v>
      </c>
      <c r="H18" s="567">
        <v>1</v>
      </c>
      <c r="I18" s="567"/>
      <c r="J18" s="567">
        <v>7</v>
      </c>
      <c r="K18" s="567">
        <v>10</v>
      </c>
      <c r="L18" s="567">
        <v>4</v>
      </c>
      <c r="M18" s="567">
        <v>9</v>
      </c>
      <c r="N18" s="567">
        <v>7</v>
      </c>
      <c r="O18" s="567">
        <v>2</v>
      </c>
      <c r="P18" s="567">
        <v>4</v>
      </c>
    </row>
    <row r="19" spans="1:16" x14ac:dyDescent="0.25">
      <c r="A19" s="1068" t="s">
        <v>121</v>
      </c>
      <c r="B19" s="567">
        <v>25</v>
      </c>
      <c r="C19" s="567">
        <v>86</v>
      </c>
      <c r="D19" s="567">
        <v>646</v>
      </c>
      <c r="E19" s="567">
        <v>6</v>
      </c>
      <c r="F19" s="567">
        <v>74</v>
      </c>
      <c r="G19" s="567">
        <v>5</v>
      </c>
      <c r="H19" s="567">
        <v>4</v>
      </c>
      <c r="I19" s="567">
        <v>3</v>
      </c>
      <c r="J19" s="567">
        <v>42</v>
      </c>
      <c r="K19" s="567">
        <v>17</v>
      </c>
      <c r="L19" s="567">
        <v>58</v>
      </c>
      <c r="M19" s="567">
        <v>23</v>
      </c>
      <c r="N19" s="567">
        <v>10</v>
      </c>
      <c r="O19" s="567">
        <v>27</v>
      </c>
      <c r="P19" s="567">
        <v>13</v>
      </c>
    </row>
    <row r="20" spans="1:16" x14ac:dyDescent="0.25">
      <c r="A20" s="1068" t="s">
        <v>44</v>
      </c>
      <c r="B20" s="567">
        <v>20</v>
      </c>
      <c r="C20" s="567">
        <v>95</v>
      </c>
      <c r="D20" s="567">
        <v>65</v>
      </c>
      <c r="E20" s="567">
        <v>15</v>
      </c>
      <c r="F20" s="567">
        <v>236</v>
      </c>
      <c r="G20" s="567">
        <v>33</v>
      </c>
      <c r="H20" s="567">
        <v>1</v>
      </c>
      <c r="I20" s="567"/>
      <c r="J20" s="567">
        <v>11</v>
      </c>
      <c r="K20" s="567">
        <v>1</v>
      </c>
      <c r="L20" s="567">
        <v>8</v>
      </c>
      <c r="M20" s="567">
        <v>3</v>
      </c>
      <c r="N20" s="567">
        <v>1</v>
      </c>
      <c r="O20" s="567">
        <v>3</v>
      </c>
      <c r="P20" s="567">
        <v>1</v>
      </c>
    </row>
    <row r="21" spans="1:16" x14ac:dyDescent="0.25">
      <c r="A21" s="1068" t="s">
        <v>45</v>
      </c>
      <c r="B21" s="567">
        <v>2</v>
      </c>
      <c r="C21" s="567">
        <v>34</v>
      </c>
      <c r="D21" s="567">
        <v>8</v>
      </c>
      <c r="E21" s="567"/>
      <c r="F21" s="567">
        <v>3</v>
      </c>
      <c r="G21" s="567">
        <v>1</v>
      </c>
      <c r="H21" s="567"/>
      <c r="I21" s="567"/>
      <c r="J21" s="567"/>
      <c r="K21" s="567">
        <v>1</v>
      </c>
      <c r="L21" s="567">
        <v>1</v>
      </c>
      <c r="M21" s="567">
        <v>3</v>
      </c>
      <c r="N21" s="567"/>
      <c r="O21" s="567">
        <v>1</v>
      </c>
      <c r="P21" s="567"/>
    </row>
    <row r="22" spans="1:16" x14ac:dyDescent="0.25">
      <c r="A22" s="1068" t="s">
        <v>46</v>
      </c>
      <c r="B22" s="567">
        <v>3</v>
      </c>
      <c r="C22" s="567">
        <v>18</v>
      </c>
      <c r="D22" s="567">
        <v>8</v>
      </c>
      <c r="E22" s="567"/>
      <c r="F22" s="567">
        <v>5</v>
      </c>
      <c r="G22" s="567">
        <v>1</v>
      </c>
      <c r="H22" s="567"/>
      <c r="I22" s="567"/>
      <c r="J22" s="567">
        <v>6</v>
      </c>
      <c r="K22" s="567">
        <v>12</v>
      </c>
      <c r="L22" s="567">
        <v>5</v>
      </c>
      <c r="M22" s="567">
        <v>8</v>
      </c>
      <c r="N22" s="567"/>
      <c r="O22" s="567">
        <v>4</v>
      </c>
      <c r="P22" s="567"/>
    </row>
    <row r="23" spans="1:16" x14ac:dyDescent="0.25">
      <c r="A23" s="1068" t="s">
        <v>47</v>
      </c>
      <c r="B23" s="567">
        <v>4</v>
      </c>
      <c r="C23" s="567">
        <v>21</v>
      </c>
      <c r="D23" s="567">
        <v>6</v>
      </c>
      <c r="E23" s="567">
        <v>1</v>
      </c>
      <c r="F23" s="567">
        <v>20</v>
      </c>
      <c r="G23" s="567">
        <v>23</v>
      </c>
      <c r="H23" s="567">
        <v>1</v>
      </c>
      <c r="I23" s="567">
        <v>1</v>
      </c>
      <c r="J23" s="567"/>
      <c r="K23" s="567">
        <v>7</v>
      </c>
      <c r="L23" s="567">
        <v>7</v>
      </c>
      <c r="M23" s="567">
        <v>4</v>
      </c>
      <c r="N23" s="567">
        <v>4</v>
      </c>
      <c r="O23" s="567">
        <v>1</v>
      </c>
      <c r="P23" s="567"/>
    </row>
    <row r="24" spans="1:16" x14ac:dyDescent="0.25">
      <c r="A24" s="1068" t="s">
        <v>49</v>
      </c>
      <c r="B24" s="567">
        <v>3</v>
      </c>
      <c r="C24" s="567">
        <v>62</v>
      </c>
      <c r="D24" s="567">
        <v>8</v>
      </c>
      <c r="E24" s="567">
        <v>7</v>
      </c>
      <c r="F24" s="567">
        <v>8</v>
      </c>
      <c r="G24" s="567">
        <v>11</v>
      </c>
      <c r="H24" s="567">
        <v>5</v>
      </c>
      <c r="I24" s="567">
        <v>1</v>
      </c>
      <c r="J24" s="567">
        <v>8</v>
      </c>
      <c r="K24" s="567">
        <v>2</v>
      </c>
      <c r="L24" s="567">
        <v>14</v>
      </c>
      <c r="M24" s="567">
        <v>7</v>
      </c>
      <c r="N24" s="567">
        <v>4</v>
      </c>
      <c r="O24" s="567">
        <v>3</v>
      </c>
      <c r="P24" s="567">
        <v>5</v>
      </c>
    </row>
    <row r="25" spans="1:16" x14ac:dyDescent="0.25">
      <c r="A25" s="1068" t="s">
        <v>50</v>
      </c>
      <c r="B25" s="567">
        <v>12</v>
      </c>
      <c r="C25" s="567">
        <v>50</v>
      </c>
      <c r="D25" s="567">
        <v>11</v>
      </c>
      <c r="E25" s="567">
        <v>2</v>
      </c>
      <c r="F25" s="567">
        <v>26</v>
      </c>
      <c r="G25" s="567">
        <v>3</v>
      </c>
      <c r="H25" s="567"/>
      <c r="I25" s="567">
        <v>1</v>
      </c>
      <c r="J25" s="567">
        <v>11</v>
      </c>
      <c r="K25" s="567">
        <v>13</v>
      </c>
      <c r="L25" s="567">
        <v>25</v>
      </c>
      <c r="M25" s="567">
        <v>11</v>
      </c>
      <c r="N25" s="567">
        <v>29</v>
      </c>
      <c r="O25" s="567">
        <v>92</v>
      </c>
      <c r="P25" s="567">
        <v>20</v>
      </c>
    </row>
    <row r="26" spans="1:16" x14ac:dyDescent="0.25">
      <c r="A26" s="1068" t="s">
        <v>51</v>
      </c>
      <c r="B26" s="567">
        <v>1</v>
      </c>
      <c r="C26" s="567">
        <v>12</v>
      </c>
      <c r="D26" s="567"/>
      <c r="E26" s="567"/>
      <c r="F26" s="567">
        <v>9</v>
      </c>
      <c r="G26" s="567">
        <v>1</v>
      </c>
      <c r="H26" s="567"/>
      <c r="I26" s="567"/>
      <c r="J26" s="567"/>
      <c r="K26" s="567"/>
      <c r="L26" s="567"/>
      <c r="M26" s="567"/>
      <c r="N26" s="567"/>
      <c r="O26" s="567"/>
      <c r="P26" s="567"/>
    </row>
    <row r="27" spans="1:16" x14ac:dyDescent="0.25">
      <c r="A27" s="1068" t="s">
        <v>52</v>
      </c>
      <c r="B27" s="567">
        <v>36</v>
      </c>
      <c r="C27" s="567">
        <v>71</v>
      </c>
      <c r="D27" s="567">
        <v>10</v>
      </c>
      <c r="E27" s="567">
        <v>2</v>
      </c>
      <c r="F27" s="567">
        <v>67</v>
      </c>
      <c r="G27" s="567">
        <v>33</v>
      </c>
      <c r="H27" s="567"/>
      <c r="I27" s="567"/>
      <c r="J27" s="567">
        <v>6</v>
      </c>
      <c r="K27" s="567">
        <v>6</v>
      </c>
      <c r="L27" s="567">
        <v>6</v>
      </c>
      <c r="M27" s="567">
        <v>6</v>
      </c>
      <c r="N27" s="567">
        <v>2</v>
      </c>
      <c r="O27" s="567">
        <v>1</v>
      </c>
      <c r="P27" s="567">
        <v>2</v>
      </c>
    </row>
    <row r="28" spans="1:16" x14ac:dyDescent="0.25">
      <c r="A28" s="1068" t="s">
        <v>53</v>
      </c>
      <c r="B28" s="567">
        <v>1</v>
      </c>
      <c r="C28" s="567">
        <v>48</v>
      </c>
      <c r="D28" s="567">
        <v>5</v>
      </c>
      <c r="E28" s="567"/>
      <c r="F28" s="567">
        <v>24</v>
      </c>
      <c r="G28" s="567">
        <v>20</v>
      </c>
      <c r="H28" s="567">
        <v>1</v>
      </c>
      <c r="I28" s="567"/>
      <c r="J28" s="567">
        <v>9</v>
      </c>
      <c r="K28" s="567">
        <v>7</v>
      </c>
      <c r="L28" s="567">
        <v>11</v>
      </c>
      <c r="M28" s="567">
        <v>10</v>
      </c>
      <c r="N28" s="567">
        <v>5</v>
      </c>
      <c r="O28" s="567">
        <v>3</v>
      </c>
      <c r="P28" s="567">
        <v>5</v>
      </c>
    </row>
    <row r="29" spans="1:16" x14ac:dyDescent="0.25">
      <c r="A29" s="1068" t="s">
        <v>54</v>
      </c>
      <c r="B29" s="567">
        <v>18</v>
      </c>
      <c r="C29" s="567">
        <v>32</v>
      </c>
      <c r="D29" s="567">
        <v>16</v>
      </c>
      <c r="E29" s="567"/>
      <c r="F29" s="567">
        <v>8</v>
      </c>
      <c r="G29" s="567">
        <v>2</v>
      </c>
      <c r="H29" s="567"/>
      <c r="I29" s="567"/>
      <c r="J29" s="567">
        <v>4</v>
      </c>
      <c r="K29" s="567">
        <v>11</v>
      </c>
      <c r="L29" s="567">
        <v>1</v>
      </c>
      <c r="M29" s="567">
        <v>6</v>
      </c>
      <c r="N29" s="567">
        <v>5</v>
      </c>
      <c r="O29" s="567"/>
      <c r="P29" s="567">
        <v>1</v>
      </c>
    </row>
    <row r="30" spans="1:16" x14ac:dyDescent="0.25">
      <c r="A30" s="1068" t="s">
        <v>55</v>
      </c>
      <c r="B30" s="567"/>
      <c r="C30" s="567">
        <v>11</v>
      </c>
      <c r="D30" s="567"/>
      <c r="E30" s="567"/>
      <c r="F30" s="567"/>
      <c r="G30" s="567"/>
      <c r="H30" s="567"/>
      <c r="I30" s="567"/>
      <c r="J30" s="567"/>
      <c r="K30" s="567"/>
      <c r="L30" s="567"/>
      <c r="M30" s="567"/>
      <c r="N30" s="567"/>
      <c r="O30" s="567"/>
      <c r="P30" s="567"/>
    </row>
    <row r="31" spans="1:16" x14ac:dyDescent="0.25">
      <c r="A31" s="1068" t="s">
        <v>56</v>
      </c>
      <c r="B31" s="567">
        <v>7</v>
      </c>
      <c r="C31" s="567">
        <v>44</v>
      </c>
      <c r="D31" s="567">
        <v>31</v>
      </c>
      <c r="E31" s="567">
        <v>2</v>
      </c>
      <c r="F31" s="567">
        <v>40</v>
      </c>
      <c r="G31" s="567">
        <v>20</v>
      </c>
      <c r="H31" s="567">
        <v>2</v>
      </c>
      <c r="I31" s="567"/>
      <c r="J31" s="567">
        <v>7</v>
      </c>
      <c r="K31" s="567">
        <v>7</v>
      </c>
      <c r="L31" s="567">
        <v>10</v>
      </c>
      <c r="M31" s="567">
        <v>10</v>
      </c>
      <c r="N31" s="567">
        <v>25</v>
      </c>
      <c r="O31" s="567">
        <v>13</v>
      </c>
      <c r="P31" s="567">
        <v>7</v>
      </c>
    </row>
    <row r="32" spans="1:16" x14ac:dyDescent="0.25">
      <c r="A32" s="1068" t="s">
        <v>57</v>
      </c>
      <c r="B32" s="567">
        <v>15</v>
      </c>
      <c r="C32" s="567">
        <v>61</v>
      </c>
      <c r="D32" s="567">
        <v>45</v>
      </c>
      <c r="E32" s="567"/>
      <c r="F32" s="567">
        <v>3</v>
      </c>
      <c r="G32" s="567">
        <v>2</v>
      </c>
      <c r="H32" s="567"/>
      <c r="I32" s="567">
        <v>1</v>
      </c>
      <c r="J32" s="567">
        <v>5</v>
      </c>
      <c r="K32" s="567">
        <v>1</v>
      </c>
      <c r="L32" s="567">
        <v>13</v>
      </c>
      <c r="M32" s="567">
        <v>1</v>
      </c>
      <c r="N32" s="567">
        <v>5</v>
      </c>
      <c r="O32" s="567">
        <v>3</v>
      </c>
      <c r="P32" s="567">
        <v>4</v>
      </c>
    </row>
    <row r="33" spans="1:16" x14ac:dyDescent="0.25">
      <c r="A33" s="1068" t="s">
        <v>58</v>
      </c>
      <c r="B33" s="567">
        <v>5</v>
      </c>
      <c r="C33" s="567">
        <v>46</v>
      </c>
      <c r="D33" s="567">
        <v>87</v>
      </c>
      <c r="E33" s="567">
        <v>3</v>
      </c>
      <c r="F33" s="567">
        <v>25</v>
      </c>
      <c r="G33" s="567">
        <v>6</v>
      </c>
      <c r="H33" s="567"/>
      <c r="I33" s="567"/>
      <c r="J33" s="567">
        <v>3</v>
      </c>
      <c r="K33" s="567">
        <v>10</v>
      </c>
      <c r="L33" s="567">
        <v>6</v>
      </c>
      <c r="M33" s="567">
        <v>3</v>
      </c>
      <c r="N33" s="567">
        <v>3</v>
      </c>
      <c r="O33" s="567">
        <v>4</v>
      </c>
      <c r="P33" s="567"/>
    </row>
    <row r="34" spans="1:16" x14ac:dyDescent="0.25">
      <c r="A34" s="1068" t="s">
        <v>59</v>
      </c>
      <c r="B34" s="567">
        <v>6</v>
      </c>
      <c r="C34" s="567">
        <v>19</v>
      </c>
      <c r="D34" s="567">
        <v>21</v>
      </c>
      <c r="E34" s="567"/>
      <c r="F34" s="567">
        <v>20</v>
      </c>
      <c r="G34" s="567">
        <v>3</v>
      </c>
      <c r="H34" s="567"/>
      <c r="I34" s="567">
        <v>2</v>
      </c>
      <c r="J34" s="567">
        <v>12</v>
      </c>
      <c r="K34" s="567">
        <v>1</v>
      </c>
      <c r="L34" s="567">
        <v>13</v>
      </c>
      <c r="M34" s="567">
        <v>7</v>
      </c>
      <c r="N34" s="567">
        <v>15</v>
      </c>
      <c r="O34" s="567">
        <v>5</v>
      </c>
      <c r="P34" s="567">
        <v>4</v>
      </c>
    </row>
    <row r="35" spans="1:16" x14ac:dyDescent="0.25">
      <c r="A35" s="1068" t="s">
        <v>60</v>
      </c>
      <c r="B35" s="567">
        <v>5</v>
      </c>
      <c r="C35" s="567">
        <v>45</v>
      </c>
      <c r="D35" s="567">
        <v>26</v>
      </c>
      <c r="E35" s="567"/>
      <c r="F35" s="567">
        <v>10</v>
      </c>
      <c r="G35" s="567">
        <v>2</v>
      </c>
      <c r="H35" s="567">
        <v>1</v>
      </c>
      <c r="I35" s="567">
        <v>1</v>
      </c>
      <c r="J35" s="567">
        <v>9</v>
      </c>
      <c r="K35" s="567">
        <v>11</v>
      </c>
      <c r="L35" s="567">
        <v>17</v>
      </c>
      <c r="M35" s="567">
        <v>22</v>
      </c>
      <c r="N35" s="567">
        <v>17</v>
      </c>
      <c r="O35" s="567">
        <v>5</v>
      </c>
      <c r="P35" s="567">
        <v>3</v>
      </c>
    </row>
    <row r="36" spans="1:16" x14ac:dyDescent="0.25">
      <c r="A36" s="1068" t="s">
        <v>251</v>
      </c>
      <c r="B36" s="567">
        <v>298</v>
      </c>
      <c r="C36" s="567">
        <v>1486</v>
      </c>
      <c r="D36" s="567">
        <v>1951</v>
      </c>
      <c r="E36" s="567">
        <v>71</v>
      </c>
      <c r="F36" s="567">
        <v>1081</v>
      </c>
      <c r="G36" s="567">
        <v>470</v>
      </c>
      <c r="H36" s="567">
        <v>25</v>
      </c>
      <c r="I36" s="567">
        <v>39</v>
      </c>
      <c r="J36" s="567">
        <v>289</v>
      </c>
      <c r="K36" s="567">
        <v>271</v>
      </c>
      <c r="L36" s="567">
        <v>358</v>
      </c>
      <c r="M36" s="567">
        <v>279</v>
      </c>
      <c r="N36" s="567">
        <v>241</v>
      </c>
      <c r="O36" s="567">
        <v>285</v>
      </c>
      <c r="P36" s="567">
        <v>117</v>
      </c>
    </row>
  </sheetData>
  <sheetProtection algorithmName="SHA-512" hashValue="wXEa7VyEXtY2tcUvaD2s6d4Zec2ur+wuNB1RNtofM7JCTGJTfL3QWlC/+whDYra8S02704zmoBNIbfDzO48Mmg==" saltValue="cfH85uSPaGieIcRBLDHz3Q=="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3" tint="0.39997558519241921"/>
    <pageSetUpPr fitToPage="1"/>
  </sheetPr>
  <dimension ref="A1:Q58"/>
  <sheetViews>
    <sheetView showGridLines="0" workbookViewId="0">
      <pane ySplit="2" topLeftCell="A3" activePane="bottomLeft" state="frozen"/>
      <selection pane="bottomLeft"/>
    </sheetView>
  </sheetViews>
  <sheetFormatPr defaultRowHeight="15" x14ac:dyDescent="0.25"/>
  <cols>
    <col min="1" max="1" width="31.140625" customWidth="1"/>
    <col min="3" max="3" width="8.7109375" bestFit="1" customWidth="1"/>
    <col min="4" max="4" width="10" customWidth="1"/>
    <col min="5" max="5" width="10.5703125" customWidth="1"/>
    <col min="7" max="7" width="8.5703125" customWidth="1"/>
    <col min="9" max="9" width="9.85546875" customWidth="1"/>
    <col min="12" max="12" width="14.7109375" customWidth="1"/>
    <col min="13" max="14" width="13.85546875" customWidth="1"/>
    <col min="15" max="15" width="12.85546875" customWidth="1"/>
    <col min="16" max="16" width="13" customWidth="1"/>
  </cols>
  <sheetData>
    <row r="1" spans="1:16" ht="15.75" x14ac:dyDescent="0.25">
      <c r="A1" s="802" t="s">
        <v>633</v>
      </c>
    </row>
    <row r="2" spans="1:16" x14ac:dyDescent="0.25">
      <c r="A2" s="772" t="s">
        <v>578</v>
      </c>
    </row>
    <row r="3" spans="1:16" x14ac:dyDescent="0.25">
      <c r="A3" s="31"/>
    </row>
    <row r="4" spans="1:16" ht="15.75" customHeight="1" x14ac:dyDescent="0.25">
      <c r="A4" s="1102" t="s">
        <v>642</v>
      </c>
      <c r="B4" s="1102"/>
      <c r="C4" s="1102"/>
      <c r="D4" s="1102"/>
      <c r="E4" s="1102"/>
      <c r="F4" s="1102"/>
      <c r="G4" s="1102"/>
      <c r="H4" s="1102"/>
      <c r="I4" s="1102"/>
      <c r="J4" s="1102"/>
      <c r="K4" s="1102"/>
      <c r="L4" s="1102"/>
      <c r="M4" s="1102"/>
      <c r="N4" s="1102"/>
      <c r="O4" s="1102"/>
    </row>
    <row r="5" spans="1:16" ht="15.75" x14ac:dyDescent="0.25">
      <c r="A5" t="s">
        <v>363</v>
      </c>
      <c r="B5" t="s">
        <v>790</v>
      </c>
      <c r="C5" s="784"/>
      <c r="D5" s="784"/>
      <c r="E5" s="784"/>
      <c r="F5" s="784"/>
      <c r="G5" s="784"/>
      <c r="H5" s="784"/>
      <c r="I5" s="784"/>
      <c r="J5" s="784"/>
      <c r="K5" s="784"/>
    </row>
    <row r="6" spans="1:16" ht="15.75" x14ac:dyDescent="0.25">
      <c r="A6" t="s">
        <v>364</v>
      </c>
      <c r="B6" t="s">
        <v>366</v>
      </c>
      <c r="C6" s="784"/>
      <c r="D6" s="784"/>
      <c r="E6" s="784"/>
      <c r="F6" s="784"/>
      <c r="G6" s="784"/>
      <c r="H6" s="784"/>
      <c r="I6" s="784"/>
      <c r="J6" s="784"/>
      <c r="K6" s="784"/>
    </row>
    <row r="7" spans="1:16" ht="15.75" x14ac:dyDescent="0.25">
      <c r="A7" t="s">
        <v>365</v>
      </c>
      <c r="B7" t="s">
        <v>367</v>
      </c>
      <c r="C7" s="784"/>
      <c r="D7" s="784"/>
      <c r="E7" s="784"/>
      <c r="F7" s="784"/>
      <c r="G7" s="784"/>
      <c r="H7" s="784"/>
      <c r="I7" s="784"/>
      <c r="J7" s="784"/>
      <c r="K7" s="784"/>
      <c r="L7" s="31"/>
      <c r="M7" s="31"/>
      <c r="N7" s="31"/>
      <c r="O7" s="31"/>
    </row>
    <row r="9" spans="1:16" ht="30" customHeight="1" x14ac:dyDescent="0.25">
      <c r="A9" s="30"/>
      <c r="B9" s="1134" t="s">
        <v>639</v>
      </c>
      <c r="C9" s="1134"/>
      <c r="D9" s="1134" t="s">
        <v>640</v>
      </c>
      <c r="E9" s="1134"/>
      <c r="F9" s="1134" t="s">
        <v>162</v>
      </c>
      <c r="G9" s="1134"/>
      <c r="H9" s="1134" t="s">
        <v>163</v>
      </c>
      <c r="I9" s="1134"/>
      <c r="J9" s="1134" t="s">
        <v>164</v>
      </c>
      <c r="K9" s="1134"/>
      <c r="L9" s="903"/>
      <c r="M9" s="1135" t="s">
        <v>165</v>
      </c>
      <c r="N9" s="1135"/>
      <c r="O9" s="1135"/>
    </row>
    <row r="10" spans="1:16" ht="39" x14ac:dyDescent="0.25">
      <c r="A10" s="330" t="s">
        <v>1</v>
      </c>
      <c r="B10" s="331" t="s">
        <v>6</v>
      </c>
      <c r="C10" s="331" t="s">
        <v>166</v>
      </c>
      <c r="D10" s="331" t="s">
        <v>6</v>
      </c>
      <c r="E10" s="331" t="s">
        <v>166</v>
      </c>
      <c r="F10" s="332" t="s">
        <v>167</v>
      </c>
      <c r="G10" s="314" t="s">
        <v>166</v>
      </c>
      <c r="H10" s="331" t="s">
        <v>6</v>
      </c>
      <c r="I10" s="331" t="s">
        <v>166</v>
      </c>
      <c r="J10" s="331" t="s">
        <v>6</v>
      </c>
      <c r="K10" s="331" t="s">
        <v>166</v>
      </c>
      <c r="L10" s="898" t="s">
        <v>641</v>
      </c>
      <c r="M10" s="889" t="s">
        <v>639</v>
      </c>
      <c r="N10" s="333" t="s">
        <v>640</v>
      </c>
      <c r="O10" s="333" t="s">
        <v>169</v>
      </c>
      <c r="P10" s="471" t="s">
        <v>194</v>
      </c>
    </row>
    <row r="11" spans="1:16" x14ac:dyDescent="0.25">
      <c r="A11" s="334" t="str">
        <f>'T21'!A5</f>
        <v>2009-10</v>
      </c>
      <c r="B11" s="335">
        <f>'T21'!B5</f>
        <v>3797</v>
      </c>
      <c r="C11" s="335">
        <f>'T21'!C5</f>
        <v>14034</v>
      </c>
      <c r="D11" s="335">
        <f>'T21'!D5</f>
        <v>2264</v>
      </c>
      <c r="E11" s="335">
        <f>'T21'!E5</f>
        <v>10793</v>
      </c>
      <c r="F11" s="336">
        <f t="shared" ref="F11:F17" si="0">B11+D11</f>
        <v>6061</v>
      </c>
      <c r="G11" s="336">
        <f t="shared" ref="G11:G17" si="1">E11+C11</f>
        <v>24827</v>
      </c>
      <c r="H11" s="335">
        <f>'T21'!F5</f>
        <v>58</v>
      </c>
      <c r="I11" s="335">
        <f>'T21'!G5</f>
        <v>300</v>
      </c>
      <c r="J11" s="335">
        <f>'T21'!H5</f>
        <v>20</v>
      </c>
      <c r="K11" s="335">
        <f>'T21'!I5</f>
        <v>127</v>
      </c>
      <c r="L11" s="899">
        <f>B11/F11*100</f>
        <v>62.646427982181166</v>
      </c>
      <c r="M11" s="901">
        <f>C11/B11</f>
        <v>3.6960758493547536</v>
      </c>
      <c r="N11" s="119">
        <f>E11/D11</f>
        <v>4.7672261484098941</v>
      </c>
      <c r="O11" s="337">
        <f>I11/H11</f>
        <v>5.1724137931034484</v>
      </c>
      <c r="P11" s="337">
        <f>K11/J11</f>
        <v>6.35</v>
      </c>
    </row>
    <row r="12" spans="1:16" x14ac:dyDescent="0.25">
      <c r="A12" s="5" t="str">
        <f>'T21'!A6</f>
        <v>2010-11</v>
      </c>
      <c r="B12" s="335">
        <f>'T21'!B6</f>
        <v>4947</v>
      </c>
      <c r="C12" s="335">
        <f>'T21'!C6</f>
        <v>29138</v>
      </c>
      <c r="D12" s="335">
        <f>'T21'!D6</f>
        <v>1797</v>
      </c>
      <c r="E12" s="335">
        <f>'T21'!E6</f>
        <v>11747</v>
      </c>
      <c r="F12" s="336">
        <f t="shared" si="0"/>
        <v>6744</v>
      </c>
      <c r="G12" s="336">
        <f t="shared" si="1"/>
        <v>40885</v>
      </c>
      <c r="H12" s="335">
        <f>'T21'!F6</f>
        <v>55</v>
      </c>
      <c r="I12" s="335">
        <f>'T21'!G6</f>
        <v>453</v>
      </c>
      <c r="J12" s="335">
        <f>'T21'!H6</f>
        <v>13</v>
      </c>
      <c r="K12" s="335">
        <f>'T21'!I6</f>
        <v>94</v>
      </c>
      <c r="L12" s="899">
        <f>B12/F12*100</f>
        <v>73.354092526690394</v>
      </c>
      <c r="M12" s="901">
        <f>C12/B12</f>
        <v>5.8900343642611688</v>
      </c>
      <c r="N12" s="119">
        <f>E12/D12</f>
        <v>6.5370061213132997</v>
      </c>
      <c r="O12" s="337">
        <f>I12/H12</f>
        <v>8.2363636363636363</v>
      </c>
      <c r="P12" s="337">
        <f>K12/J12</f>
        <v>7.2307692307692308</v>
      </c>
    </row>
    <row r="13" spans="1:16" x14ac:dyDescent="0.25">
      <c r="A13" s="334" t="str">
        <f>'T21'!A7</f>
        <v>2011-12</v>
      </c>
      <c r="B13" s="335">
        <f>'T21'!B7</f>
        <v>6829</v>
      </c>
      <c r="C13" s="335">
        <f>'T21'!C7</f>
        <v>42023</v>
      </c>
      <c r="D13" s="335">
        <f>'T21'!D7</f>
        <v>726</v>
      </c>
      <c r="E13" s="335">
        <f>'T21'!E7</f>
        <v>7946</v>
      </c>
      <c r="F13" s="336">
        <f t="shared" si="0"/>
        <v>7555</v>
      </c>
      <c r="G13" s="336">
        <f t="shared" si="1"/>
        <v>49969</v>
      </c>
      <c r="H13" s="335">
        <f>'T21'!F7</f>
        <v>40</v>
      </c>
      <c r="I13" s="335">
        <f>'T21'!G7</f>
        <v>267</v>
      </c>
      <c r="J13" s="335">
        <f>'T21'!H7</f>
        <v>26</v>
      </c>
      <c r="K13" s="335">
        <f>'T21'!I7</f>
        <v>144</v>
      </c>
      <c r="L13" s="899">
        <f>B13/F13*100</f>
        <v>90.390469887491733</v>
      </c>
      <c r="M13" s="901">
        <f>C13/B13</f>
        <v>6.1536096060916678</v>
      </c>
      <c r="N13" s="119">
        <f>E13/D13</f>
        <v>10.944903581267218</v>
      </c>
      <c r="O13" s="337">
        <f>I13/H13</f>
        <v>6.6749999999999998</v>
      </c>
      <c r="P13" s="337">
        <f>K13/J13</f>
        <v>5.5384615384615383</v>
      </c>
    </row>
    <row r="14" spans="1:16" x14ac:dyDescent="0.25">
      <c r="A14" s="5" t="str">
        <f>'T21'!A8</f>
        <v>2012-13</v>
      </c>
      <c r="B14" s="335">
        <f>'T21'!B8</f>
        <v>7230</v>
      </c>
      <c r="C14" s="335">
        <f>'T21'!C8</f>
        <v>34986</v>
      </c>
      <c r="D14" s="335">
        <f>'T21'!D8</f>
        <v>764</v>
      </c>
      <c r="E14" s="335">
        <f>'T21'!E8</f>
        <v>5742</v>
      </c>
      <c r="F14" s="336">
        <f t="shared" si="0"/>
        <v>7994</v>
      </c>
      <c r="G14" s="336">
        <f t="shared" si="1"/>
        <v>40728</v>
      </c>
      <c r="H14" s="335">
        <f>'T21'!F8</f>
        <v>43</v>
      </c>
      <c r="I14" s="335">
        <f>'T21'!G8</f>
        <v>251</v>
      </c>
      <c r="J14" s="335">
        <f>'T21'!H8</f>
        <v>22</v>
      </c>
      <c r="K14" s="335">
        <f>'T21'!I8</f>
        <v>100</v>
      </c>
      <c r="L14" s="899">
        <f>B14/F14*100</f>
        <v>90.442832124093059</v>
      </c>
      <c r="M14" s="901">
        <f>C14/B14</f>
        <v>4.839004149377593</v>
      </c>
      <c r="N14" s="119">
        <f>E14/D14</f>
        <v>7.5157068062827221</v>
      </c>
      <c r="O14" s="337">
        <f>I14/H14</f>
        <v>5.8372093023255811</v>
      </c>
      <c r="P14" s="337">
        <f>K14/J14</f>
        <v>4.5454545454545459</v>
      </c>
    </row>
    <row r="15" spans="1:16" x14ac:dyDescent="0.25">
      <c r="A15" s="338" t="str">
        <f>'T21'!A9</f>
        <v>2013-14</v>
      </c>
      <c r="B15" s="335">
        <f>'T21'!B9</f>
        <v>0</v>
      </c>
      <c r="C15" s="335">
        <f>'T21'!C9</f>
        <v>0</v>
      </c>
      <c r="D15" s="335">
        <f>'T21'!D9</f>
        <v>0</v>
      </c>
      <c r="E15" s="335">
        <f>'T21'!E9</f>
        <v>0</v>
      </c>
      <c r="F15" s="336">
        <f t="shared" si="0"/>
        <v>0</v>
      </c>
      <c r="G15" s="336">
        <f t="shared" si="1"/>
        <v>0</v>
      </c>
      <c r="H15" s="335">
        <f>'T21'!F9</f>
        <v>0</v>
      </c>
      <c r="I15" s="335">
        <f>'T21'!G9</f>
        <v>0</v>
      </c>
      <c r="J15" s="335">
        <f>'T21'!H9</f>
        <v>0</v>
      </c>
      <c r="K15" s="335">
        <f>'T21'!I9</f>
        <v>0</v>
      </c>
      <c r="L15" s="899" t="s">
        <v>638</v>
      </c>
      <c r="M15" s="899" t="s">
        <v>638</v>
      </c>
      <c r="N15" s="337" t="s">
        <v>638</v>
      </c>
      <c r="O15" s="337" t="s">
        <v>638</v>
      </c>
      <c r="P15" s="337" t="s">
        <v>638</v>
      </c>
    </row>
    <row r="16" spans="1:16" x14ac:dyDescent="0.25">
      <c r="A16" s="5" t="str">
        <f>'T21'!A10</f>
        <v>2014-15</v>
      </c>
      <c r="B16" s="335">
        <f>'T21'!B10</f>
        <v>7816</v>
      </c>
      <c r="C16" s="335">
        <f>'T21'!C10</f>
        <v>40485</v>
      </c>
      <c r="D16" s="335">
        <f>'T21'!D10</f>
        <v>390</v>
      </c>
      <c r="E16" s="335">
        <f>'T21'!E10</f>
        <v>3134.5</v>
      </c>
      <c r="F16" s="336">
        <f t="shared" si="0"/>
        <v>8206</v>
      </c>
      <c r="G16" s="336">
        <f t="shared" si="1"/>
        <v>43619.5</v>
      </c>
      <c r="H16" s="335">
        <f>'T21'!F10</f>
        <v>10</v>
      </c>
      <c r="I16" s="335">
        <f>'T21'!G10</f>
        <v>206.25</v>
      </c>
      <c r="J16" s="335">
        <f>'T21'!H10</f>
        <v>3</v>
      </c>
      <c r="K16" s="335">
        <f>'T21'!I10</f>
        <v>25.5</v>
      </c>
      <c r="L16" s="899">
        <f>B16/F16*100</f>
        <v>95.247379965878622</v>
      </c>
      <c r="M16" s="901">
        <f>C16/B16</f>
        <v>5.1797594677584442</v>
      </c>
      <c r="N16" s="119">
        <f>E16/D16</f>
        <v>8.0371794871794879</v>
      </c>
      <c r="O16" s="337">
        <f>I16/H16</f>
        <v>20.625</v>
      </c>
      <c r="P16" s="337">
        <f>K16/J16</f>
        <v>8.5</v>
      </c>
    </row>
    <row r="17" spans="1:16" x14ac:dyDescent="0.25">
      <c r="A17" s="5" t="str">
        <f>'T21'!A11</f>
        <v>2015-16</v>
      </c>
      <c r="B17" s="335">
        <f>'T21'!B11</f>
        <v>9185</v>
      </c>
      <c r="C17" s="335">
        <f>'T21'!C11</f>
        <v>44965</v>
      </c>
      <c r="D17" s="335">
        <f>'T21'!D11</f>
        <v>649</v>
      </c>
      <c r="E17" s="335">
        <f>'T21'!E11</f>
        <v>6069.5</v>
      </c>
      <c r="F17" s="336">
        <f t="shared" si="0"/>
        <v>9834</v>
      </c>
      <c r="G17" s="336">
        <f t="shared" si="1"/>
        <v>51034.5</v>
      </c>
      <c r="H17" s="335">
        <f>'T21'!F11</f>
        <v>23</v>
      </c>
      <c r="I17" s="335">
        <f>'T21'!G11</f>
        <v>612</v>
      </c>
      <c r="J17" s="335">
        <f>'T21'!H11</f>
        <v>4</v>
      </c>
      <c r="K17" s="335">
        <f>'T21'!I11</f>
        <v>23.25</v>
      </c>
      <c r="L17" s="899">
        <f>B17/F17*100</f>
        <v>93.400447427293059</v>
      </c>
      <c r="M17" s="901">
        <f>C17/B17</f>
        <v>4.895481763745237</v>
      </c>
      <c r="N17" s="119">
        <f>E17/D17</f>
        <v>9.352080123266564</v>
      </c>
      <c r="O17" s="337">
        <f>I17/H17</f>
        <v>26.608695652173914</v>
      </c>
      <c r="P17" s="337">
        <f>K17/J17</f>
        <v>5.8125</v>
      </c>
    </row>
    <row r="18" spans="1:16" x14ac:dyDescent="0.25">
      <c r="A18" s="5" t="str">
        <f>'T21'!A12</f>
        <v>2016-17</v>
      </c>
      <c r="B18" s="335">
        <f>'T21'!B12</f>
        <v>8385</v>
      </c>
      <c r="C18" s="335">
        <f>'T21'!C12</f>
        <v>41376</v>
      </c>
      <c r="D18" s="335">
        <f>'T21'!D12</f>
        <v>554</v>
      </c>
      <c r="E18" s="335">
        <f>'T21'!E12</f>
        <v>4990.75</v>
      </c>
      <c r="F18" s="336">
        <f t="shared" ref="F18:F19" si="2">B18+D18</f>
        <v>8939</v>
      </c>
      <c r="G18" s="336">
        <f t="shared" ref="G18:G19" si="3">E18+C18</f>
        <v>46366.75</v>
      </c>
      <c r="H18" s="335">
        <f>'T21'!F12</f>
        <v>21</v>
      </c>
      <c r="I18" s="335">
        <f>'T21'!G12</f>
        <v>395.25</v>
      </c>
      <c r="J18" s="335">
        <f>'T21'!H12</f>
        <v>12</v>
      </c>
      <c r="K18" s="335">
        <f>'T21'!I12</f>
        <v>72.25</v>
      </c>
      <c r="L18" s="899">
        <f>B18/F18*100</f>
        <v>93.802438751538205</v>
      </c>
      <c r="M18" s="901">
        <f>C18/B18</f>
        <v>4.9345259391771021</v>
      </c>
      <c r="N18" s="119">
        <f>E18/D18</f>
        <v>9.0085740072202167</v>
      </c>
      <c r="O18" s="337">
        <f>I18/H18</f>
        <v>18.821428571428573</v>
      </c>
      <c r="P18" s="337">
        <f>K18/J18</f>
        <v>6.020833333333333</v>
      </c>
    </row>
    <row r="19" spans="1:16" x14ac:dyDescent="0.25">
      <c r="A19" s="5" t="str">
        <f>'T21'!A13</f>
        <v>2017-18</v>
      </c>
      <c r="B19" s="335">
        <f>'T21'!B13</f>
        <v>7167</v>
      </c>
      <c r="C19" s="335">
        <f>'T21'!C13</f>
        <v>34688.5</v>
      </c>
      <c r="D19" s="335">
        <f>'T21'!D13</f>
        <v>468</v>
      </c>
      <c r="E19" s="335">
        <f>'T21'!E13</f>
        <v>4782</v>
      </c>
      <c r="F19" s="336">
        <f t="shared" si="2"/>
        <v>7635</v>
      </c>
      <c r="G19" s="336">
        <f t="shared" si="3"/>
        <v>39470.5</v>
      </c>
      <c r="H19" s="335">
        <f>'T21'!F13</f>
        <v>15</v>
      </c>
      <c r="I19" s="335">
        <f>'T21'!G13</f>
        <v>465.5</v>
      </c>
      <c r="J19" s="335">
        <f>'T21'!H13</f>
        <v>17</v>
      </c>
      <c r="K19" s="335">
        <f>'T21'!I13</f>
        <v>128.5</v>
      </c>
      <c r="L19" s="899">
        <f>B19/F19*100</f>
        <v>93.870333988212181</v>
      </c>
      <c r="M19" s="901">
        <f>C19/B19</f>
        <v>4.8400306962466866</v>
      </c>
      <c r="N19" s="119">
        <f>E19/D19</f>
        <v>10.217948717948717</v>
      </c>
      <c r="O19" s="337">
        <f>I19/H19</f>
        <v>31.033333333333335</v>
      </c>
      <c r="P19" s="337">
        <f>K19/J19</f>
        <v>7.5588235294117645</v>
      </c>
    </row>
    <row r="20" spans="1:16" x14ac:dyDescent="0.25">
      <c r="A20" s="5" t="str">
        <f>'T21'!A14</f>
        <v>2018-19</v>
      </c>
      <c r="B20" s="335">
        <f>'T21'!B14</f>
        <v>7508</v>
      </c>
      <c r="C20" s="335">
        <f>'T21'!C14</f>
        <v>36452.25</v>
      </c>
      <c r="D20" s="335">
        <f>'T21'!D14</f>
        <v>364</v>
      </c>
      <c r="E20" s="335">
        <f>'T21'!E14</f>
        <v>3759.25</v>
      </c>
      <c r="F20" s="336">
        <f t="shared" ref="F20:F21" si="4">B20+D20</f>
        <v>7872</v>
      </c>
      <c r="G20" s="336">
        <f t="shared" ref="G20:G21" si="5">E20+C20</f>
        <v>40211.5</v>
      </c>
      <c r="H20" s="335">
        <f>'T21'!F14</f>
        <v>22</v>
      </c>
      <c r="I20" s="335">
        <f>'T21'!G14</f>
        <v>521.75</v>
      </c>
      <c r="J20" s="335">
        <f>'T21'!H14</f>
        <v>20</v>
      </c>
      <c r="K20" s="335">
        <f>'T21'!I14</f>
        <v>237.5</v>
      </c>
      <c r="L20" s="899">
        <f t="shared" ref="L20:L21" si="6">B20/F20*100</f>
        <v>95.376016260162601</v>
      </c>
      <c r="M20" s="901">
        <f t="shared" ref="M20" si="7">C20/B20</f>
        <v>4.8551212040490146</v>
      </c>
      <c r="N20" s="119">
        <f t="shared" ref="N20" si="8">E20/D20</f>
        <v>10.327609890109891</v>
      </c>
      <c r="O20" s="337">
        <f t="shared" ref="O20" si="9">I20/H20</f>
        <v>23.71590909090909</v>
      </c>
      <c r="P20" s="337">
        <f t="shared" ref="P20" si="10">K20/J20</f>
        <v>11.875</v>
      </c>
    </row>
    <row r="21" spans="1:16" x14ac:dyDescent="0.25">
      <c r="A21" s="5" t="str">
        <f>'T21'!A15</f>
        <v>2019-20</v>
      </c>
      <c r="B21" s="335">
        <f>'T21'!B15</f>
        <v>6873</v>
      </c>
      <c r="C21" s="335">
        <f>'T21'!C15</f>
        <v>0</v>
      </c>
      <c r="D21" s="335">
        <f>'T21'!D15</f>
        <v>388</v>
      </c>
      <c r="E21" s="335">
        <f>'T21'!E15</f>
        <v>0</v>
      </c>
      <c r="F21" s="336">
        <f t="shared" si="4"/>
        <v>7261</v>
      </c>
      <c r="G21" s="336">
        <f t="shared" si="5"/>
        <v>0</v>
      </c>
      <c r="H21" s="335">
        <f>'T21'!F15</f>
        <v>1</v>
      </c>
      <c r="I21" s="335">
        <f>'T21'!G15</f>
        <v>0</v>
      </c>
      <c r="J21" s="335">
        <f>'T21'!H15</f>
        <v>12</v>
      </c>
      <c r="K21" s="335">
        <f>'T21'!I15</f>
        <v>0</v>
      </c>
      <c r="L21" s="900">
        <f t="shared" si="6"/>
        <v>94.656383418261953</v>
      </c>
      <c r="M21" s="902"/>
      <c r="N21" s="119"/>
      <c r="O21" s="337"/>
      <c r="P21" s="337"/>
    </row>
    <row r="22" spans="1:16" x14ac:dyDescent="0.25">
      <c r="A22" s="339"/>
      <c r="B22" s="136"/>
      <c r="C22" s="272"/>
      <c r="D22" s="272"/>
      <c r="E22" s="272"/>
      <c r="F22" s="272"/>
      <c r="G22" s="272"/>
      <c r="H22" s="272"/>
      <c r="I22" s="272"/>
      <c r="J22" s="620"/>
      <c r="K22" s="620"/>
      <c r="L22" s="272"/>
      <c r="M22" s="305"/>
      <c r="N22" s="272"/>
      <c r="O22" s="340"/>
      <c r="P22" s="340"/>
    </row>
    <row r="23" spans="1:16" x14ac:dyDescent="0.25">
      <c r="A23" s="515" t="s">
        <v>8</v>
      </c>
      <c r="B23" s="16"/>
      <c r="C23" s="16"/>
      <c r="D23" s="16"/>
      <c r="E23" s="16"/>
      <c r="F23" s="388"/>
      <c r="G23" s="388"/>
      <c r="H23" s="16"/>
      <c r="I23" s="16"/>
      <c r="J23" s="16"/>
      <c r="K23" s="16"/>
      <c r="L23" s="16"/>
      <c r="M23" s="16"/>
      <c r="N23" s="16"/>
      <c r="O23" s="16"/>
    </row>
    <row r="24" spans="1:16" x14ac:dyDescent="0.25">
      <c r="A24" s="495" t="s">
        <v>1007</v>
      </c>
      <c r="B24" s="16"/>
      <c r="C24" s="16"/>
      <c r="D24" s="16"/>
      <c r="E24" s="16"/>
      <c r="F24" s="388"/>
      <c r="G24" s="388"/>
      <c r="H24" s="16"/>
      <c r="I24" s="16"/>
      <c r="J24" s="16"/>
      <c r="K24" s="16"/>
      <c r="L24" s="16"/>
      <c r="M24" s="16"/>
      <c r="N24" s="16"/>
      <c r="O24" s="16"/>
    </row>
    <row r="25" spans="1:16" x14ac:dyDescent="0.25">
      <c r="A25" s="495" t="s">
        <v>240</v>
      </c>
      <c r="B25" s="16"/>
      <c r="C25" s="16"/>
      <c r="D25" s="16"/>
      <c r="E25" s="16"/>
      <c r="F25" s="16"/>
      <c r="G25" s="16"/>
      <c r="H25" s="16"/>
      <c r="I25" s="16"/>
      <c r="J25" s="16"/>
      <c r="K25" s="16"/>
      <c r="L25" s="16"/>
      <c r="M25" s="16"/>
      <c r="N25" s="16"/>
      <c r="O25" s="16"/>
    </row>
    <row r="26" spans="1:16" ht="30" customHeight="1" x14ac:dyDescent="0.25">
      <c r="A26" s="1096" t="s">
        <v>842</v>
      </c>
      <c r="B26" s="1096"/>
      <c r="C26" s="1096"/>
      <c r="D26" s="1096"/>
      <c r="E26" s="1096"/>
      <c r="F26" s="1096"/>
      <c r="G26" s="1096"/>
      <c r="H26" s="1096"/>
      <c r="I26" s="1096"/>
      <c r="J26" s="1096"/>
      <c r="K26" s="1096"/>
      <c r="L26" s="1096"/>
      <c r="M26" s="1096"/>
      <c r="N26" s="1096"/>
      <c r="O26" s="1096"/>
      <c r="P26" s="1096"/>
    </row>
    <row r="27" spans="1:16" x14ac:dyDescent="0.25">
      <c r="A27" s="495" t="s">
        <v>844</v>
      </c>
      <c r="B27" s="16"/>
      <c r="C27" s="16"/>
      <c r="D27" s="16"/>
      <c r="E27" s="16"/>
      <c r="F27" s="16"/>
      <c r="G27" s="16"/>
      <c r="H27" s="16"/>
      <c r="I27" s="16"/>
      <c r="J27" s="16"/>
      <c r="K27" s="16"/>
      <c r="L27" s="16"/>
      <c r="M27" s="16"/>
      <c r="N27" s="16"/>
      <c r="O27" s="16"/>
    </row>
    <row r="28" spans="1:16" x14ac:dyDescent="0.25">
      <c r="A28" s="495"/>
      <c r="B28" s="16"/>
      <c r="C28" s="16"/>
      <c r="D28" s="16"/>
      <c r="E28" s="16"/>
      <c r="F28" s="16"/>
      <c r="G28" s="16"/>
      <c r="H28" s="16"/>
      <c r="I28" s="16"/>
      <c r="J28" s="16"/>
      <c r="K28" s="16"/>
      <c r="L28" s="16"/>
      <c r="M28" s="16"/>
      <c r="N28" s="16"/>
      <c r="O28" s="16"/>
    </row>
    <row r="29" spans="1:16" x14ac:dyDescent="0.25">
      <c r="A29" s="16"/>
      <c r="B29" s="16"/>
      <c r="C29" s="16"/>
      <c r="D29" s="16"/>
      <c r="E29" s="16"/>
      <c r="F29" s="16"/>
      <c r="G29" s="16"/>
      <c r="H29" s="16"/>
      <c r="I29" s="16"/>
      <c r="J29" s="16"/>
      <c r="K29" s="16"/>
      <c r="L29" s="16"/>
      <c r="M29" s="16"/>
      <c r="N29" s="16"/>
      <c r="O29" s="16"/>
    </row>
    <row r="30" spans="1:16" ht="15.75" x14ac:dyDescent="0.25">
      <c r="A30" s="1102" t="s">
        <v>643</v>
      </c>
      <c r="B30" s="1102"/>
      <c r="C30" s="1102"/>
      <c r="D30" s="1102"/>
      <c r="E30" s="1102"/>
      <c r="F30" s="1102"/>
      <c r="G30" s="1102"/>
      <c r="H30" s="1102"/>
      <c r="I30" s="1102"/>
      <c r="J30" s="1102"/>
      <c r="K30" s="1102"/>
      <c r="L30" s="1102"/>
      <c r="M30" s="1102"/>
      <c r="N30" s="1102"/>
      <c r="O30" s="1102"/>
    </row>
    <row r="31" spans="1:16" ht="15.75" x14ac:dyDescent="0.25">
      <c r="A31" t="s">
        <v>363</v>
      </c>
      <c r="B31" t="s">
        <v>791</v>
      </c>
      <c r="C31" s="784"/>
      <c r="D31" s="784"/>
      <c r="E31" s="784"/>
      <c r="F31" s="784"/>
      <c r="G31" s="784"/>
      <c r="H31" s="784"/>
      <c r="I31" s="784"/>
      <c r="J31" s="784"/>
      <c r="K31" s="784"/>
    </row>
    <row r="32" spans="1:16" ht="15.75" x14ac:dyDescent="0.25">
      <c r="A32" t="s">
        <v>364</v>
      </c>
      <c r="B32" t="s">
        <v>366</v>
      </c>
      <c r="C32" s="784"/>
      <c r="D32" s="784"/>
      <c r="E32" s="784"/>
      <c r="F32" s="784"/>
      <c r="G32" s="784"/>
      <c r="H32" s="784"/>
      <c r="I32" s="784"/>
      <c r="J32" s="784"/>
      <c r="K32" s="784"/>
    </row>
    <row r="33" spans="1:17" ht="15.75" x14ac:dyDescent="0.25">
      <c r="A33" t="s">
        <v>365</v>
      </c>
      <c r="B33" t="s">
        <v>367</v>
      </c>
      <c r="C33" s="784"/>
      <c r="D33" s="784"/>
      <c r="E33" s="784"/>
      <c r="F33" s="784"/>
      <c r="G33" s="784"/>
      <c r="H33" s="784"/>
      <c r="I33" s="784"/>
      <c r="J33" s="784"/>
      <c r="K33" s="784"/>
      <c r="L33" s="31"/>
      <c r="M33" s="31"/>
      <c r="N33" s="31"/>
      <c r="O33" s="31"/>
    </row>
    <row r="34" spans="1:17" ht="15.75" x14ac:dyDescent="0.25">
      <c r="A34" s="781"/>
      <c r="B34" s="781"/>
      <c r="C34" s="781"/>
      <c r="D34" s="781"/>
      <c r="E34" s="781"/>
      <c r="F34" s="781"/>
      <c r="G34" s="781"/>
      <c r="H34" s="781"/>
      <c r="I34" s="781"/>
      <c r="J34" s="781"/>
      <c r="K34" s="781"/>
      <c r="L34" s="781"/>
      <c r="M34" s="781"/>
      <c r="N34" s="781"/>
      <c r="O34" s="781"/>
    </row>
    <row r="35" spans="1:17" ht="30" customHeight="1" x14ac:dyDescent="0.25">
      <c r="A35" s="13"/>
      <c r="B35" s="1134" t="s">
        <v>639</v>
      </c>
      <c r="C35" s="1134"/>
      <c r="D35" s="1134" t="s">
        <v>640</v>
      </c>
      <c r="E35" s="1134"/>
      <c r="F35" s="1136" t="s">
        <v>162</v>
      </c>
      <c r="G35" s="1136"/>
      <c r="H35" s="1137" t="s">
        <v>163</v>
      </c>
      <c r="I35" s="1136"/>
      <c r="J35" s="1136" t="s">
        <v>164</v>
      </c>
      <c r="K35" s="1136"/>
      <c r="L35" s="903"/>
      <c r="M35" s="1138" t="s">
        <v>165</v>
      </c>
      <c r="N35" s="1138"/>
      <c r="O35" s="1138"/>
    </row>
    <row r="36" spans="1:17" ht="39" x14ac:dyDescent="0.25">
      <c r="A36" s="341" t="s">
        <v>170</v>
      </c>
      <c r="B36" s="342" t="s">
        <v>6</v>
      </c>
      <c r="C36" s="342" t="s">
        <v>166</v>
      </c>
      <c r="D36" s="342" t="s">
        <v>6</v>
      </c>
      <c r="E36" s="342" t="s">
        <v>166</v>
      </c>
      <c r="F36" s="343" t="s">
        <v>167</v>
      </c>
      <c r="G36" s="3" t="s">
        <v>166</v>
      </c>
      <c r="H36" s="895" t="s">
        <v>6</v>
      </c>
      <c r="I36" s="342" t="s">
        <v>166</v>
      </c>
      <c r="J36" s="342" t="s">
        <v>6</v>
      </c>
      <c r="K36" s="342" t="s">
        <v>166</v>
      </c>
      <c r="L36" s="892" t="s">
        <v>168</v>
      </c>
      <c r="M36" s="889" t="s">
        <v>639</v>
      </c>
      <c r="N36" s="333" t="s">
        <v>640</v>
      </c>
      <c r="O36" s="333" t="s">
        <v>169</v>
      </c>
      <c r="P36" s="471" t="s">
        <v>194</v>
      </c>
    </row>
    <row r="37" spans="1:17" x14ac:dyDescent="0.25">
      <c r="A37" s="344" t="s">
        <v>143</v>
      </c>
      <c r="B37" s="335">
        <f>'h21'!B5</f>
        <v>294</v>
      </c>
      <c r="C37" s="335">
        <f>'h21'!C5</f>
        <v>0</v>
      </c>
      <c r="D37" s="335">
        <f>'h21'!D5</f>
        <v>4</v>
      </c>
      <c r="E37" s="335">
        <f>'h21'!E5</f>
        <v>0</v>
      </c>
      <c r="F37" s="336">
        <f t="shared" ref="F37:F51" si="11">B37+D37</f>
        <v>298</v>
      </c>
      <c r="G37" s="336">
        <f t="shared" ref="G37:G51" si="12">E37+C37</f>
        <v>0</v>
      </c>
      <c r="H37" s="896">
        <f>'h21'!F5</f>
        <v>0</v>
      </c>
      <c r="I37" s="335">
        <f>'h21'!G5</f>
        <v>0</v>
      </c>
      <c r="J37" s="335">
        <f>'h21'!H5</f>
        <v>0</v>
      </c>
      <c r="K37" s="335">
        <f>'h21'!I5</f>
        <v>0</v>
      </c>
      <c r="L37" s="893">
        <f t="shared" ref="L37:L52" si="13">B37/F37%</f>
        <v>98.65771812080537</v>
      </c>
      <c r="M37" s="890">
        <f t="shared" ref="M37:M52" si="14">C37/B37</f>
        <v>0</v>
      </c>
      <c r="N37" s="345">
        <f t="shared" ref="N37:N52" si="15">E37/D37</f>
        <v>0</v>
      </c>
      <c r="O37" s="345">
        <f t="shared" ref="O37:O52" si="16">IF(H37=0, 0, I37/H37)</f>
        <v>0</v>
      </c>
      <c r="P37" s="345">
        <f t="shared" ref="P37:P52" si="17">IF(J37=0, 0, K37/J37)</f>
        <v>0</v>
      </c>
      <c r="Q37" s="582"/>
    </row>
    <row r="38" spans="1:17" x14ac:dyDescent="0.25">
      <c r="A38" s="344" t="s">
        <v>144</v>
      </c>
      <c r="B38" s="335">
        <f>'h21'!B6</f>
        <v>1451</v>
      </c>
      <c r="C38" s="335">
        <f>'h21'!C6</f>
        <v>0</v>
      </c>
      <c r="D38" s="335">
        <f>'h21'!D6</f>
        <v>35</v>
      </c>
      <c r="E38" s="335">
        <f>'h21'!E6</f>
        <v>0</v>
      </c>
      <c r="F38" s="336">
        <f t="shared" si="11"/>
        <v>1486</v>
      </c>
      <c r="G38" s="336">
        <f t="shared" si="12"/>
        <v>0</v>
      </c>
      <c r="H38" s="896">
        <f>'h21'!F6</f>
        <v>0</v>
      </c>
      <c r="I38" s="335">
        <f>'h21'!G6</f>
        <v>0</v>
      </c>
      <c r="J38" s="335">
        <f>'h21'!H6</f>
        <v>0</v>
      </c>
      <c r="K38" s="335">
        <f>'h21'!I6</f>
        <v>0</v>
      </c>
      <c r="L38" s="893">
        <f t="shared" si="13"/>
        <v>97.644683714670265</v>
      </c>
      <c r="M38" s="890">
        <f t="shared" si="14"/>
        <v>0</v>
      </c>
      <c r="N38" s="345">
        <f t="shared" si="15"/>
        <v>0</v>
      </c>
      <c r="O38" s="345">
        <f t="shared" si="16"/>
        <v>0</v>
      </c>
      <c r="P38" s="345">
        <f t="shared" si="17"/>
        <v>0</v>
      </c>
      <c r="Q38" s="582"/>
    </row>
    <row r="39" spans="1:17" x14ac:dyDescent="0.25">
      <c r="A39" s="344" t="s">
        <v>160</v>
      </c>
      <c r="B39" s="335">
        <f>'h21'!B7</f>
        <v>1738</v>
      </c>
      <c r="C39" s="335">
        <f>'h21'!C7</f>
        <v>0</v>
      </c>
      <c r="D39" s="335">
        <f>'h21'!D7</f>
        <v>213</v>
      </c>
      <c r="E39" s="335">
        <f>'h21'!E7</f>
        <v>0</v>
      </c>
      <c r="F39" s="336">
        <f t="shared" si="11"/>
        <v>1951</v>
      </c>
      <c r="G39" s="336">
        <f t="shared" si="12"/>
        <v>0</v>
      </c>
      <c r="H39" s="896">
        <f>'h21'!F7</f>
        <v>1</v>
      </c>
      <c r="I39" s="335">
        <f>'h21'!G7</f>
        <v>0</v>
      </c>
      <c r="J39" s="335">
        <f>'h21'!H7</f>
        <v>5</v>
      </c>
      <c r="K39" s="335">
        <f>'h21'!I7</f>
        <v>0</v>
      </c>
      <c r="L39" s="893">
        <f t="shared" si="13"/>
        <v>89.082521783700656</v>
      </c>
      <c r="M39" s="890">
        <f t="shared" si="14"/>
        <v>0</v>
      </c>
      <c r="N39" s="345">
        <f t="shared" si="15"/>
        <v>0</v>
      </c>
      <c r="O39" s="345">
        <f t="shared" si="16"/>
        <v>0</v>
      </c>
      <c r="P39" s="345">
        <f t="shared" si="17"/>
        <v>0</v>
      </c>
      <c r="Q39" s="582"/>
    </row>
    <row r="40" spans="1:17" x14ac:dyDescent="0.25">
      <c r="A40" s="344" t="s">
        <v>145</v>
      </c>
      <c r="B40" s="335">
        <f>'h21'!B8</f>
        <v>70</v>
      </c>
      <c r="C40" s="335">
        <f>'h21'!C8</f>
        <v>0</v>
      </c>
      <c r="D40" s="335">
        <f>'h21'!D8</f>
        <v>1</v>
      </c>
      <c r="E40" s="335">
        <f>'h21'!E8</f>
        <v>0</v>
      </c>
      <c r="F40" s="336">
        <f t="shared" si="11"/>
        <v>71</v>
      </c>
      <c r="G40" s="336">
        <f t="shared" si="12"/>
        <v>0</v>
      </c>
      <c r="H40" s="896">
        <f>'h21'!F8</f>
        <v>0</v>
      </c>
      <c r="I40" s="335">
        <f>'h21'!G8</f>
        <v>0</v>
      </c>
      <c r="J40" s="335">
        <f>'h21'!H8</f>
        <v>0</v>
      </c>
      <c r="K40" s="335">
        <f>'h21'!I8</f>
        <v>0</v>
      </c>
      <c r="L40" s="893">
        <f t="shared" si="13"/>
        <v>98.591549295774655</v>
      </c>
      <c r="M40" s="890">
        <f t="shared" si="14"/>
        <v>0</v>
      </c>
      <c r="N40" s="345">
        <f t="shared" si="15"/>
        <v>0</v>
      </c>
      <c r="O40" s="345">
        <f t="shared" si="16"/>
        <v>0</v>
      </c>
      <c r="P40" s="345">
        <f t="shared" si="17"/>
        <v>0</v>
      </c>
      <c r="Q40" s="582"/>
    </row>
    <row r="41" spans="1:17" x14ac:dyDescent="0.25">
      <c r="A41" s="344" t="s">
        <v>146</v>
      </c>
      <c r="B41" s="335">
        <f>'h21'!B9</f>
        <v>1017</v>
      </c>
      <c r="C41" s="335">
        <f>'h21'!C9</f>
        <v>0</v>
      </c>
      <c r="D41" s="335">
        <f>'h21'!D9</f>
        <v>64</v>
      </c>
      <c r="E41" s="335">
        <f>'h21'!E9</f>
        <v>0</v>
      </c>
      <c r="F41" s="336">
        <f>B41+D41</f>
        <v>1081</v>
      </c>
      <c r="G41" s="336">
        <f t="shared" si="12"/>
        <v>0</v>
      </c>
      <c r="H41" s="896">
        <f>'h21'!F9</f>
        <v>0</v>
      </c>
      <c r="I41" s="335">
        <f>'h21'!G9</f>
        <v>0</v>
      </c>
      <c r="J41" s="335">
        <f>'h21'!H9</f>
        <v>0</v>
      </c>
      <c r="K41" s="335">
        <f>'h21'!I9</f>
        <v>0</v>
      </c>
      <c r="L41" s="893">
        <f t="shared" si="13"/>
        <v>94.079555966697498</v>
      </c>
      <c r="M41" s="890">
        <f t="shared" si="14"/>
        <v>0</v>
      </c>
      <c r="N41" s="345">
        <f t="shared" si="15"/>
        <v>0</v>
      </c>
      <c r="O41" s="345">
        <f t="shared" si="16"/>
        <v>0</v>
      </c>
      <c r="P41" s="345">
        <f t="shared" si="17"/>
        <v>0</v>
      </c>
      <c r="Q41" s="582"/>
    </row>
    <row r="42" spans="1:17" x14ac:dyDescent="0.25">
      <c r="A42" s="344" t="s">
        <v>147</v>
      </c>
      <c r="B42" s="335">
        <f>'h21'!B10</f>
        <v>458</v>
      </c>
      <c r="C42" s="335">
        <f>'h21'!C10</f>
        <v>0</v>
      </c>
      <c r="D42" s="335">
        <f>'h21'!D10</f>
        <v>12</v>
      </c>
      <c r="E42" s="335">
        <f>'h21'!E10</f>
        <v>0</v>
      </c>
      <c r="F42" s="336">
        <f t="shared" si="11"/>
        <v>470</v>
      </c>
      <c r="G42" s="336">
        <f t="shared" si="12"/>
        <v>0</v>
      </c>
      <c r="H42" s="896">
        <f>'h21'!F10</f>
        <v>0</v>
      </c>
      <c r="I42" s="335">
        <f>'h21'!G10</f>
        <v>0</v>
      </c>
      <c r="J42" s="335">
        <f>'h21'!H10</f>
        <v>2</v>
      </c>
      <c r="K42" s="335">
        <f>'h21'!I10</f>
        <v>0</v>
      </c>
      <c r="L42" s="893">
        <f t="shared" si="13"/>
        <v>97.446808510638292</v>
      </c>
      <c r="M42" s="890">
        <f t="shared" si="14"/>
        <v>0</v>
      </c>
      <c r="N42" s="345">
        <f t="shared" si="15"/>
        <v>0</v>
      </c>
      <c r="O42" s="345">
        <f t="shared" si="16"/>
        <v>0</v>
      </c>
      <c r="P42" s="345">
        <f t="shared" si="17"/>
        <v>0</v>
      </c>
      <c r="Q42" s="582"/>
    </row>
    <row r="43" spans="1:17" x14ac:dyDescent="0.25">
      <c r="A43" s="344" t="s">
        <v>148</v>
      </c>
      <c r="B43" s="335">
        <f>'h21'!B11</f>
        <v>25</v>
      </c>
      <c r="C43" s="335">
        <f>'h21'!C11</f>
        <v>0</v>
      </c>
      <c r="D43" s="335">
        <f>'h21'!D11</f>
        <v>0</v>
      </c>
      <c r="E43" s="335">
        <f>'h21'!E11</f>
        <v>0</v>
      </c>
      <c r="F43" s="336">
        <f t="shared" si="11"/>
        <v>25</v>
      </c>
      <c r="G43" s="336">
        <f t="shared" si="12"/>
        <v>0</v>
      </c>
      <c r="H43" s="896">
        <f>'h21'!F11</f>
        <v>0</v>
      </c>
      <c r="I43" s="335">
        <f>'h21'!G11</f>
        <v>0</v>
      </c>
      <c r="J43" s="335">
        <f>'h21'!H11</f>
        <v>0</v>
      </c>
      <c r="K43" s="335">
        <f>'h21'!I11</f>
        <v>0</v>
      </c>
      <c r="L43" s="893">
        <f t="shared" si="13"/>
        <v>100</v>
      </c>
      <c r="M43" s="890">
        <f t="shared" si="14"/>
        <v>0</v>
      </c>
      <c r="N43" s="345">
        <f>IFERROR(E43/D43,0)</f>
        <v>0</v>
      </c>
      <c r="O43" s="345">
        <f t="shared" si="16"/>
        <v>0</v>
      </c>
      <c r="P43" s="345">
        <f t="shared" si="17"/>
        <v>0</v>
      </c>
      <c r="Q43" s="582"/>
    </row>
    <row r="44" spans="1:17" x14ac:dyDescent="0.25">
      <c r="A44" s="344" t="s">
        <v>149</v>
      </c>
      <c r="B44" s="335">
        <f>'h21'!B12</f>
        <v>38</v>
      </c>
      <c r="C44" s="335">
        <f>'h21'!C12</f>
        <v>0</v>
      </c>
      <c r="D44" s="335">
        <f>'h21'!D12</f>
        <v>1</v>
      </c>
      <c r="E44" s="335">
        <f>'h21'!E12</f>
        <v>0</v>
      </c>
      <c r="F44" s="336">
        <f t="shared" si="11"/>
        <v>39</v>
      </c>
      <c r="G44" s="336">
        <f t="shared" si="12"/>
        <v>0</v>
      </c>
      <c r="H44" s="896">
        <f>'h21'!F12</f>
        <v>0</v>
      </c>
      <c r="I44" s="335">
        <f>'h21'!G12</f>
        <v>0</v>
      </c>
      <c r="J44" s="335">
        <f>'h21'!H12</f>
        <v>0</v>
      </c>
      <c r="K44" s="335">
        <f>'h21'!I12</f>
        <v>0</v>
      </c>
      <c r="L44" s="893">
        <f t="shared" si="13"/>
        <v>97.435897435897431</v>
      </c>
      <c r="M44" s="890">
        <f t="shared" si="14"/>
        <v>0</v>
      </c>
      <c r="N44" s="345">
        <f t="shared" si="15"/>
        <v>0</v>
      </c>
      <c r="O44" s="345">
        <f t="shared" si="16"/>
        <v>0</v>
      </c>
      <c r="P44" s="345">
        <f t="shared" si="17"/>
        <v>0</v>
      </c>
      <c r="Q44" s="582"/>
    </row>
    <row r="45" spans="1:17" x14ac:dyDescent="0.25">
      <c r="A45" s="344" t="s">
        <v>150</v>
      </c>
      <c r="B45" s="335">
        <f>'h21'!B13</f>
        <v>259</v>
      </c>
      <c r="C45" s="335">
        <f>'h21'!C13</f>
        <v>0</v>
      </c>
      <c r="D45" s="335">
        <f>'h21'!D13</f>
        <v>30</v>
      </c>
      <c r="E45" s="335">
        <f>'h21'!E13</f>
        <v>0</v>
      </c>
      <c r="F45" s="336">
        <f t="shared" si="11"/>
        <v>289</v>
      </c>
      <c r="G45" s="336">
        <f t="shared" si="12"/>
        <v>0</v>
      </c>
      <c r="H45" s="896">
        <f>'h21'!F13</f>
        <v>0</v>
      </c>
      <c r="I45" s="335">
        <f>'h21'!G13</f>
        <v>0</v>
      </c>
      <c r="J45" s="335">
        <f>'h21'!H13</f>
        <v>1</v>
      </c>
      <c r="K45" s="335">
        <f>'h21'!I13</f>
        <v>0</v>
      </c>
      <c r="L45" s="893">
        <f t="shared" si="13"/>
        <v>89.61937716262976</v>
      </c>
      <c r="M45" s="890">
        <f t="shared" si="14"/>
        <v>0</v>
      </c>
      <c r="N45" s="345">
        <f t="shared" si="15"/>
        <v>0</v>
      </c>
      <c r="O45" s="345">
        <f t="shared" si="16"/>
        <v>0</v>
      </c>
      <c r="P45" s="345">
        <f t="shared" si="17"/>
        <v>0</v>
      </c>
      <c r="Q45" s="582"/>
    </row>
    <row r="46" spans="1:17" x14ac:dyDescent="0.25">
      <c r="A46" s="344" t="s">
        <v>151</v>
      </c>
      <c r="B46" s="335">
        <f>'h21'!B14</f>
        <v>266</v>
      </c>
      <c r="C46" s="335">
        <f>'h21'!C14</f>
        <v>0</v>
      </c>
      <c r="D46" s="335">
        <f>'h21'!D14</f>
        <v>5</v>
      </c>
      <c r="E46" s="335">
        <f>'h21'!E14</f>
        <v>0</v>
      </c>
      <c r="F46" s="336">
        <f t="shared" si="11"/>
        <v>271</v>
      </c>
      <c r="G46" s="336">
        <f t="shared" si="12"/>
        <v>0</v>
      </c>
      <c r="H46" s="896">
        <f>'h21'!F14</f>
        <v>0</v>
      </c>
      <c r="I46" s="335">
        <f>'h21'!G14</f>
        <v>0</v>
      </c>
      <c r="J46" s="335">
        <f>'h21'!H14</f>
        <v>0</v>
      </c>
      <c r="K46" s="335">
        <f>'h21'!I14</f>
        <v>0</v>
      </c>
      <c r="L46" s="893">
        <f t="shared" si="13"/>
        <v>98.154981549815503</v>
      </c>
      <c r="M46" s="890">
        <f t="shared" si="14"/>
        <v>0</v>
      </c>
      <c r="N46" s="345">
        <f t="shared" si="15"/>
        <v>0</v>
      </c>
      <c r="O46" s="345">
        <f t="shared" si="16"/>
        <v>0</v>
      </c>
      <c r="P46" s="345">
        <f t="shared" si="17"/>
        <v>0</v>
      </c>
      <c r="Q46" s="582"/>
    </row>
    <row r="47" spans="1:17" x14ac:dyDescent="0.25">
      <c r="A47" s="344" t="s">
        <v>152</v>
      </c>
      <c r="B47" s="335">
        <f>'h21'!B15</f>
        <v>350</v>
      </c>
      <c r="C47" s="335">
        <f>'h21'!C15</f>
        <v>0</v>
      </c>
      <c r="D47" s="335">
        <f>'h21'!D15</f>
        <v>8</v>
      </c>
      <c r="E47" s="335">
        <f>'h21'!E15</f>
        <v>0</v>
      </c>
      <c r="F47" s="336">
        <f t="shared" si="11"/>
        <v>358</v>
      </c>
      <c r="G47" s="336">
        <f t="shared" si="12"/>
        <v>0</v>
      </c>
      <c r="H47" s="896">
        <f>'h21'!F15</f>
        <v>0</v>
      </c>
      <c r="I47" s="335">
        <f>'h21'!G15</f>
        <v>0</v>
      </c>
      <c r="J47" s="335">
        <f>'h21'!H15</f>
        <v>1</v>
      </c>
      <c r="K47" s="335">
        <f>'h21'!I15</f>
        <v>0</v>
      </c>
      <c r="L47" s="893">
        <f t="shared" si="13"/>
        <v>97.765363128491614</v>
      </c>
      <c r="M47" s="890">
        <f t="shared" si="14"/>
        <v>0</v>
      </c>
      <c r="N47" s="345">
        <f t="shared" si="15"/>
        <v>0</v>
      </c>
      <c r="O47" s="345">
        <f t="shared" si="16"/>
        <v>0</v>
      </c>
      <c r="P47" s="345">
        <f t="shared" si="17"/>
        <v>0</v>
      </c>
      <c r="Q47" s="582"/>
    </row>
    <row r="48" spans="1:17" x14ac:dyDescent="0.25">
      <c r="A48" s="344" t="s">
        <v>153</v>
      </c>
      <c r="B48" s="335">
        <f>'h21'!B16</f>
        <v>275</v>
      </c>
      <c r="C48" s="335">
        <f>'h21'!C16</f>
        <v>0</v>
      </c>
      <c r="D48" s="335">
        <f>'h21'!D16</f>
        <v>4</v>
      </c>
      <c r="E48" s="335">
        <f>'h21'!E16</f>
        <v>0</v>
      </c>
      <c r="F48" s="336">
        <f t="shared" si="11"/>
        <v>279</v>
      </c>
      <c r="G48" s="336">
        <f t="shared" si="12"/>
        <v>0</v>
      </c>
      <c r="H48" s="896">
        <f>'h21'!F16</f>
        <v>0</v>
      </c>
      <c r="I48" s="335">
        <f>'h21'!G16</f>
        <v>0</v>
      </c>
      <c r="J48" s="335">
        <f>'h21'!H16</f>
        <v>2</v>
      </c>
      <c r="K48" s="335">
        <f>'h21'!I16</f>
        <v>0</v>
      </c>
      <c r="L48" s="893">
        <f t="shared" si="13"/>
        <v>98.56630824372759</v>
      </c>
      <c r="M48" s="890">
        <f t="shared" si="14"/>
        <v>0</v>
      </c>
      <c r="N48" s="345">
        <f t="shared" si="15"/>
        <v>0</v>
      </c>
      <c r="O48" s="345">
        <f t="shared" si="16"/>
        <v>0</v>
      </c>
      <c r="P48" s="345">
        <f t="shared" si="17"/>
        <v>0</v>
      </c>
      <c r="Q48" s="582"/>
    </row>
    <row r="49" spans="1:17" x14ac:dyDescent="0.25">
      <c r="A49" s="346" t="s">
        <v>154</v>
      </c>
      <c r="B49" s="335">
        <f>'h21'!B17</f>
        <v>234</v>
      </c>
      <c r="C49" s="335">
        <f>'h21'!C17</f>
        <v>0</v>
      </c>
      <c r="D49" s="335">
        <f>'h21'!D17</f>
        <v>7</v>
      </c>
      <c r="E49" s="335">
        <f>'h21'!E17</f>
        <v>0</v>
      </c>
      <c r="F49" s="336">
        <f t="shared" si="11"/>
        <v>241</v>
      </c>
      <c r="G49" s="336">
        <f t="shared" si="12"/>
        <v>0</v>
      </c>
      <c r="H49" s="896">
        <f>'h21'!F17</f>
        <v>0</v>
      </c>
      <c r="I49" s="335">
        <f>'h21'!G17</f>
        <v>0</v>
      </c>
      <c r="J49" s="335">
        <f>'h21'!H17</f>
        <v>1</v>
      </c>
      <c r="K49" s="335">
        <f>'h21'!I17</f>
        <v>0</v>
      </c>
      <c r="L49" s="893">
        <f t="shared" si="13"/>
        <v>97.095435684647299</v>
      </c>
      <c r="M49" s="890">
        <f t="shared" si="14"/>
        <v>0</v>
      </c>
      <c r="N49" s="345">
        <f t="shared" si="15"/>
        <v>0</v>
      </c>
      <c r="O49" s="345">
        <f t="shared" si="16"/>
        <v>0</v>
      </c>
      <c r="P49" s="345">
        <f t="shared" si="17"/>
        <v>0</v>
      </c>
      <c r="Q49" s="582"/>
    </row>
    <row r="50" spans="1:17" x14ac:dyDescent="0.25">
      <c r="A50" s="344" t="s">
        <v>155</v>
      </c>
      <c r="B50" s="335">
        <f>'h21'!B18</f>
        <v>283</v>
      </c>
      <c r="C50" s="335">
        <f>'h21'!C18</f>
        <v>0</v>
      </c>
      <c r="D50" s="335">
        <f>'h21'!D18</f>
        <v>2</v>
      </c>
      <c r="E50" s="335">
        <f>'h21'!E18</f>
        <v>0</v>
      </c>
      <c r="F50" s="336">
        <f t="shared" si="11"/>
        <v>285</v>
      </c>
      <c r="G50" s="347">
        <f t="shared" si="12"/>
        <v>0</v>
      </c>
      <c r="H50" s="896">
        <f>'h21'!F18</f>
        <v>0</v>
      </c>
      <c r="I50" s="335">
        <f>'h21'!G18</f>
        <v>0</v>
      </c>
      <c r="J50" s="335">
        <f>'h21'!H18</f>
        <v>0</v>
      </c>
      <c r="K50" s="335">
        <f>'h21'!I18</f>
        <v>0</v>
      </c>
      <c r="L50" s="893">
        <f t="shared" si="13"/>
        <v>99.298245614035082</v>
      </c>
      <c r="M50" s="890">
        <f t="shared" si="14"/>
        <v>0</v>
      </c>
      <c r="N50" s="345">
        <f t="shared" si="15"/>
        <v>0</v>
      </c>
      <c r="O50" s="345">
        <f t="shared" si="16"/>
        <v>0</v>
      </c>
      <c r="P50" s="345">
        <f t="shared" si="17"/>
        <v>0</v>
      </c>
      <c r="Q50" s="582"/>
    </row>
    <row r="51" spans="1:17" x14ac:dyDescent="0.25">
      <c r="A51" s="344" t="s">
        <v>156</v>
      </c>
      <c r="B51" s="335">
        <f>'h21'!B19</f>
        <v>115</v>
      </c>
      <c r="C51" s="335">
        <f>'h21'!C19</f>
        <v>0</v>
      </c>
      <c r="D51" s="335">
        <f>'h21'!D19</f>
        <v>2</v>
      </c>
      <c r="E51" s="335">
        <f>'h21'!E19</f>
        <v>0</v>
      </c>
      <c r="F51" s="336">
        <f t="shared" si="11"/>
        <v>117</v>
      </c>
      <c r="G51" s="347">
        <f t="shared" si="12"/>
        <v>0</v>
      </c>
      <c r="H51" s="896">
        <f>'h21'!F19</f>
        <v>0</v>
      </c>
      <c r="I51" s="335">
        <f>'h21'!G19</f>
        <v>0</v>
      </c>
      <c r="J51" s="335">
        <f>'h21'!H19</f>
        <v>0</v>
      </c>
      <c r="K51" s="335">
        <f>'h21'!I19</f>
        <v>0</v>
      </c>
      <c r="L51" s="893">
        <f t="shared" si="13"/>
        <v>98.290598290598297</v>
      </c>
      <c r="M51" s="890">
        <f t="shared" si="14"/>
        <v>0</v>
      </c>
      <c r="N51" s="345">
        <f t="shared" si="15"/>
        <v>0</v>
      </c>
      <c r="O51" s="345">
        <f t="shared" si="16"/>
        <v>0</v>
      </c>
      <c r="P51" s="345">
        <f t="shared" si="17"/>
        <v>0</v>
      </c>
      <c r="Q51" s="582"/>
    </row>
    <row r="52" spans="1:17" ht="15.75" thickBot="1" x14ac:dyDescent="0.3">
      <c r="A52" s="41" t="s">
        <v>810</v>
      </c>
      <c r="B52" s="348">
        <f>SUM(B37:B51)</f>
        <v>6873</v>
      </c>
      <c r="C52" s="348">
        <f>SUM(C37:C51)</f>
        <v>0</v>
      </c>
      <c r="D52" s="348">
        <f t="shared" ref="D52:E52" si="18">SUM(D37:D51)</f>
        <v>388</v>
      </c>
      <c r="E52" s="348">
        <f t="shared" si="18"/>
        <v>0</v>
      </c>
      <c r="F52" s="348">
        <f>SUM(F37:F51)</f>
        <v>7261</v>
      </c>
      <c r="G52" s="348">
        <f>SUM(G37:G51)</f>
        <v>0</v>
      </c>
      <c r="H52" s="897">
        <f t="shared" ref="H52:K52" si="19">SUM(H37:H51)</f>
        <v>1</v>
      </c>
      <c r="I52" s="348">
        <f t="shared" si="19"/>
        <v>0</v>
      </c>
      <c r="J52" s="348">
        <f t="shared" si="19"/>
        <v>12</v>
      </c>
      <c r="K52" s="348">
        <f t="shared" si="19"/>
        <v>0</v>
      </c>
      <c r="L52" s="894">
        <f t="shared" si="13"/>
        <v>94.656383418261953</v>
      </c>
      <c r="M52" s="891">
        <f t="shared" si="14"/>
        <v>0</v>
      </c>
      <c r="N52" s="349">
        <f t="shared" si="15"/>
        <v>0</v>
      </c>
      <c r="O52" s="349">
        <f t="shared" si="16"/>
        <v>0</v>
      </c>
      <c r="P52" s="349">
        <f t="shared" si="17"/>
        <v>0</v>
      </c>
    </row>
    <row r="53" spans="1:17" x14ac:dyDescent="0.25">
      <c r="A53" s="36"/>
      <c r="B53" s="350"/>
      <c r="C53" s="350"/>
      <c r="D53" s="350"/>
      <c r="E53" s="350"/>
      <c r="F53" s="350"/>
      <c r="G53" s="351"/>
      <c r="H53" s="350"/>
      <c r="I53" s="352"/>
      <c r="J53" s="353"/>
      <c r="K53" s="353"/>
      <c r="L53" s="390"/>
      <c r="M53" s="354"/>
      <c r="N53" s="354"/>
      <c r="O53" s="355"/>
    </row>
    <row r="54" spans="1:17" x14ac:dyDescent="0.25">
      <c r="A54" s="515" t="s">
        <v>8</v>
      </c>
      <c r="B54" s="16"/>
      <c r="C54" s="16"/>
      <c r="D54" s="16"/>
      <c r="E54" s="16"/>
      <c r="F54" s="388"/>
      <c r="G54" s="388"/>
      <c r="H54" s="16"/>
      <c r="I54" s="16"/>
      <c r="J54" s="16"/>
      <c r="K54" s="16"/>
      <c r="L54" s="16"/>
      <c r="M54" s="16"/>
      <c r="N54" s="16"/>
      <c r="O54" s="16"/>
    </row>
    <row r="55" spans="1:17" x14ac:dyDescent="0.25">
      <c r="A55" s="495" t="s">
        <v>1007</v>
      </c>
      <c r="B55" s="16"/>
      <c r="C55" s="16"/>
      <c r="D55" s="16"/>
      <c r="E55" s="16"/>
      <c r="F55" s="388"/>
      <c r="G55" s="388"/>
      <c r="H55" s="16"/>
      <c r="I55" s="16"/>
      <c r="J55" s="16"/>
      <c r="K55" s="16"/>
      <c r="L55" s="16"/>
      <c r="M55" s="16"/>
      <c r="N55" s="16"/>
      <c r="O55" s="16"/>
    </row>
    <row r="56" spans="1:17" ht="30" customHeight="1" x14ac:dyDescent="0.25">
      <c r="A56" s="1096" t="s">
        <v>843</v>
      </c>
      <c r="B56" s="1096"/>
      <c r="C56" s="1096"/>
      <c r="D56" s="1096"/>
      <c r="E56" s="1096"/>
      <c r="F56" s="1096"/>
      <c r="G56" s="1096"/>
      <c r="H56" s="1096"/>
      <c r="I56" s="1096"/>
      <c r="J56" s="1096"/>
      <c r="K56" s="1096"/>
      <c r="L56" s="1096"/>
      <c r="M56" s="1096"/>
      <c r="N56" s="1096"/>
      <c r="O56" s="1096"/>
      <c r="P56" s="1096"/>
    </row>
    <row r="57" spans="1:17" x14ac:dyDescent="0.25">
      <c r="A57" s="495" t="s">
        <v>844</v>
      </c>
      <c r="B57" s="16"/>
      <c r="C57" s="16"/>
      <c r="D57" s="16"/>
      <c r="E57" s="16"/>
      <c r="F57" s="16"/>
      <c r="G57" s="16"/>
      <c r="H57" s="16"/>
      <c r="I57" s="16"/>
      <c r="J57" s="16"/>
      <c r="K57" s="16"/>
      <c r="L57" s="16"/>
      <c r="M57" s="16"/>
      <c r="N57" s="16"/>
      <c r="O57" s="16"/>
    </row>
    <row r="58" spans="1:17" x14ac:dyDescent="0.25">
      <c r="A58" s="495"/>
      <c r="B58" s="483"/>
      <c r="C58" s="483"/>
      <c r="D58" s="483"/>
      <c r="E58" s="483"/>
      <c r="F58" s="483"/>
      <c r="G58" s="483"/>
      <c r="H58" s="483"/>
      <c r="I58" s="483"/>
      <c r="J58" s="483"/>
      <c r="K58" s="483"/>
      <c r="L58" s="483"/>
      <c r="M58" s="483"/>
      <c r="N58" s="483"/>
      <c r="O58" s="483"/>
    </row>
  </sheetData>
  <sheetProtection algorithmName="SHA-512" hashValue="K2yGtPE/rWPC7SvXSONsPsvgwloCfiEBVQPW2a8hQOey6Q++CM88V9P3iEeGcTTJD4s76fv2p05wP/PxfLiPsA==" saltValue="2SGwZtF6n52r4ZaGVV9Heg==" spinCount="100000" sheet="1" scenarios="1" formatCells="0" formatColumns="0" formatRows="0" sort="0" autoFilter="0" pivotTables="0"/>
  <mergeCells count="16">
    <mergeCell ref="A56:P56"/>
    <mergeCell ref="A4:O4"/>
    <mergeCell ref="B9:C9"/>
    <mergeCell ref="D9:E9"/>
    <mergeCell ref="F9:G9"/>
    <mergeCell ref="H9:I9"/>
    <mergeCell ref="J9:K9"/>
    <mergeCell ref="M9:O9"/>
    <mergeCell ref="A26:P26"/>
    <mergeCell ref="A30:O30"/>
    <mergeCell ref="B35:C35"/>
    <mergeCell ref="D35:E35"/>
    <mergeCell ref="F35:G35"/>
    <mergeCell ref="H35:I35"/>
    <mergeCell ref="J35:K35"/>
    <mergeCell ref="M35:O3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2" orientation="landscape" r:id="rId1"/>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20"/>
  <sheetViews>
    <sheetView showGridLines="0" workbookViewId="0">
      <pane ySplit="2" topLeftCell="A3" activePane="bottomLeft" state="frozen"/>
      <selection pane="bottomLeft" sqref="A1:C1"/>
    </sheetView>
  </sheetViews>
  <sheetFormatPr defaultRowHeight="15" x14ac:dyDescent="0.25"/>
  <cols>
    <col min="1" max="1" width="17.140625" customWidth="1"/>
    <col min="2" max="2" width="14.42578125" style="996" customWidth="1"/>
    <col min="3" max="3" width="11.42578125" style="996" customWidth="1"/>
    <col min="4" max="4" width="14.42578125" style="996" customWidth="1"/>
    <col min="5" max="5" width="14.140625" style="996" customWidth="1"/>
    <col min="6" max="6" width="14.42578125" style="996" customWidth="1"/>
  </cols>
  <sheetData>
    <row r="1" spans="1:8" ht="15.75" x14ac:dyDescent="0.25">
      <c r="A1" s="1077" t="s">
        <v>590</v>
      </c>
      <c r="B1" s="1077"/>
      <c r="C1" s="1077"/>
    </row>
    <row r="2" spans="1:8" ht="15.75" x14ac:dyDescent="0.25">
      <c r="A2" s="772" t="s">
        <v>578</v>
      </c>
      <c r="B2" s="997"/>
      <c r="C2" s="997"/>
    </row>
    <row r="4" spans="1:8" ht="15.75" x14ac:dyDescent="0.25">
      <c r="A4" s="1078" t="s">
        <v>918</v>
      </c>
      <c r="B4" s="1078"/>
      <c r="C4" s="1078"/>
      <c r="D4" s="1078"/>
      <c r="E4" s="1078"/>
      <c r="F4" s="1078"/>
    </row>
    <row r="5" spans="1:8" ht="15.75" x14ac:dyDescent="0.25">
      <c r="A5" t="s">
        <v>937</v>
      </c>
      <c r="B5" s="971"/>
      <c r="C5" s="971"/>
      <c r="D5" s="971"/>
      <c r="E5" s="971"/>
      <c r="F5" s="971"/>
    </row>
    <row r="6" spans="1:8" x14ac:dyDescent="0.25">
      <c r="A6" t="s">
        <v>363</v>
      </c>
      <c r="B6" s="366" t="s">
        <v>949</v>
      </c>
    </row>
    <row r="7" spans="1:8" x14ac:dyDescent="0.25">
      <c r="A7" t="s">
        <v>364</v>
      </c>
      <c r="B7" s="566" t="s">
        <v>366</v>
      </c>
    </row>
    <row r="8" spans="1:8" x14ac:dyDescent="0.25">
      <c r="A8" t="s">
        <v>365</v>
      </c>
      <c r="B8" s="566" t="s">
        <v>367</v>
      </c>
    </row>
    <row r="9" spans="1:8" ht="15.75" x14ac:dyDescent="0.25">
      <c r="A9" s="981"/>
    </row>
    <row r="10" spans="1:8" x14ac:dyDescent="0.25">
      <c r="A10" s="1002" t="s">
        <v>1</v>
      </c>
      <c r="B10" s="1003" t="s">
        <v>119</v>
      </c>
      <c r="C10" s="1004" t="s">
        <v>890</v>
      </c>
      <c r="D10" s="1004" t="s">
        <v>195</v>
      </c>
      <c r="E10" s="1005" t="s">
        <v>29</v>
      </c>
      <c r="F10" s="1005" t="s">
        <v>26</v>
      </c>
    </row>
    <row r="11" spans="1:8" x14ac:dyDescent="0.25">
      <c r="A11" s="999" t="s">
        <v>273</v>
      </c>
      <c r="B11" s="1000">
        <v>116</v>
      </c>
      <c r="C11" s="1000">
        <v>1</v>
      </c>
      <c r="D11" s="1000">
        <v>311</v>
      </c>
      <c r="E11" s="1000">
        <v>43</v>
      </c>
      <c r="F11" s="1001">
        <f>SUM(B11:E11)</f>
        <v>471</v>
      </c>
    </row>
    <row r="12" spans="1:8" x14ac:dyDescent="0.25">
      <c r="A12" s="999" t="s">
        <v>255</v>
      </c>
      <c r="B12" s="1000">
        <v>116</v>
      </c>
      <c r="C12" s="1000">
        <v>1</v>
      </c>
      <c r="D12" s="1000">
        <v>311</v>
      </c>
      <c r="E12" s="1000">
        <v>43</v>
      </c>
      <c r="F12" s="1001">
        <f t="shared" ref="F12:F14" si="0">SUM(B12:E12)</f>
        <v>471</v>
      </c>
    </row>
    <row r="13" spans="1:8" x14ac:dyDescent="0.25">
      <c r="A13" s="999" t="s">
        <v>254</v>
      </c>
      <c r="B13" s="1000">
        <v>116</v>
      </c>
      <c r="C13" s="1000">
        <v>1</v>
      </c>
      <c r="D13" s="1000">
        <v>311</v>
      </c>
      <c r="E13" s="1000">
        <v>43</v>
      </c>
      <c r="F13" s="1001">
        <f t="shared" si="0"/>
        <v>471</v>
      </c>
    </row>
    <row r="14" spans="1:8" ht="15.75" thickBot="1" x14ac:dyDescent="0.3">
      <c r="A14" s="237" t="s">
        <v>851</v>
      </c>
      <c r="B14" s="246">
        <v>116</v>
      </c>
      <c r="C14" s="246">
        <v>1</v>
      </c>
      <c r="D14" s="246">
        <v>311</v>
      </c>
      <c r="E14" s="246">
        <v>43</v>
      </c>
      <c r="F14" s="995">
        <f t="shared" si="0"/>
        <v>471</v>
      </c>
    </row>
    <row r="16" spans="1:8" x14ac:dyDescent="0.25">
      <c r="A16" s="499" t="s">
        <v>8</v>
      </c>
      <c r="B16" s="998"/>
      <c r="C16" s="998"/>
      <c r="D16" s="998"/>
      <c r="E16" s="998"/>
      <c r="F16" s="998"/>
      <c r="G16" s="437"/>
      <c r="H16" s="437"/>
    </row>
    <row r="17" spans="1:8" ht="15" customHeight="1" x14ac:dyDescent="0.25">
      <c r="A17" s="483" t="s">
        <v>939</v>
      </c>
      <c r="B17" s="998"/>
      <c r="C17" s="998"/>
      <c r="D17" s="998"/>
      <c r="E17" s="998"/>
      <c r="F17" s="998"/>
      <c r="G17" s="437"/>
      <c r="H17" s="437"/>
    </row>
    <row r="18" spans="1:8" ht="15" customHeight="1" x14ac:dyDescent="0.25">
      <c r="A18" s="483" t="s">
        <v>938</v>
      </c>
      <c r="B18" s="998"/>
      <c r="C18" s="998"/>
      <c r="D18" s="998"/>
      <c r="E18" s="998"/>
      <c r="F18" s="998"/>
      <c r="G18" s="437"/>
      <c r="H18" s="437"/>
    </row>
    <row r="19" spans="1:8" x14ac:dyDescent="0.25">
      <c r="A19" t="s">
        <v>940</v>
      </c>
      <c r="B19"/>
      <c r="C19"/>
      <c r="D19"/>
      <c r="E19"/>
      <c r="F19"/>
    </row>
    <row r="20" spans="1:8" x14ac:dyDescent="0.25">
      <c r="A20" t="s">
        <v>941</v>
      </c>
    </row>
  </sheetData>
  <sheetProtection algorithmName="SHA-512" hashValue="K/Wi/jmQTbDYAMOMbnW5mw5R1VVF9I5OmeTH2S3PVvr/opUa7Y3xfcPDgc6dHLP4ZjNawshShizteOz/N0baQw==" saltValue="EKRp+2OYJtuxsrCNMfenew==" spinCount="100000" sheet="1" scenarios="1" formatCells="0" formatColumns="0" formatRows="0" sort="0" autoFilter="0" pivotTables="0"/>
  <mergeCells count="2">
    <mergeCell ref="A1:C1"/>
    <mergeCell ref="A4:F4"/>
  </mergeCells>
  <hyperlinks>
    <hyperlink ref="A2" location="'Table of Contents'!A1" display="Back to Table of Contents"/>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I20"/>
  <sheetViews>
    <sheetView workbookViewId="0">
      <selection activeCell="F7" sqref="F7"/>
    </sheetView>
  </sheetViews>
  <sheetFormatPr defaultRowHeight="15" x14ac:dyDescent="0.25"/>
  <cols>
    <col min="1" max="1" width="13.140625" customWidth="1"/>
    <col min="2" max="2" width="14.140625" customWidth="1"/>
    <col min="3" max="3" width="15.140625" bestFit="1" customWidth="1"/>
    <col min="4" max="4" width="14" bestFit="1" customWidth="1"/>
    <col min="5" max="5" width="15" bestFit="1" customWidth="1"/>
    <col min="6" max="6" width="24.5703125" customWidth="1"/>
    <col min="7" max="7" width="25.7109375" customWidth="1"/>
    <col min="8" max="8" width="23.140625" customWidth="1"/>
    <col min="9" max="9" width="24.140625" customWidth="1"/>
  </cols>
  <sheetData>
    <row r="2" spans="1:9" x14ac:dyDescent="0.25">
      <c r="A2" s="565" t="s">
        <v>329</v>
      </c>
      <c r="B2" t="s">
        <v>851</v>
      </c>
    </row>
    <row r="4" spans="1:9" x14ac:dyDescent="0.25">
      <c r="A4" s="565" t="s">
        <v>246</v>
      </c>
      <c r="B4" t="s">
        <v>446</v>
      </c>
      <c r="C4" t="s">
        <v>447</v>
      </c>
      <c r="D4" t="s">
        <v>448</v>
      </c>
      <c r="E4" t="s">
        <v>449</v>
      </c>
      <c r="F4" t="s">
        <v>450</v>
      </c>
      <c r="G4" t="s">
        <v>452</v>
      </c>
      <c r="H4" t="s">
        <v>451</v>
      </c>
      <c r="I4" t="s">
        <v>453</v>
      </c>
    </row>
    <row r="5" spans="1:9" x14ac:dyDescent="0.25">
      <c r="A5" s="1068" t="s">
        <v>431</v>
      </c>
      <c r="B5" s="567">
        <v>294</v>
      </c>
      <c r="C5" s="567"/>
      <c r="D5" s="567">
        <v>4</v>
      </c>
      <c r="E5" s="567"/>
      <c r="F5" s="567"/>
      <c r="G5" s="567"/>
      <c r="H5" s="567"/>
      <c r="I5" s="567"/>
    </row>
    <row r="6" spans="1:9" x14ac:dyDescent="0.25">
      <c r="A6" s="1068" t="s">
        <v>432</v>
      </c>
      <c r="B6" s="567">
        <v>1451</v>
      </c>
      <c r="C6" s="567"/>
      <c r="D6" s="567">
        <v>35</v>
      </c>
      <c r="E6" s="567"/>
      <c r="F6" s="567"/>
      <c r="G6" s="567"/>
      <c r="H6" s="567"/>
      <c r="I6" s="567"/>
    </row>
    <row r="7" spans="1:9" x14ac:dyDescent="0.25">
      <c r="A7" s="1068" t="s">
        <v>433</v>
      </c>
      <c r="B7" s="567">
        <v>1738</v>
      </c>
      <c r="C7" s="567"/>
      <c r="D7" s="567">
        <v>213</v>
      </c>
      <c r="E7" s="567"/>
      <c r="F7" s="567">
        <v>1</v>
      </c>
      <c r="G7" s="567"/>
      <c r="H7" s="567">
        <v>5</v>
      </c>
      <c r="I7" s="567"/>
    </row>
    <row r="8" spans="1:9" x14ac:dyDescent="0.25">
      <c r="A8" s="1068" t="s">
        <v>434</v>
      </c>
      <c r="B8" s="567">
        <v>70</v>
      </c>
      <c r="C8" s="567"/>
      <c r="D8" s="567">
        <v>1</v>
      </c>
      <c r="E8" s="567"/>
      <c r="F8" s="567"/>
      <c r="G8" s="567"/>
      <c r="H8" s="567"/>
      <c r="I8" s="567"/>
    </row>
    <row r="9" spans="1:9" x14ac:dyDescent="0.25">
      <c r="A9" s="1068" t="s">
        <v>435</v>
      </c>
      <c r="B9" s="567">
        <v>1017</v>
      </c>
      <c r="C9" s="567"/>
      <c r="D9" s="567">
        <v>64</v>
      </c>
      <c r="E9" s="567"/>
      <c r="F9" s="567"/>
      <c r="G9" s="567"/>
      <c r="H9" s="567"/>
      <c r="I9" s="567"/>
    </row>
    <row r="10" spans="1:9" x14ac:dyDescent="0.25">
      <c r="A10" s="1068" t="s">
        <v>436</v>
      </c>
      <c r="B10" s="567">
        <v>458</v>
      </c>
      <c r="C10" s="567"/>
      <c r="D10" s="567">
        <v>12</v>
      </c>
      <c r="E10" s="567"/>
      <c r="F10" s="567"/>
      <c r="G10" s="567"/>
      <c r="H10" s="567">
        <v>2</v>
      </c>
      <c r="I10" s="567"/>
    </row>
    <row r="11" spans="1:9" x14ac:dyDescent="0.25">
      <c r="A11" s="1068" t="s">
        <v>437</v>
      </c>
      <c r="B11" s="567">
        <v>25</v>
      </c>
      <c r="C11" s="567"/>
      <c r="D11" s="567"/>
      <c r="E11" s="567"/>
      <c r="F11" s="567"/>
      <c r="G11" s="567"/>
      <c r="H11" s="567"/>
      <c r="I11" s="567"/>
    </row>
    <row r="12" spans="1:9" x14ac:dyDescent="0.25">
      <c r="A12" s="1068" t="s">
        <v>438</v>
      </c>
      <c r="B12" s="567">
        <v>38</v>
      </c>
      <c r="C12" s="567"/>
      <c r="D12" s="567">
        <v>1</v>
      </c>
      <c r="E12" s="567"/>
      <c r="F12" s="567"/>
      <c r="G12" s="567"/>
      <c r="H12" s="567"/>
      <c r="I12" s="567"/>
    </row>
    <row r="13" spans="1:9" x14ac:dyDescent="0.25">
      <c r="A13" s="1068" t="s">
        <v>439</v>
      </c>
      <c r="B13" s="567">
        <v>259</v>
      </c>
      <c r="C13" s="567"/>
      <c r="D13" s="567">
        <v>30</v>
      </c>
      <c r="E13" s="567"/>
      <c r="F13" s="567"/>
      <c r="G13" s="567"/>
      <c r="H13" s="567">
        <v>1</v>
      </c>
      <c r="I13" s="567"/>
    </row>
    <row r="14" spans="1:9" x14ac:dyDescent="0.25">
      <c r="A14" s="1068" t="s">
        <v>440</v>
      </c>
      <c r="B14" s="567">
        <v>266</v>
      </c>
      <c r="C14" s="567"/>
      <c r="D14" s="567">
        <v>5</v>
      </c>
      <c r="E14" s="567"/>
      <c r="F14" s="567"/>
      <c r="G14" s="567"/>
      <c r="H14" s="567"/>
      <c r="I14" s="567"/>
    </row>
    <row r="15" spans="1:9" x14ac:dyDescent="0.25">
      <c r="A15" s="1068" t="s">
        <v>441</v>
      </c>
      <c r="B15" s="567">
        <v>350</v>
      </c>
      <c r="C15" s="567"/>
      <c r="D15" s="567">
        <v>8</v>
      </c>
      <c r="E15" s="567"/>
      <c r="F15" s="567"/>
      <c r="G15" s="567"/>
      <c r="H15" s="567">
        <v>1</v>
      </c>
      <c r="I15" s="567"/>
    </row>
    <row r="16" spans="1:9" x14ac:dyDescent="0.25">
      <c r="A16" s="1068" t="s">
        <v>442</v>
      </c>
      <c r="B16" s="567">
        <v>275</v>
      </c>
      <c r="C16" s="567"/>
      <c r="D16" s="567">
        <v>4</v>
      </c>
      <c r="E16" s="567"/>
      <c r="F16" s="567"/>
      <c r="G16" s="567"/>
      <c r="H16" s="567">
        <v>2</v>
      </c>
      <c r="I16" s="567"/>
    </row>
    <row r="17" spans="1:9" x14ac:dyDescent="0.25">
      <c r="A17" s="1068" t="s">
        <v>443</v>
      </c>
      <c r="B17" s="567">
        <v>234</v>
      </c>
      <c r="C17" s="567"/>
      <c r="D17" s="567">
        <v>7</v>
      </c>
      <c r="E17" s="567"/>
      <c r="F17" s="567"/>
      <c r="G17" s="567"/>
      <c r="H17" s="567">
        <v>1</v>
      </c>
      <c r="I17" s="567"/>
    </row>
    <row r="18" spans="1:9" x14ac:dyDescent="0.25">
      <c r="A18" s="1068" t="s">
        <v>444</v>
      </c>
      <c r="B18" s="567">
        <v>283</v>
      </c>
      <c r="C18" s="567"/>
      <c r="D18" s="567">
        <v>2</v>
      </c>
      <c r="E18" s="567"/>
      <c r="F18" s="567"/>
      <c r="G18" s="567"/>
      <c r="H18" s="567"/>
      <c r="I18" s="567"/>
    </row>
    <row r="19" spans="1:9" x14ac:dyDescent="0.25">
      <c r="A19" s="1068" t="s">
        <v>445</v>
      </c>
      <c r="B19" s="567">
        <v>115</v>
      </c>
      <c r="C19" s="567"/>
      <c r="D19" s="567">
        <v>2</v>
      </c>
      <c r="E19" s="567"/>
      <c r="F19" s="567"/>
      <c r="G19" s="567"/>
      <c r="H19" s="567"/>
      <c r="I19" s="567"/>
    </row>
    <row r="20" spans="1:9" x14ac:dyDescent="0.25">
      <c r="A20" s="1068" t="s">
        <v>251</v>
      </c>
      <c r="B20" s="567">
        <v>6873</v>
      </c>
      <c r="C20" s="567"/>
      <c r="D20" s="567">
        <v>388</v>
      </c>
      <c r="E20" s="567"/>
      <c r="F20" s="567">
        <v>1</v>
      </c>
      <c r="G20" s="567"/>
      <c r="H20" s="567">
        <v>12</v>
      </c>
      <c r="I20" s="567"/>
    </row>
  </sheetData>
  <sheetProtection algorithmName="SHA-512" hashValue="fhYUGJLZRCW2SjIBTSMp1usJOpwqnxh5AZipIG/OvIQPLZeFEtcaFRTVk4gyvQ2bBCnhXxoi1xQ166enae72xQ==" saltValue="4IvgGeJIE1i68ohQvhQKSQ=="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tint="0.39997558519241921"/>
    <pageSetUpPr fitToPage="1"/>
  </sheetPr>
  <dimension ref="A1:O51"/>
  <sheetViews>
    <sheetView showGridLines="0" workbookViewId="0">
      <pane ySplit="2" topLeftCell="A3" activePane="bottomLeft" state="frozen"/>
      <selection pane="bottomLeft"/>
    </sheetView>
  </sheetViews>
  <sheetFormatPr defaultRowHeight="15" x14ac:dyDescent="0.25"/>
  <cols>
    <col min="1" max="1" width="16.5703125" customWidth="1"/>
    <col min="2" max="2" width="23.28515625" customWidth="1"/>
    <col min="3" max="3" width="11.5703125" customWidth="1"/>
    <col min="4" max="4" width="10.85546875" customWidth="1"/>
    <col min="5" max="6" width="11.5703125" customWidth="1"/>
    <col min="7" max="10" width="9.7109375" customWidth="1"/>
    <col min="11" max="11" width="10.28515625" customWidth="1"/>
    <col min="12" max="12" width="9.7109375" customWidth="1"/>
    <col min="13" max="13" width="11.28515625" bestFit="1" customWidth="1"/>
    <col min="14" max="14" width="14.28515625" customWidth="1"/>
    <col min="15" max="15" width="13.5703125" customWidth="1"/>
  </cols>
  <sheetData>
    <row r="1" spans="1:15" ht="15.75" x14ac:dyDescent="0.25">
      <c r="A1" s="802" t="s">
        <v>633</v>
      </c>
    </row>
    <row r="2" spans="1:15" x14ac:dyDescent="0.25">
      <c r="A2" s="772" t="s">
        <v>578</v>
      </c>
    </row>
    <row r="3" spans="1:15" x14ac:dyDescent="0.25">
      <c r="A3" s="31"/>
    </row>
    <row r="4" spans="1:15" ht="15.75" customHeight="1" x14ac:dyDescent="0.25">
      <c r="A4" s="850" t="s">
        <v>647</v>
      </c>
      <c r="B4" s="850"/>
      <c r="C4" s="850"/>
      <c r="D4" s="850"/>
      <c r="E4" s="850"/>
      <c r="F4" s="850"/>
      <c r="G4" s="850"/>
      <c r="H4" s="850"/>
      <c r="I4" s="850"/>
      <c r="J4" s="850"/>
      <c r="K4" s="850"/>
    </row>
    <row r="5" spans="1:15" ht="15.75" x14ac:dyDescent="0.25">
      <c r="A5" t="s">
        <v>363</v>
      </c>
      <c r="B5" t="s">
        <v>792</v>
      </c>
      <c r="C5" s="784"/>
      <c r="D5" s="784"/>
      <c r="E5" s="784"/>
      <c r="F5" s="784"/>
      <c r="G5" s="784"/>
      <c r="H5" s="784"/>
      <c r="I5" s="784"/>
      <c r="J5" s="784"/>
      <c r="K5" s="784"/>
    </row>
    <row r="6" spans="1:15" ht="15.75" x14ac:dyDescent="0.25">
      <c r="A6" t="s">
        <v>364</v>
      </c>
      <c r="B6" t="s">
        <v>366</v>
      </c>
      <c r="C6" s="784"/>
      <c r="D6" s="784"/>
      <c r="E6" s="784"/>
      <c r="F6" s="784"/>
      <c r="G6" s="784"/>
      <c r="H6" s="784"/>
      <c r="I6" s="784"/>
      <c r="J6" s="784"/>
      <c r="K6" s="784"/>
    </row>
    <row r="7" spans="1:15" ht="15.75" x14ac:dyDescent="0.25">
      <c r="A7" t="s">
        <v>365</v>
      </c>
      <c r="B7" t="s">
        <v>367</v>
      </c>
      <c r="C7" s="784"/>
      <c r="D7" s="784"/>
      <c r="E7" s="784"/>
      <c r="F7" s="784"/>
      <c r="G7" s="784"/>
      <c r="H7" s="784"/>
      <c r="I7" s="784"/>
      <c r="J7" s="784"/>
      <c r="K7" s="784"/>
    </row>
    <row r="8" spans="1:15" ht="15.75" x14ac:dyDescent="0.25">
      <c r="C8" s="1033"/>
      <c r="D8" s="1033"/>
      <c r="E8" s="1033"/>
      <c r="F8" s="1033"/>
      <c r="G8" s="1033"/>
      <c r="H8" s="1033"/>
      <c r="I8" s="1033"/>
      <c r="J8" s="1033"/>
      <c r="K8" s="1033"/>
    </row>
    <row r="9" spans="1:15" x14ac:dyDescent="0.25">
      <c r="A9" s="437" t="s">
        <v>1</v>
      </c>
    </row>
    <row r="10" spans="1:15" ht="30.75" customHeight="1" x14ac:dyDescent="0.25">
      <c r="A10" t="str">
        <f>'h22'!D1</f>
        <v>2019-20</v>
      </c>
      <c r="B10" s="13"/>
      <c r="C10" s="1134" t="s">
        <v>639</v>
      </c>
      <c r="D10" s="1134"/>
      <c r="E10" s="1134" t="s">
        <v>640</v>
      </c>
      <c r="F10" s="1134"/>
      <c r="G10" s="1134" t="s">
        <v>162</v>
      </c>
      <c r="H10" s="1134"/>
      <c r="I10" s="1134" t="s">
        <v>163</v>
      </c>
      <c r="J10" s="1134"/>
      <c r="K10" s="1134" t="s">
        <v>164</v>
      </c>
      <c r="L10" s="1134"/>
      <c r="M10" s="13"/>
      <c r="N10" s="13"/>
      <c r="O10" s="13"/>
    </row>
    <row r="11" spans="1:15" ht="39" x14ac:dyDescent="0.25">
      <c r="A11" s="853" t="s">
        <v>515</v>
      </c>
      <c r="B11" s="326" t="s">
        <v>120</v>
      </c>
      <c r="C11" s="356" t="s">
        <v>6</v>
      </c>
      <c r="D11" s="356" t="s">
        <v>166</v>
      </c>
      <c r="E11" s="356" t="s">
        <v>6</v>
      </c>
      <c r="F11" s="356" t="s">
        <v>166</v>
      </c>
      <c r="G11" s="357" t="s">
        <v>162</v>
      </c>
      <c r="H11" s="4" t="s">
        <v>171</v>
      </c>
      <c r="I11" s="356" t="s">
        <v>6</v>
      </c>
      <c r="J11" s="356" t="s">
        <v>166</v>
      </c>
      <c r="K11" s="356" t="s">
        <v>6</v>
      </c>
      <c r="L11" s="356" t="s">
        <v>166</v>
      </c>
      <c r="M11" s="904" t="s">
        <v>641</v>
      </c>
      <c r="N11" s="889" t="s">
        <v>639</v>
      </c>
      <c r="O11" s="905" t="s">
        <v>640</v>
      </c>
    </row>
    <row r="12" spans="1:15" ht="16.5" customHeight="1" x14ac:dyDescent="0.25">
      <c r="A12" s="568" t="s">
        <v>301</v>
      </c>
      <c r="B12" s="887" t="s">
        <v>31</v>
      </c>
      <c r="C12" s="391">
        <f>'h22'!B4</f>
        <v>422</v>
      </c>
      <c r="D12" s="391">
        <f>'h22'!C4</f>
        <v>0</v>
      </c>
      <c r="E12" s="391">
        <f>'h22'!D4</f>
        <v>11</v>
      </c>
      <c r="F12" s="391">
        <f>'h22'!E4</f>
        <v>0</v>
      </c>
      <c r="G12" s="392">
        <f>E12+C12</f>
        <v>433</v>
      </c>
      <c r="H12" s="392">
        <f>F12+D12</f>
        <v>0</v>
      </c>
      <c r="I12" s="358">
        <f>'h22'!F4</f>
        <v>0</v>
      </c>
      <c r="J12" s="358">
        <f>'h22'!G4</f>
        <v>0</v>
      </c>
      <c r="K12" s="358">
        <f>'h22'!H4</f>
        <v>2</v>
      </c>
      <c r="L12" s="358">
        <f>'h22'!I4</f>
        <v>0</v>
      </c>
      <c r="M12" s="906">
        <f>C12/G12</f>
        <v>0.97459584295612012</v>
      </c>
      <c r="N12" s="359" t="str">
        <f>IF($A$10="2019-20","",D12/C12)</f>
        <v/>
      </c>
      <c r="O12" s="359" t="str">
        <f>IF($A$10="2019-20","",F12/E12)</f>
        <v/>
      </c>
    </row>
    <row r="13" spans="1:15" x14ac:dyDescent="0.25">
      <c r="A13" s="568" t="s">
        <v>302</v>
      </c>
      <c r="B13" s="887" t="s">
        <v>32</v>
      </c>
      <c r="C13" s="393">
        <f>'h22'!B5</f>
        <v>345</v>
      </c>
      <c r="D13" s="393">
        <f>'h22'!C5</f>
        <v>0</v>
      </c>
      <c r="E13" s="393">
        <f>'h22'!D5</f>
        <v>6</v>
      </c>
      <c r="F13" s="393">
        <f>'h22'!E5</f>
        <v>0</v>
      </c>
      <c r="G13" s="394">
        <f t="shared" ref="G13:G43" si="0">E13+C13</f>
        <v>351</v>
      </c>
      <c r="H13" s="394">
        <f t="shared" ref="H13:H43" si="1">F13+D13</f>
        <v>0</v>
      </c>
      <c r="I13" s="118">
        <f>'h22'!F5</f>
        <v>0</v>
      </c>
      <c r="J13" s="118">
        <f>'h22'!G5</f>
        <v>0</v>
      </c>
      <c r="K13" s="118">
        <f>'h22'!H5</f>
        <v>0</v>
      </c>
      <c r="L13" s="118">
        <f>'h22'!I5</f>
        <v>0</v>
      </c>
      <c r="M13" s="907">
        <f t="shared" ref="M13:M43" si="2">C13/G13</f>
        <v>0.98290598290598286</v>
      </c>
      <c r="N13" s="119" t="str">
        <f t="shared" ref="N13:N44" si="3">IF($A$10="2019-20","",D13/C13)</f>
        <v/>
      </c>
      <c r="O13" s="119" t="str">
        <f t="shared" ref="O13:O44" si="4">IF($A$10="2019-20","",F13/E13)</f>
        <v/>
      </c>
    </row>
    <row r="14" spans="1:15" x14ac:dyDescent="0.25">
      <c r="A14" s="568" t="s">
        <v>308</v>
      </c>
      <c r="B14" s="887" t="s">
        <v>33</v>
      </c>
      <c r="C14" s="393">
        <f>'h22'!B6</f>
        <v>123</v>
      </c>
      <c r="D14" s="393">
        <f>'h22'!C6</f>
        <v>0</v>
      </c>
      <c r="E14" s="393">
        <f>'h22'!D6</f>
        <v>0</v>
      </c>
      <c r="F14" s="393">
        <f>'h22'!E6</f>
        <v>0</v>
      </c>
      <c r="G14" s="394">
        <f t="shared" si="0"/>
        <v>123</v>
      </c>
      <c r="H14" s="394">
        <f t="shared" si="1"/>
        <v>0</v>
      </c>
      <c r="I14" s="118">
        <f>'h22'!F6</f>
        <v>0</v>
      </c>
      <c r="J14" s="118">
        <f>'h22'!G6</f>
        <v>0</v>
      </c>
      <c r="K14" s="118">
        <f>'h22'!H6</f>
        <v>0</v>
      </c>
      <c r="L14" s="118">
        <f>'h22'!I6</f>
        <v>0</v>
      </c>
      <c r="M14" s="907">
        <f t="shared" si="2"/>
        <v>1</v>
      </c>
      <c r="N14" s="119" t="str">
        <f t="shared" si="3"/>
        <v/>
      </c>
      <c r="O14" s="119" t="str">
        <f t="shared" si="4"/>
        <v/>
      </c>
    </row>
    <row r="15" spans="1:15" x14ac:dyDescent="0.25">
      <c r="A15" s="568" t="s">
        <v>303</v>
      </c>
      <c r="B15" s="887" t="s">
        <v>34</v>
      </c>
      <c r="C15" s="393">
        <f>'h22'!B7</f>
        <v>275</v>
      </c>
      <c r="D15" s="393">
        <f>'h22'!C7</f>
        <v>0</v>
      </c>
      <c r="E15" s="393">
        <f>'h22'!D7</f>
        <v>7</v>
      </c>
      <c r="F15" s="393">
        <f>'h22'!E7</f>
        <v>0</v>
      </c>
      <c r="G15" s="394">
        <f t="shared" si="0"/>
        <v>282</v>
      </c>
      <c r="H15" s="394">
        <f t="shared" si="1"/>
        <v>0</v>
      </c>
      <c r="I15" s="118">
        <f>'h22'!F7</f>
        <v>0</v>
      </c>
      <c r="J15" s="118">
        <f>'h22'!G7</f>
        <v>0</v>
      </c>
      <c r="K15" s="118">
        <f>'h22'!H7</f>
        <v>0</v>
      </c>
      <c r="L15" s="118">
        <f>'h22'!I7</f>
        <v>0</v>
      </c>
      <c r="M15" s="907">
        <f t="shared" si="2"/>
        <v>0.97517730496453903</v>
      </c>
      <c r="N15" s="119" t="str">
        <f t="shared" si="3"/>
        <v/>
      </c>
      <c r="O15" s="119" t="str">
        <f t="shared" si="4"/>
        <v/>
      </c>
    </row>
    <row r="16" spans="1:15" x14ac:dyDescent="0.25">
      <c r="A16" s="568" t="s">
        <v>304</v>
      </c>
      <c r="B16" s="887" t="s">
        <v>258</v>
      </c>
      <c r="C16" s="393">
        <f>'h22'!B8</f>
        <v>631</v>
      </c>
      <c r="D16" s="393">
        <f>'h22'!C8</f>
        <v>0</v>
      </c>
      <c r="E16" s="393">
        <f>'h22'!D8</f>
        <v>17</v>
      </c>
      <c r="F16" s="393">
        <f>'h22'!E8</f>
        <v>0</v>
      </c>
      <c r="G16" s="394">
        <f t="shared" si="0"/>
        <v>648</v>
      </c>
      <c r="H16" s="394">
        <f t="shared" si="1"/>
        <v>0</v>
      </c>
      <c r="I16" s="118">
        <f>'h22'!F8</f>
        <v>0</v>
      </c>
      <c r="J16" s="118">
        <f>'h22'!G8</f>
        <v>0</v>
      </c>
      <c r="K16" s="118">
        <f>'h22'!H8</f>
        <v>1</v>
      </c>
      <c r="L16" s="118">
        <f>'h22'!I8</f>
        <v>0</v>
      </c>
      <c r="M16" s="907">
        <f t="shared" si="2"/>
        <v>0.97376543209876543</v>
      </c>
      <c r="N16" s="119" t="str">
        <f t="shared" si="3"/>
        <v/>
      </c>
      <c r="O16" s="119" t="str">
        <f t="shared" si="4"/>
        <v/>
      </c>
    </row>
    <row r="17" spans="1:15" x14ac:dyDescent="0.25">
      <c r="A17" s="568" t="s">
        <v>282</v>
      </c>
      <c r="B17" s="887" t="s">
        <v>35</v>
      </c>
      <c r="C17" s="393">
        <f>'h22'!B9</f>
        <v>49</v>
      </c>
      <c r="D17" s="393">
        <f>'h22'!C9</f>
        <v>0</v>
      </c>
      <c r="E17" s="393">
        <f>'h22'!D9</f>
        <v>0</v>
      </c>
      <c r="F17" s="393">
        <f>'h22'!E9</f>
        <v>0</v>
      </c>
      <c r="G17" s="394">
        <f t="shared" si="0"/>
        <v>49</v>
      </c>
      <c r="H17" s="394">
        <f t="shared" si="1"/>
        <v>0</v>
      </c>
      <c r="I17" s="118">
        <f>'h22'!F9</f>
        <v>0</v>
      </c>
      <c r="J17" s="118">
        <f>'h22'!G9</f>
        <v>0</v>
      </c>
      <c r="K17" s="118">
        <f>'h22'!H9</f>
        <v>0</v>
      </c>
      <c r="L17" s="118">
        <f>'h22'!I9</f>
        <v>0</v>
      </c>
      <c r="M17" s="907">
        <f t="shared" si="2"/>
        <v>1</v>
      </c>
      <c r="N17" s="119" t="str">
        <f t="shared" si="3"/>
        <v/>
      </c>
      <c r="O17" s="119" t="str">
        <f t="shared" si="4"/>
        <v/>
      </c>
    </row>
    <row r="18" spans="1:15" x14ac:dyDescent="0.25">
      <c r="A18" s="568" t="s">
        <v>283</v>
      </c>
      <c r="B18" s="887" t="s">
        <v>36</v>
      </c>
      <c r="C18" s="393">
        <f>'h22'!B10</f>
        <v>427</v>
      </c>
      <c r="D18" s="393">
        <f>'h22'!C10</f>
        <v>0</v>
      </c>
      <c r="E18" s="393">
        <f>'h22'!D10</f>
        <v>8</v>
      </c>
      <c r="F18" s="393">
        <f>'h22'!E10</f>
        <v>0</v>
      </c>
      <c r="G18" s="394">
        <f t="shared" si="0"/>
        <v>435</v>
      </c>
      <c r="H18" s="394">
        <f t="shared" si="1"/>
        <v>0</v>
      </c>
      <c r="I18" s="118">
        <f>'h22'!F10</f>
        <v>0</v>
      </c>
      <c r="J18" s="118">
        <f>'h22'!G10</f>
        <v>0</v>
      </c>
      <c r="K18" s="118">
        <f>'h22'!H10</f>
        <v>0</v>
      </c>
      <c r="L18" s="118">
        <f>'h22'!I10</f>
        <v>0</v>
      </c>
      <c r="M18" s="907">
        <f t="shared" si="2"/>
        <v>0.98160919540229885</v>
      </c>
      <c r="N18" s="119" t="str">
        <f t="shared" si="3"/>
        <v/>
      </c>
      <c r="O18" s="119" t="str">
        <f t="shared" si="4"/>
        <v/>
      </c>
    </row>
    <row r="19" spans="1:15" x14ac:dyDescent="0.25">
      <c r="A19" s="568" t="s">
        <v>309</v>
      </c>
      <c r="B19" s="887" t="s">
        <v>37</v>
      </c>
      <c r="C19" s="393">
        <f>'h22'!B11</f>
        <v>419</v>
      </c>
      <c r="D19" s="393">
        <f>'h22'!C11</f>
        <v>0</v>
      </c>
      <c r="E19" s="393">
        <f>'h22'!D11</f>
        <v>5</v>
      </c>
      <c r="F19" s="393">
        <f>'h22'!E11</f>
        <v>0</v>
      </c>
      <c r="G19" s="394">
        <f t="shared" si="0"/>
        <v>424</v>
      </c>
      <c r="H19" s="394">
        <f t="shared" si="1"/>
        <v>0</v>
      </c>
      <c r="I19" s="118">
        <f>'h22'!F11</f>
        <v>0</v>
      </c>
      <c r="J19" s="118">
        <f>'h22'!G11</f>
        <v>0</v>
      </c>
      <c r="K19" s="118">
        <f>'h22'!H11</f>
        <v>0</v>
      </c>
      <c r="L19" s="118">
        <f>'h22'!I11</f>
        <v>0</v>
      </c>
      <c r="M19" s="907">
        <f t="shared" si="2"/>
        <v>0.9882075471698113</v>
      </c>
      <c r="N19" s="119" t="str">
        <f t="shared" si="3"/>
        <v/>
      </c>
      <c r="O19" s="119" t="str">
        <f t="shared" si="4"/>
        <v/>
      </c>
    </row>
    <row r="20" spans="1:15" x14ac:dyDescent="0.25">
      <c r="A20" s="568" t="s">
        <v>284</v>
      </c>
      <c r="B20" s="887" t="s">
        <v>38</v>
      </c>
      <c r="C20" s="393">
        <f>'h22'!B12</f>
        <v>105</v>
      </c>
      <c r="D20" s="393">
        <f>'h22'!C12</f>
        <v>0</v>
      </c>
      <c r="E20" s="393">
        <f>'h22'!D12</f>
        <v>5</v>
      </c>
      <c r="F20" s="393">
        <f>'h22'!E12</f>
        <v>0</v>
      </c>
      <c r="G20" s="394">
        <f t="shared" si="0"/>
        <v>110</v>
      </c>
      <c r="H20" s="394">
        <f t="shared" si="1"/>
        <v>0</v>
      </c>
      <c r="I20" s="118">
        <f>'h22'!F12</f>
        <v>0</v>
      </c>
      <c r="J20" s="118">
        <f>'h22'!G12</f>
        <v>0</v>
      </c>
      <c r="K20" s="118">
        <f>'h22'!H12</f>
        <v>0</v>
      </c>
      <c r="L20" s="118">
        <f>'h22'!I12</f>
        <v>0</v>
      </c>
      <c r="M20" s="907">
        <f t="shared" si="2"/>
        <v>0.95454545454545459</v>
      </c>
      <c r="N20" s="119" t="str">
        <f t="shared" si="3"/>
        <v/>
      </c>
      <c r="O20" s="119" t="str">
        <f t="shared" si="4"/>
        <v/>
      </c>
    </row>
    <row r="21" spans="1:15" x14ac:dyDescent="0.25">
      <c r="A21" s="568" t="s">
        <v>311</v>
      </c>
      <c r="B21" s="887" t="s">
        <v>39</v>
      </c>
      <c r="C21" s="393">
        <f>'h22'!B13</f>
        <v>97</v>
      </c>
      <c r="D21" s="393">
        <f>'h22'!C13</f>
        <v>0</v>
      </c>
      <c r="E21" s="393">
        <f>'h22'!D13</f>
        <v>4</v>
      </c>
      <c r="F21" s="393">
        <f>'h22'!E13</f>
        <v>0</v>
      </c>
      <c r="G21" s="394">
        <f t="shared" si="0"/>
        <v>101</v>
      </c>
      <c r="H21" s="394">
        <f t="shared" si="1"/>
        <v>0</v>
      </c>
      <c r="I21" s="118">
        <f>'h22'!F13</f>
        <v>0</v>
      </c>
      <c r="J21" s="118">
        <f>'h22'!G13</f>
        <v>0</v>
      </c>
      <c r="K21" s="118">
        <f>'h22'!H13</f>
        <v>0</v>
      </c>
      <c r="L21" s="118">
        <f>'h22'!I13</f>
        <v>0</v>
      </c>
      <c r="M21" s="907">
        <f t="shared" si="2"/>
        <v>0.96039603960396036</v>
      </c>
      <c r="N21" s="119" t="str">
        <f t="shared" si="3"/>
        <v/>
      </c>
      <c r="O21" s="119" t="str">
        <f t="shared" si="4"/>
        <v/>
      </c>
    </row>
    <row r="22" spans="1:15" x14ac:dyDescent="0.25">
      <c r="A22" s="568" t="s">
        <v>285</v>
      </c>
      <c r="B22" s="887" t="s">
        <v>40</v>
      </c>
      <c r="C22" s="393">
        <f>'h22'!B14</f>
        <v>76</v>
      </c>
      <c r="D22" s="393">
        <f>'h22'!C14</f>
        <v>0</v>
      </c>
      <c r="E22" s="393">
        <f>'h22'!D14</f>
        <v>2</v>
      </c>
      <c r="F22" s="393">
        <f>'h22'!E14</f>
        <v>0</v>
      </c>
      <c r="G22" s="394">
        <f t="shared" si="0"/>
        <v>78</v>
      </c>
      <c r="H22" s="394">
        <f t="shared" si="1"/>
        <v>0</v>
      </c>
      <c r="I22" s="118">
        <f>'h22'!F14</f>
        <v>0</v>
      </c>
      <c r="J22" s="118">
        <f>'h22'!G14</f>
        <v>0</v>
      </c>
      <c r="K22" s="118">
        <f>'h22'!H14</f>
        <v>0</v>
      </c>
      <c r="L22" s="118">
        <f>'h22'!I14</f>
        <v>0</v>
      </c>
      <c r="M22" s="907">
        <f t="shared" si="2"/>
        <v>0.97435897435897434</v>
      </c>
      <c r="N22" s="119" t="str">
        <f t="shared" si="3"/>
        <v/>
      </c>
      <c r="O22" s="119" t="str">
        <f t="shared" si="4"/>
        <v/>
      </c>
    </row>
    <row r="23" spans="1:15" x14ac:dyDescent="0.25">
      <c r="A23" s="568" t="s">
        <v>286</v>
      </c>
      <c r="B23" s="887" t="s">
        <v>41</v>
      </c>
      <c r="C23" s="393">
        <f>'h22'!B15</f>
        <v>28</v>
      </c>
      <c r="D23" s="393">
        <f>'h22'!C15</f>
        <v>0</v>
      </c>
      <c r="E23" s="393">
        <f>'h22'!D15</f>
        <v>0</v>
      </c>
      <c r="F23" s="393">
        <f>'h22'!E15</f>
        <v>0</v>
      </c>
      <c r="G23" s="394">
        <f t="shared" si="0"/>
        <v>28</v>
      </c>
      <c r="H23" s="394">
        <f t="shared" si="1"/>
        <v>0</v>
      </c>
      <c r="I23" s="118">
        <f>'h22'!F15</f>
        <v>0</v>
      </c>
      <c r="J23" s="118">
        <f>'h22'!G15</f>
        <v>0</v>
      </c>
      <c r="K23" s="118">
        <f>'h22'!H15</f>
        <v>0</v>
      </c>
      <c r="L23" s="118">
        <f>'h22'!I15</f>
        <v>0</v>
      </c>
      <c r="M23" s="907">
        <f t="shared" si="2"/>
        <v>1</v>
      </c>
      <c r="N23" s="119" t="str">
        <f t="shared" si="3"/>
        <v/>
      </c>
      <c r="O23" s="119" t="str">
        <f t="shared" si="4"/>
        <v/>
      </c>
    </row>
    <row r="24" spans="1:15" x14ac:dyDescent="0.25">
      <c r="A24" s="568" t="s">
        <v>288</v>
      </c>
      <c r="B24" s="887" t="s">
        <v>42</v>
      </c>
      <c r="C24" s="393">
        <f>'h22'!B16</f>
        <v>144</v>
      </c>
      <c r="D24" s="393">
        <f>'h22'!C16</f>
        <v>0</v>
      </c>
      <c r="E24" s="393">
        <f>'h22'!D16</f>
        <v>6</v>
      </c>
      <c r="F24" s="393">
        <f>'h22'!E16</f>
        <v>0</v>
      </c>
      <c r="G24" s="394">
        <f t="shared" si="0"/>
        <v>150</v>
      </c>
      <c r="H24" s="394">
        <f t="shared" si="1"/>
        <v>0</v>
      </c>
      <c r="I24" s="118">
        <f>'h22'!F16</f>
        <v>0</v>
      </c>
      <c r="J24" s="118">
        <f>'h22'!G16</f>
        <v>0</v>
      </c>
      <c r="K24" s="118">
        <f>'h22'!H16</f>
        <v>0</v>
      </c>
      <c r="L24" s="118">
        <f>'h22'!I16</f>
        <v>0</v>
      </c>
      <c r="M24" s="907">
        <f t="shared" si="2"/>
        <v>0.96</v>
      </c>
      <c r="N24" s="119" t="str">
        <f t="shared" si="3"/>
        <v/>
      </c>
      <c r="O24" s="119" t="str">
        <f t="shared" si="4"/>
        <v/>
      </c>
    </row>
    <row r="25" spans="1:15" x14ac:dyDescent="0.25">
      <c r="A25" s="568" t="s">
        <v>430</v>
      </c>
      <c r="B25" s="887" t="s">
        <v>43</v>
      </c>
      <c r="C25" s="393">
        <f>'h22'!B17</f>
        <v>335</v>
      </c>
      <c r="D25" s="393">
        <f>'h22'!C17</f>
        <v>0</v>
      </c>
      <c r="E25" s="393">
        <f>'h22'!D17</f>
        <v>82</v>
      </c>
      <c r="F25" s="393">
        <f>'h22'!E17</f>
        <v>0</v>
      </c>
      <c r="G25" s="394">
        <f t="shared" si="0"/>
        <v>417</v>
      </c>
      <c r="H25" s="394">
        <f t="shared" si="1"/>
        <v>0</v>
      </c>
      <c r="I25" s="118">
        <f>'h22'!F17</f>
        <v>0</v>
      </c>
      <c r="J25" s="118">
        <f>'h22'!G17</f>
        <v>0</v>
      </c>
      <c r="K25" s="118">
        <f>'h22'!H17</f>
        <v>2</v>
      </c>
      <c r="L25" s="118">
        <f>'h22'!I17</f>
        <v>0</v>
      </c>
      <c r="M25" s="907">
        <f t="shared" si="2"/>
        <v>0.80335731414868106</v>
      </c>
      <c r="N25" s="119" t="str">
        <f t="shared" si="3"/>
        <v/>
      </c>
      <c r="O25" s="119" t="str">
        <f t="shared" si="4"/>
        <v/>
      </c>
    </row>
    <row r="26" spans="1:15" x14ac:dyDescent="0.25">
      <c r="A26" s="568" t="s">
        <v>312</v>
      </c>
      <c r="B26" s="887" t="s">
        <v>121</v>
      </c>
      <c r="C26" s="393">
        <f>'h22'!B18</f>
        <v>897</v>
      </c>
      <c r="D26" s="393">
        <f>'h22'!C18</f>
        <v>0</v>
      </c>
      <c r="E26" s="393">
        <f>'h22'!D18</f>
        <v>142</v>
      </c>
      <c r="F26" s="393">
        <f>'h22'!E18</f>
        <v>0</v>
      </c>
      <c r="G26" s="394">
        <f t="shared" si="0"/>
        <v>1039</v>
      </c>
      <c r="H26" s="394">
        <f t="shared" si="1"/>
        <v>0</v>
      </c>
      <c r="I26" s="118">
        <f>'h22'!F18</f>
        <v>0</v>
      </c>
      <c r="J26" s="118">
        <f>'h22'!G18</f>
        <v>0</v>
      </c>
      <c r="K26" s="118">
        <f>'h22'!H18</f>
        <v>3</v>
      </c>
      <c r="L26" s="118">
        <f>'h22'!I18</f>
        <v>0</v>
      </c>
      <c r="M26" s="907">
        <f t="shared" si="2"/>
        <v>0.86333012512030793</v>
      </c>
      <c r="N26" s="119" t="str">
        <f t="shared" si="3"/>
        <v/>
      </c>
      <c r="O26" s="119" t="str">
        <f t="shared" si="4"/>
        <v/>
      </c>
    </row>
    <row r="27" spans="1:15" x14ac:dyDescent="0.25">
      <c r="A27" s="568" t="s">
        <v>289</v>
      </c>
      <c r="B27" s="887" t="s">
        <v>44</v>
      </c>
      <c r="C27" s="393">
        <f>'h22'!B19</f>
        <v>463</v>
      </c>
      <c r="D27" s="393">
        <f>'h22'!C19</f>
        <v>0</v>
      </c>
      <c r="E27" s="393">
        <f>'h22'!D19</f>
        <v>30</v>
      </c>
      <c r="F27" s="393">
        <f>'h22'!E19</f>
        <v>0</v>
      </c>
      <c r="G27" s="394">
        <f t="shared" si="0"/>
        <v>493</v>
      </c>
      <c r="H27" s="394">
        <f t="shared" si="1"/>
        <v>0</v>
      </c>
      <c r="I27" s="118">
        <f>'h22'!F19</f>
        <v>0</v>
      </c>
      <c r="J27" s="118">
        <f>'h22'!G19</f>
        <v>0</v>
      </c>
      <c r="K27" s="118">
        <f>'h22'!H19</f>
        <v>3</v>
      </c>
      <c r="L27" s="118">
        <f>'h22'!I19</f>
        <v>0</v>
      </c>
      <c r="M27" s="907">
        <f t="shared" si="2"/>
        <v>0.9391480730223124</v>
      </c>
      <c r="N27" s="119" t="str">
        <f t="shared" si="3"/>
        <v/>
      </c>
      <c r="O27" s="119" t="str">
        <f t="shared" si="4"/>
        <v/>
      </c>
    </row>
    <row r="28" spans="1:15" x14ac:dyDescent="0.25">
      <c r="A28" s="568" t="s">
        <v>290</v>
      </c>
      <c r="B28" s="887" t="s">
        <v>45</v>
      </c>
      <c r="C28" s="393">
        <f>'h22'!B20</f>
        <v>51</v>
      </c>
      <c r="D28" s="393">
        <f>'h22'!C20</f>
        <v>0</v>
      </c>
      <c r="E28" s="393">
        <f>'h22'!D20</f>
        <v>3</v>
      </c>
      <c r="F28" s="393">
        <f>'h22'!E20</f>
        <v>0</v>
      </c>
      <c r="G28" s="394">
        <f t="shared" si="0"/>
        <v>54</v>
      </c>
      <c r="H28" s="394">
        <f t="shared" si="1"/>
        <v>0</v>
      </c>
      <c r="I28" s="118">
        <f>'h22'!F20</f>
        <v>0</v>
      </c>
      <c r="J28" s="118">
        <f>'h22'!G20</f>
        <v>0</v>
      </c>
      <c r="K28" s="118">
        <f>'h22'!H20</f>
        <v>0</v>
      </c>
      <c r="L28" s="118">
        <f>'h22'!I20</f>
        <v>0</v>
      </c>
      <c r="M28" s="907">
        <f t="shared" si="2"/>
        <v>0.94444444444444442</v>
      </c>
      <c r="N28" s="119" t="str">
        <f t="shared" si="3"/>
        <v/>
      </c>
      <c r="O28" s="119" t="str">
        <f t="shared" si="4"/>
        <v/>
      </c>
    </row>
    <row r="29" spans="1:15" x14ac:dyDescent="0.25">
      <c r="A29" s="568" t="s">
        <v>291</v>
      </c>
      <c r="B29" s="887" t="s">
        <v>46</v>
      </c>
      <c r="C29" s="393">
        <f>'h22'!B21</f>
        <v>64</v>
      </c>
      <c r="D29" s="393">
        <f>'h22'!C21</f>
        <v>0</v>
      </c>
      <c r="E29" s="393">
        <f>'h22'!D21</f>
        <v>6</v>
      </c>
      <c r="F29" s="393">
        <f>'h22'!E21</f>
        <v>0</v>
      </c>
      <c r="G29" s="394">
        <f t="shared" si="0"/>
        <v>70</v>
      </c>
      <c r="H29" s="394">
        <f t="shared" si="1"/>
        <v>0</v>
      </c>
      <c r="I29" s="118">
        <f>'h22'!F21</f>
        <v>0</v>
      </c>
      <c r="J29" s="118">
        <f>'h22'!G21</f>
        <v>0</v>
      </c>
      <c r="K29" s="118">
        <f>'h22'!H21</f>
        <v>0</v>
      </c>
      <c r="L29" s="118">
        <f>'h22'!I21</f>
        <v>0</v>
      </c>
      <c r="M29" s="907">
        <f t="shared" si="2"/>
        <v>0.91428571428571426</v>
      </c>
      <c r="N29" s="119" t="str">
        <f t="shared" si="3"/>
        <v/>
      </c>
      <c r="O29" s="119" t="str">
        <f t="shared" si="4"/>
        <v/>
      </c>
    </row>
    <row r="30" spans="1:15" x14ac:dyDescent="0.25">
      <c r="A30" s="568" t="s">
        <v>292</v>
      </c>
      <c r="B30" s="887" t="s">
        <v>47</v>
      </c>
      <c r="C30" s="393">
        <f>'h22'!B22</f>
        <v>91</v>
      </c>
      <c r="D30" s="393">
        <f>'h22'!C22</f>
        <v>0</v>
      </c>
      <c r="E30" s="393">
        <f>'h22'!D22</f>
        <v>9</v>
      </c>
      <c r="F30" s="393">
        <f>'h22'!E22</f>
        <v>0</v>
      </c>
      <c r="G30" s="394">
        <f t="shared" si="0"/>
        <v>100</v>
      </c>
      <c r="H30" s="394">
        <f t="shared" si="1"/>
        <v>0</v>
      </c>
      <c r="I30" s="118">
        <f>'h22'!F22</f>
        <v>0</v>
      </c>
      <c r="J30" s="118">
        <f>'h22'!G22</f>
        <v>0</v>
      </c>
      <c r="K30" s="118">
        <f>'h22'!H22</f>
        <v>1</v>
      </c>
      <c r="L30" s="118">
        <f>'h22'!I22</f>
        <v>0</v>
      </c>
      <c r="M30" s="907">
        <f t="shared" si="2"/>
        <v>0.91</v>
      </c>
      <c r="N30" s="119" t="str">
        <f t="shared" si="3"/>
        <v/>
      </c>
      <c r="O30" s="119" t="str">
        <f t="shared" si="4"/>
        <v/>
      </c>
    </row>
    <row r="31" spans="1:15" x14ac:dyDescent="0.25">
      <c r="A31" s="568" t="s">
        <v>287</v>
      </c>
      <c r="B31" s="887" t="s">
        <v>48</v>
      </c>
      <c r="C31" s="393">
        <f>'h22'!B23</f>
        <v>0</v>
      </c>
      <c r="D31" s="393">
        <f>'h22'!C23</f>
        <v>0</v>
      </c>
      <c r="E31" s="393">
        <f>'h22'!D23</f>
        <v>0</v>
      </c>
      <c r="F31" s="393">
        <f>'h22'!E23</f>
        <v>0</v>
      </c>
      <c r="G31" s="394">
        <f t="shared" si="0"/>
        <v>0</v>
      </c>
      <c r="H31" s="394">
        <f t="shared" si="1"/>
        <v>0</v>
      </c>
      <c r="I31" s="118">
        <f>'h22'!F23</f>
        <v>0</v>
      </c>
      <c r="J31" s="118">
        <f>'h22'!G23</f>
        <v>0</v>
      </c>
      <c r="K31" s="118">
        <f>'h22'!H23</f>
        <v>0</v>
      </c>
      <c r="L31" s="118">
        <f>'h22'!I23</f>
        <v>0</v>
      </c>
      <c r="M31" s="907" t="e">
        <f t="shared" si="2"/>
        <v>#DIV/0!</v>
      </c>
      <c r="N31" s="119" t="str">
        <f t="shared" si="3"/>
        <v/>
      </c>
      <c r="O31" s="119" t="str">
        <f t="shared" si="4"/>
        <v/>
      </c>
    </row>
    <row r="32" spans="1:15" x14ac:dyDescent="0.25">
      <c r="A32" s="568" t="s">
        <v>293</v>
      </c>
      <c r="B32" s="887" t="s">
        <v>49</v>
      </c>
      <c r="C32" s="393">
        <f>'h22'!B24</f>
        <v>145</v>
      </c>
      <c r="D32" s="393">
        <f>'h22'!C24</f>
        <v>0</v>
      </c>
      <c r="E32" s="393">
        <f>'h22'!D24</f>
        <v>3</v>
      </c>
      <c r="F32" s="393">
        <f>'h22'!E24</f>
        <v>0</v>
      </c>
      <c r="G32" s="394">
        <f t="shared" si="0"/>
        <v>148</v>
      </c>
      <c r="H32" s="394">
        <f t="shared" si="1"/>
        <v>0</v>
      </c>
      <c r="I32" s="118">
        <f>'h22'!F24</f>
        <v>0</v>
      </c>
      <c r="J32" s="118">
        <f>'h22'!G24</f>
        <v>0</v>
      </c>
      <c r="K32" s="118">
        <f>'h22'!H24</f>
        <v>0</v>
      </c>
      <c r="L32" s="118">
        <f>'h22'!I24</f>
        <v>0</v>
      </c>
      <c r="M32" s="907">
        <f t="shared" si="2"/>
        <v>0.97972972972972971</v>
      </c>
      <c r="N32" s="119" t="str">
        <f t="shared" si="3"/>
        <v/>
      </c>
      <c r="O32" s="119" t="str">
        <f t="shared" si="4"/>
        <v/>
      </c>
    </row>
    <row r="33" spans="1:15" x14ac:dyDescent="0.25">
      <c r="A33" s="568" t="s">
        <v>310</v>
      </c>
      <c r="B33" s="887" t="s">
        <v>50</v>
      </c>
      <c r="C33" s="393">
        <f>'h22'!B25</f>
        <v>299</v>
      </c>
      <c r="D33" s="393">
        <f>'h22'!C25</f>
        <v>0</v>
      </c>
      <c r="E33" s="393">
        <f>'h22'!D25</f>
        <v>7</v>
      </c>
      <c r="F33" s="393">
        <f>'h22'!E25</f>
        <v>0</v>
      </c>
      <c r="G33" s="394">
        <f t="shared" si="0"/>
        <v>306</v>
      </c>
      <c r="H33" s="394">
        <f t="shared" si="1"/>
        <v>0</v>
      </c>
      <c r="I33" s="118">
        <f>'h22'!F25</f>
        <v>0</v>
      </c>
      <c r="J33" s="118">
        <f>'h22'!G25</f>
        <v>0</v>
      </c>
      <c r="K33" s="118">
        <f>'h22'!H25</f>
        <v>0</v>
      </c>
      <c r="L33" s="118">
        <f>'h22'!I25</f>
        <v>0</v>
      </c>
      <c r="M33" s="907">
        <f t="shared" si="2"/>
        <v>0.97712418300653592</v>
      </c>
      <c r="N33" s="119" t="str">
        <f t="shared" si="3"/>
        <v/>
      </c>
      <c r="O33" s="119" t="str">
        <f t="shared" si="4"/>
        <v/>
      </c>
    </row>
    <row r="34" spans="1:15" x14ac:dyDescent="0.25">
      <c r="A34" s="568" t="s">
        <v>294</v>
      </c>
      <c r="B34" s="887" t="s">
        <v>51</v>
      </c>
      <c r="C34" s="393">
        <f>'h22'!B26</f>
        <v>23</v>
      </c>
      <c r="D34" s="393">
        <f>'h22'!C26</f>
        <v>0</v>
      </c>
      <c r="E34" s="393">
        <f>'h22'!D26</f>
        <v>0</v>
      </c>
      <c r="F34" s="393">
        <f>'h22'!E26</f>
        <v>0</v>
      </c>
      <c r="G34" s="394">
        <f t="shared" si="0"/>
        <v>23</v>
      </c>
      <c r="H34" s="394">
        <f t="shared" si="1"/>
        <v>0</v>
      </c>
      <c r="I34" s="118">
        <f>'h22'!F26</f>
        <v>0</v>
      </c>
      <c r="J34" s="118">
        <f>'h22'!G26</f>
        <v>0</v>
      </c>
      <c r="K34" s="118">
        <f>'h22'!H26</f>
        <v>0</v>
      </c>
      <c r="L34" s="118">
        <f>'h22'!I26</f>
        <v>0</v>
      </c>
      <c r="M34" s="907">
        <f t="shared" si="2"/>
        <v>1</v>
      </c>
      <c r="N34" s="119" t="str">
        <f t="shared" si="3"/>
        <v/>
      </c>
      <c r="O34" s="119" t="str">
        <f t="shared" si="4"/>
        <v/>
      </c>
    </row>
    <row r="35" spans="1:15" x14ac:dyDescent="0.25">
      <c r="A35" s="568" t="s">
        <v>295</v>
      </c>
      <c r="B35" s="887" t="s">
        <v>52</v>
      </c>
      <c r="C35" s="393">
        <f>'h22'!B27</f>
        <v>247</v>
      </c>
      <c r="D35" s="393">
        <f>'h22'!C27</f>
        <v>0</v>
      </c>
      <c r="E35" s="393">
        <f>'h22'!D27</f>
        <v>1</v>
      </c>
      <c r="F35" s="393">
        <f>'h22'!E27</f>
        <v>0</v>
      </c>
      <c r="G35" s="394">
        <f t="shared" si="0"/>
        <v>248</v>
      </c>
      <c r="H35" s="394">
        <f t="shared" si="1"/>
        <v>0</v>
      </c>
      <c r="I35" s="118">
        <f>'h22'!F27</f>
        <v>0</v>
      </c>
      <c r="J35" s="118">
        <f>'h22'!G27</f>
        <v>0</v>
      </c>
      <c r="K35" s="118">
        <f>'h22'!H27</f>
        <v>0</v>
      </c>
      <c r="L35" s="118">
        <f>'h22'!I27</f>
        <v>0</v>
      </c>
      <c r="M35" s="907">
        <f t="shared" si="2"/>
        <v>0.99596774193548387</v>
      </c>
      <c r="N35" s="119" t="str">
        <f t="shared" si="3"/>
        <v/>
      </c>
      <c r="O35" s="119" t="str">
        <f t="shared" si="4"/>
        <v/>
      </c>
    </row>
    <row r="36" spans="1:15" x14ac:dyDescent="0.25">
      <c r="A36" s="568" t="s">
        <v>305</v>
      </c>
      <c r="B36" s="887" t="s">
        <v>53</v>
      </c>
      <c r="C36" s="393">
        <f>'h22'!B28</f>
        <v>140</v>
      </c>
      <c r="D36" s="393">
        <f>'h22'!C28</f>
        <v>0</v>
      </c>
      <c r="E36" s="393">
        <f>'h22'!D28</f>
        <v>9</v>
      </c>
      <c r="F36" s="393">
        <f>'h22'!E28</f>
        <v>0</v>
      </c>
      <c r="G36" s="394">
        <f t="shared" si="0"/>
        <v>149</v>
      </c>
      <c r="H36" s="394">
        <f t="shared" si="1"/>
        <v>0</v>
      </c>
      <c r="I36" s="118">
        <f>'h22'!F28</f>
        <v>0</v>
      </c>
      <c r="J36" s="118">
        <f>'h22'!G28</f>
        <v>0</v>
      </c>
      <c r="K36" s="118">
        <f>'h22'!H28</f>
        <v>0</v>
      </c>
      <c r="L36" s="118">
        <f>'h22'!I28</f>
        <v>0</v>
      </c>
      <c r="M36" s="907">
        <f t="shared" si="2"/>
        <v>0.93959731543624159</v>
      </c>
      <c r="N36" s="119" t="str">
        <f t="shared" si="3"/>
        <v/>
      </c>
      <c r="O36" s="119" t="str">
        <f t="shared" si="4"/>
        <v/>
      </c>
    </row>
    <row r="37" spans="1:15" x14ac:dyDescent="0.25">
      <c r="A37" s="568" t="s">
        <v>296</v>
      </c>
      <c r="B37" s="887" t="s">
        <v>54</v>
      </c>
      <c r="C37" s="393">
        <f>'h22'!B29</f>
        <v>99</v>
      </c>
      <c r="D37" s="393">
        <f>'h22'!C29</f>
        <v>0</v>
      </c>
      <c r="E37" s="393">
        <f>'h22'!D29</f>
        <v>5</v>
      </c>
      <c r="F37" s="393">
        <f>'h22'!E29</f>
        <v>0</v>
      </c>
      <c r="G37" s="394">
        <f t="shared" si="0"/>
        <v>104</v>
      </c>
      <c r="H37" s="394">
        <f t="shared" si="1"/>
        <v>0</v>
      </c>
      <c r="I37" s="118">
        <f>'h22'!F29</f>
        <v>0</v>
      </c>
      <c r="J37" s="118">
        <f>'h22'!G29</f>
        <v>0</v>
      </c>
      <c r="K37" s="118">
        <f>'h22'!H29</f>
        <v>0</v>
      </c>
      <c r="L37" s="118">
        <f>'h22'!I29</f>
        <v>0</v>
      </c>
      <c r="M37" s="907">
        <f t="shared" si="2"/>
        <v>0.95192307692307687</v>
      </c>
      <c r="N37" s="119" t="str">
        <f t="shared" si="3"/>
        <v/>
      </c>
      <c r="O37" s="119" t="str">
        <f t="shared" si="4"/>
        <v/>
      </c>
    </row>
    <row r="38" spans="1:15" x14ac:dyDescent="0.25">
      <c r="A38" s="568" t="s">
        <v>297</v>
      </c>
      <c r="B38" s="887" t="s">
        <v>55</v>
      </c>
      <c r="C38" s="393">
        <f>'h22'!B30</f>
        <v>11</v>
      </c>
      <c r="D38" s="393">
        <f>'h22'!C30</f>
        <v>0</v>
      </c>
      <c r="E38" s="393">
        <f>'h22'!D30</f>
        <v>0</v>
      </c>
      <c r="F38" s="393">
        <f>'h22'!E30</f>
        <v>0</v>
      </c>
      <c r="G38" s="394">
        <f t="shared" si="0"/>
        <v>11</v>
      </c>
      <c r="H38" s="394">
        <f t="shared" si="1"/>
        <v>0</v>
      </c>
      <c r="I38" s="118">
        <f>'h22'!F30</f>
        <v>0</v>
      </c>
      <c r="J38" s="118">
        <f>'h22'!G30</f>
        <v>0</v>
      </c>
      <c r="K38" s="118">
        <f>'h22'!H30</f>
        <v>0</v>
      </c>
      <c r="L38" s="118">
        <f>'h22'!I30</f>
        <v>0</v>
      </c>
      <c r="M38" s="907">
        <f t="shared" si="2"/>
        <v>1</v>
      </c>
      <c r="N38" s="119" t="str">
        <f t="shared" si="3"/>
        <v/>
      </c>
      <c r="O38" s="119" t="str">
        <f t="shared" si="4"/>
        <v/>
      </c>
    </row>
    <row r="39" spans="1:15" x14ac:dyDescent="0.25">
      <c r="A39" s="568" t="s">
        <v>298</v>
      </c>
      <c r="B39" s="887" t="s">
        <v>56</v>
      </c>
      <c r="C39" s="393">
        <f>'h22'!B31</f>
        <v>220</v>
      </c>
      <c r="D39" s="393">
        <f>'h22'!C31</f>
        <v>0</v>
      </c>
      <c r="E39" s="393">
        <f>'h22'!D31</f>
        <v>5</v>
      </c>
      <c r="F39" s="393">
        <f>'h22'!E31</f>
        <v>0</v>
      </c>
      <c r="G39" s="394">
        <f t="shared" si="0"/>
        <v>225</v>
      </c>
      <c r="H39" s="394">
        <f t="shared" si="1"/>
        <v>0</v>
      </c>
      <c r="I39" s="118">
        <f>'h22'!F31</f>
        <v>0</v>
      </c>
      <c r="J39" s="118">
        <f>'h22'!G31</f>
        <v>0</v>
      </c>
      <c r="K39" s="118">
        <f>'h22'!H31</f>
        <v>0</v>
      </c>
      <c r="L39" s="118">
        <f>'h22'!I31</f>
        <v>0</v>
      </c>
      <c r="M39" s="907">
        <f t="shared" si="2"/>
        <v>0.97777777777777775</v>
      </c>
      <c r="N39" s="119" t="str">
        <f t="shared" si="3"/>
        <v/>
      </c>
      <c r="O39" s="119" t="str">
        <f t="shared" si="4"/>
        <v/>
      </c>
    </row>
    <row r="40" spans="1:15" x14ac:dyDescent="0.25">
      <c r="A40" s="568" t="s">
        <v>299</v>
      </c>
      <c r="B40" s="887" t="s">
        <v>57</v>
      </c>
      <c r="C40" s="393">
        <f>'h22'!B32</f>
        <v>154</v>
      </c>
      <c r="D40" s="393">
        <f>'h22'!C32</f>
        <v>0</v>
      </c>
      <c r="E40" s="393">
        <f>'h22'!D32</f>
        <v>5</v>
      </c>
      <c r="F40" s="393">
        <f>'h22'!E32</f>
        <v>0</v>
      </c>
      <c r="G40" s="394">
        <f t="shared" si="0"/>
        <v>159</v>
      </c>
      <c r="H40" s="394">
        <f t="shared" si="1"/>
        <v>0</v>
      </c>
      <c r="I40" s="118">
        <f>'h22'!F32</f>
        <v>0</v>
      </c>
      <c r="J40" s="118">
        <f>'h22'!G32</f>
        <v>0</v>
      </c>
      <c r="K40" s="118">
        <f>'h22'!H32</f>
        <v>0</v>
      </c>
      <c r="L40" s="118">
        <f>'h22'!I32</f>
        <v>0</v>
      </c>
      <c r="M40" s="907">
        <f t="shared" si="2"/>
        <v>0.96855345911949686</v>
      </c>
      <c r="N40" s="119" t="str">
        <f t="shared" si="3"/>
        <v/>
      </c>
      <c r="O40" s="119" t="str">
        <f t="shared" si="4"/>
        <v/>
      </c>
    </row>
    <row r="41" spans="1:15" x14ac:dyDescent="0.25">
      <c r="A41" s="568" t="s">
        <v>300</v>
      </c>
      <c r="B41" s="887" t="s">
        <v>58</v>
      </c>
      <c r="C41" s="393">
        <f>'h22'!B33</f>
        <v>195</v>
      </c>
      <c r="D41" s="393">
        <f>'h22'!C33</f>
        <v>0</v>
      </c>
      <c r="E41" s="393">
        <f>'h22'!D33</f>
        <v>6</v>
      </c>
      <c r="F41" s="393">
        <f>'h22'!E33</f>
        <v>0</v>
      </c>
      <c r="G41" s="394">
        <f t="shared" si="0"/>
        <v>201</v>
      </c>
      <c r="H41" s="394">
        <f t="shared" si="1"/>
        <v>0</v>
      </c>
      <c r="I41" s="118">
        <f>'h22'!F33</f>
        <v>0</v>
      </c>
      <c r="J41" s="118">
        <f>'h22'!G33</f>
        <v>0</v>
      </c>
      <c r="K41" s="118">
        <f>'h22'!H33</f>
        <v>0</v>
      </c>
      <c r="L41" s="118">
        <f>'h22'!I33</f>
        <v>0</v>
      </c>
      <c r="M41" s="907">
        <f t="shared" si="2"/>
        <v>0.97014925373134331</v>
      </c>
      <c r="N41" s="119" t="str">
        <f t="shared" si="3"/>
        <v/>
      </c>
      <c r="O41" s="119" t="str">
        <f t="shared" si="4"/>
        <v/>
      </c>
    </row>
    <row r="42" spans="1:15" x14ac:dyDescent="0.25">
      <c r="A42" s="568" t="s">
        <v>306</v>
      </c>
      <c r="B42" s="887" t="s">
        <v>59</v>
      </c>
      <c r="C42" s="393">
        <f>'h22'!B34</f>
        <v>125</v>
      </c>
      <c r="D42" s="393">
        <f>'h22'!C34</f>
        <v>0</v>
      </c>
      <c r="E42" s="393">
        <f>'h22'!D34</f>
        <v>3</v>
      </c>
      <c r="F42" s="393">
        <f>'h22'!E34</f>
        <v>0</v>
      </c>
      <c r="G42" s="394">
        <f t="shared" si="0"/>
        <v>128</v>
      </c>
      <c r="H42" s="394">
        <f t="shared" si="1"/>
        <v>0</v>
      </c>
      <c r="I42" s="118">
        <f>'h22'!F34</f>
        <v>0</v>
      </c>
      <c r="J42" s="118">
        <f>'h22'!G34</f>
        <v>0</v>
      </c>
      <c r="K42" s="118">
        <f>'h22'!H34</f>
        <v>0</v>
      </c>
      <c r="L42" s="118">
        <f>'h22'!I34</f>
        <v>0</v>
      </c>
      <c r="M42" s="907">
        <f t="shared" si="2"/>
        <v>0.9765625</v>
      </c>
      <c r="N42" s="119" t="str">
        <f t="shared" si="3"/>
        <v/>
      </c>
      <c r="O42" s="119" t="str">
        <f t="shared" si="4"/>
        <v/>
      </c>
    </row>
    <row r="43" spans="1:15" x14ac:dyDescent="0.25">
      <c r="A43" s="568" t="s">
        <v>307</v>
      </c>
      <c r="B43" s="887" t="s">
        <v>60</v>
      </c>
      <c r="C43" s="393">
        <f>'h22'!B35</f>
        <v>173</v>
      </c>
      <c r="D43" s="393">
        <f>'h22'!C35</f>
        <v>0</v>
      </c>
      <c r="E43" s="393">
        <f>'h22'!D35</f>
        <v>1</v>
      </c>
      <c r="F43" s="393">
        <f>'h22'!E35</f>
        <v>0</v>
      </c>
      <c r="G43" s="394">
        <f t="shared" si="0"/>
        <v>174</v>
      </c>
      <c r="H43" s="394">
        <f t="shared" si="1"/>
        <v>0</v>
      </c>
      <c r="I43" s="118">
        <f>'h22'!F35</f>
        <v>1</v>
      </c>
      <c r="J43" s="118">
        <f>'h22'!G35</f>
        <v>0</v>
      </c>
      <c r="K43" s="118">
        <f>'h22'!H35</f>
        <v>0</v>
      </c>
      <c r="L43" s="118">
        <f>'h22'!I35</f>
        <v>0</v>
      </c>
      <c r="M43" s="907">
        <f t="shared" si="2"/>
        <v>0.99425287356321834</v>
      </c>
      <c r="N43" s="119" t="str">
        <f t="shared" si="3"/>
        <v/>
      </c>
      <c r="O43" s="119" t="str">
        <f t="shared" si="4"/>
        <v/>
      </c>
    </row>
    <row r="44" spans="1:15" ht="24" customHeight="1" thickBot="1" x14ac:dyDescent="0.3">
      <c r="A44" s="360"/>
      <c r="B44" s="360" t="s">
        <v>810</v>
      </c>
      <c r="C44" s="395">
        <f>SUM(C12:C43)</f>
        <v>6873</v>
      </c>
      <c r="D44" s="395">
        <f>SUM(D12:D43)</f>
        <v>0</v>
      </c>
      <c r="E44" s="395">
        <f t="shared" ref="E44:F44" si="5">SUM(E12:E43)</f>
        <v>388</v>
      </c>
      <c r="F44" s="395">
        <f t="shared" si="5"/>
        <v>0</v>
      </c>
      <c r="G44" s="395">
        <f t="shared" ref="G44:L44" si="6">SUM(G12:G43)</f>
        <v>7261</v>
      </c>
      <c r="H44" s="395">
        <f t="shared" si="6"/>
        <v>0</v>
      </c>
      <c r="I44" s="472">
        <f t="shared" si="6"/>
        <v>1</v>
      </c>
      <c r="J44" s="472">
        <f t="shared" si="6"/>
        <v>0</v>
      </c>
      <c r="K44" s="472">
        <f t="shared" si="6"/>
        <v>12</v>
      </c>
      <c r="L44" s="472">
        <f t="shared" si="6"/>
        <v>0</v>
      </c>
      <c r="M44" s="908">
        <f>C44/G44</f>
        <v>0.94656383418261947</v>
      </c>
      <c r="N44" s="361" t="str">
        <f t="shared" si="3"/>
        <v/>
      </c>
      <c r="O44" s="361" t="str">
        <f t="shared" si="4"/>
        <v/>
      </c>
    </row>
    <row r="45" spans="1:15" x14ac:dyDescent="0.25">
      <c r="B45" s="362"/>
      <c r="C45" s="396"/>
      <c r="D45" s="396"/>
      <c r="E45" s="396"/>
      <c r="F45" s="396"/>
      <c r="G45" s="394"/>
      <c r="H45" s="394"/>
      <c r="I45" s="362"/>
      <c r="J45" s="124"/>
      <c r="K45" s="362"/>
      <c r="L45" s="362"/>
      <c r="M45" s="397"/>
      <c r="N45" s="363"/>
      <c r="O45" s="363"/>
    </row>
    <row r="46" spans="1:15" x14ac:dyDescent="0.25">
      <c r="A46" s="493" t="s">
        <v>8</v>
      </c>
      <c r="B46" s="496"/>
      <c r="C46" s="496"/>
      <c r="D46" s="496"/>
      <c r="E46" s="496"/>
      <c r="F46" s="496"/>
      <c r="G46" s="496"/>
      <c r="H46" s="496"/>
      <c r="I46" s="496"/>
      <c r="J46" s="496"/>
      <c r="K46" s="496"/>
      <c r="L46" s="496"/>
      <c r="M46" s="496"/>
      <c r="N46" s="496"/>
    </row>
    <row r="47" spans="1:15" x14ac:dyDescent="0.25">
      <c r="A47" s="495" t="s">
        <v>1007</v>
      </c>
      <c r="B47" s="496"/>
      <c r="C47" s="496"/>
      <c r="D47" s="496"/>
      <c r="E47" s="496"/>
      <c r="F47" s="496"/>
      <c r="G47" s="496"/>
      <c r="H47" s="496"/>
      <c r="I47" s="496"/>
      <c r="J47" s="496"/>
      <c r="K47" s="496"/>
      <c r="L47" s="496"/>
      <c r="M47" s="496"/>
      <c r="N47" s="496"/>
    </row>
    <row r="48" spans="1:15" ht="15" customHeight="1" x14ac:dyDescent="0.25">
      <c r="A48" s="675" t="s">
        <v>227</v>
      </c>
      <c r="B48" s="675"/>
      <c r="C48" s="675"/>
      <c r="D48" s="675"/>
      <c r="E48" s="675"/>
      <c r="F48" s="675"/>
      <c r="G48" s="675"/>
      <c r="H48" s="675"/>
      <c r="I48" s="675"/>
      <c r="J48" s="675"/>
      <c r="K48" s="675"/>
      <c r="L48" s="675"/>
      <c r="M48" s="675"/>
      <c r="N48" s="675"/>
    </row>
    <row r="49" spans="1:15" ht="30.75" customHeight="1" x14ac:dyDescent="0.25">
      <c r="A49" s="1096" t="s">
        <v>843</v>
      </c>
      <c r="B49" s="1096"/>
      <c r="C49" s="1096"/>
      <c r="D49" s="1096"/>
      <c r="E49" s="1096"/>
      <c r="F49" s="1096"/>
      <c r="G49" s="1096"/>
      <c r="H49" s="1096"/>
      <c r="I49" s="1096"/>
      <c r="J49" s="1096"/>
      <c r="K49" s="1096"/>
      <c r="L49" s="1096"/>
      <c r="M49" s="1096"/>
      <c r="N49" s="1096"/>
      <c r="O49" s="1096"/>
    </row>
    <row r="50" spans="1:15" x14ac:dyDescent="0.25">
      <c r="A50" s="496" t="s">
        <v>844</v>
      </c>
      <c r="B50" s="677"/>
      <c r="C50" s="677"/>
      <c r="D50" s="677"/>
      <c r="E50" s="677"/>
      <c r="F50" s="677"/>
      <c r="G50" s="677"/>
      <c r="H50" s="677"/>
      <c r="I50" s="677"/>
      <c r="J50" s="677"/>
      <c r="K50" s="677"/>
      <c r="L50" s="677"/>
      <c r="M50" s="677"/>
      <c r="N50" s="677"/>
    </row>
    <row r="51" spans="1:15" x14ac:dyDescent="0.25">
      <c r="B51" s="483"/>
      <c r="C51" s="483"/>
      <c r="D51" s="483"/>
      <c r="E51" s="483"/>
      <c r="F51" s="483"/>
      <c r="G51" s="483"/>
      <c r="H51" s="483"/>
      <c r="I51" s="483"/>
      <c r="J51" s="483"/>
      <c r="K51" s="483"/>
      <c r="L51" s="483"/>
      <c r="M51" s="483"/>
      <c r="N51" s="483"/>
      <c r="O51" s="483"/>
    </row>
  </sheetData>
  <sheetProtection algorithmName="SHA-512" hashValue="61dxrv5C6gVUe/cBiq1abL5P19qG0qv7A7xQdWluCq8EJb67E+kTnpl/3hPanqMCBCVITD4/37sCf5x5xtbI1A==" saltValue="+9/MS/wrYPGMzPs6YK4uww==" spinCount="100000" sheet="1" scenarios="1" formatCells="0" formatColumns="0" formatRows="0" sort="0" autoFilter="0" pivotTables="0"/>
  <mergeCells count="6">
    <mergeCell ref="A49:O49"/>
    <mergeCell ref="C10:D10"/>
    <mergeCell ref="E10:F10"/>
    <mergeCell ref="G10:H10"/>
    <mergeCell ref="I10:J10"/>
    <mergeCell ref="K10:L10"/>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3" orientation="landscape" r:id="rId1"/>
  <drawing r:id="rId2"/>
  <extLst>
    <ext xmlns:x14="http://schemas.microsoft.com/office/spreadsheetml/2009/9/main" uri="{A8765BA9-456A-4dab-B4F3-ACF838C121DE}">
      <x14:slicerList>
        <x14:slicer r:id="rId3"/>
      </x14:slicerList>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I36"/>
  <sheetViews>
    <sheetView workbookViewId="0">
      <selection activeCell="D24" sqref="D24"/>
    </sheetView>
  </sheetViews>
  <sheetFormatPr defaultRowHeight="15" x14ac:dyDescent="0.25"/>
  <cols>
    <col min="1" max="1" width="21.85546875" bestFit="1" customWidth="1"/>
    <col min="2" max="2" width="14.140625" bestFit="1" customWidth="1"/>
    <col min="3" max="3" width="15.140625" bestFit="1" customWidth="1"/>
    <col min="4" max="4" width="14" bestFit="1" customWidth="1"/>
    <col min="5" max="5" width="15" bestFit="1" customWidth="1"/>
    <col min="6" max="6" width="24.5703125" bestFit="1" customWidth="1"/>
    <col min="7" max="7" width="25.7109375" bestFit="1" customWidth="1"/>
    <col min="8" max="8" width="23.140625" bestFit="1" customWidth="1"/>
    <col min="9" max="9" width="24.140625" bestFit="1" customWidth="1"/>
  </cols>
  <sheetData>
    <row r="1" spans="1:9" x14ac:dyDescent="0.25">
      <c r="A1" s="565" t="s">
        <v>329</v>
      </c>
      <c r="B1" t="s">
        <v>851</v>
      </c>
      <c r="D1" t="str">
        <f>B1</f>
        <v>2019-20</v>
      </c>
    </row>
    <row r="3" spans="1:9" x14ac:dyDescent="0.25">
      <c r="A3" s="565" t="s">
        <v>246</v>
      </c>
      <c r="B3" t="s">
        <v>446</v>
      </c>
      <c r="C3" t="s">
        <v>447</v>
      </c>
      <c r="D3" t="s">
        <v>448</v>
      </c>
      <c r="E3" t="s">
        <v>449</v>
      </c>
      <c r="F3" t="s">
        <v>450</v>
      </c>
      <c r="G3" t="s">
        <v>452</v>
      </c>
      <c r="H3" t="s">
        <v>451</v>
      </c>
      <c r="I3" t="s">
        <v>453</v>
      </c>
    </row>
    <row r="4" spans="1:9" x14ac:dyDescent="0.25">
      <c r="A4" s="1068" t="s">
        <v>31</v>
      </c>
      <c r="B4" s="567">
        <v>422</v>
      </c>
      <c r="C4" s="567"/>
      <c r="D4" s="567">
        <v>11</v>
      </c>
      <c r="E4" s="567"/>
      <c r="F4" s="567"/>
      <c r="G4" s="567"/>
      <c r="H4" s="567">
        <v>2</v>
      </c>
      <c r="I4" s="567"/>
    </row>
    <row r="5" spans="1:9" x14ac:dyDescent="0.25">
      <c r="A5" s="1068" t="s">
        <v>32</v>
      </c>
      <c r="B5" s="567">
        <v>345</v>
      </c>
      <c r="C5" s="567"/>
      <c r="D5" s="567">
        <v>6</v>
      </c>
      <c r="E5" s="567"/>
      <c r="F5" s="567"/>
      <c r="G5" s="567"/>
      <c r="H5" s="567"/>
      <c r="I5" s="567"/>
    </row>
    <row r="6" spans="1:9" x14ac:dyDescent="0.25">
      <c r="A6" s="1068" t="s">
        <v>33</v>
      </c>
      <c r="B6" s="567">
        <v>123</v>
      </c>
      <c r="C6" s="567"/>
      <c r="D6" s="567"/>
      <c r="E6" s="567"/>
      <c r="F6" s="567"/>
      <c r="G6" s="567"/>
      <c r="H6" s="567"/>
      <c r="I6" s="567"/>
    </row>
    <row r="7" spans="1:9" x14ac:dyDescent="0.25">
      <c r="A7" s="1068" t="s">
        <v>34</v>
      </c>
      <c r="B7" s="567">
        <v>275</v>
      </c>
      <c r="C7" s="567"/>
      <c r="D7" s="567">
        <v>7</v>
      </c>
      <c r="E7" s="567"/>
      <c r="F7" s="567"/>
      <c r="G7" s="567"/>
      <c r="H7" s="567"/>
      <c r="I7" s="567"/>
    </row>
    <row r="8" spans="1:9" x14ac:dyDescent="0.25">
      <c r="A8" s="1068" t="s">
        <v>258</v>
      </c>
      <c r="B8" s="567">
        <v>631</v>
      </c>
      <c r="C8" s="567"/>
      <c r="D8" s="567">
        <v>17</v>
      </c>
      <c r="E8" s="567"/>
      <c r="F8" s="567"/>
      <c r="G8" s="567"/>
      <c r="H8" s="567">
        <v>1</v>
      </c>
      <c r="I8" s="567"/>
    </row>
    <row r="9" spans="1:9" x14ac:dyDescent="0.25">
      <c r="A9" s="1068" t="s">
        <v>35</v>
      </c>
      <c r="B9" s="567">
        <v>49</v>
      </c>
      <c r="C9" s="567"/>
      <c r="D9" s="567"/>
      <c r="E9" s="567"/>
      <c r="F9" s="567"/>
      <c r="G9" s="567"/>
      <c r="H9" s="567"/>
      <c r="I9" s="567"/>
    </row>
    <row r="10" spans="1:9" x14ac:dyDescent="0.25">
      <c r="A10" s="1068" t="s">
        <v>36</v>
      </c>
      <c r="B10" s="567">
        <v>427</v>
      </c>
      <c r="C10" s="567"/>
      <c r="D10" s="567">
        <v>8</v>
      </c>
      <c r="E10" s="567"/>
      <c r="F10" s="567"/>
      <c r="G10" s="567"/>
      <c r="H10" s="567"/>
      <c r="I10" s="567"/>
    </row>
    <row r="11" spans="1:9" x14ac:dyDescent="0.25">
      <c r="A11" s="1068" t="s">
        <v>37</v>
      </c>
      <c r="B11" s="567">
        <v>419</v>
      </c>
      <c r="C11" s="567"/>
      <c r="D11" s="567">
        <v>5</v>
      </c>
      <c r="E11" s="567"/>
      <c r="F11" s="567"/>
      <c r="G11" s="567"/>
      <c r="H11" s="567"/>
      <c r="I11" s="567"/>
    </row>
    <row r="12" spans="1:9" x14ac:dyDescent="0.25">
      <c r="A12" s="1068" t="s">
        <v>38</v>
      </c>
      <c r="B12" s="567">
        <v>105</v>
      </c>
      <c r="C12" s="567"/>
      <c r="D12" s="567">
        <v>5</v>
      </c>
      <c r="E12" s="567"/>
      <c r="F12" s="567"/>
      <c r="G12" s="567"/>
      <c r="H12" s="567"/>
      <c r="I12" s="567"/>
    </row>
    <row r="13" spans="1:9" x14ac:dyDescent="0.25">
      <c r="A13" s="1068" t="s">
        <v>39</v>
      </c>
      <c r="B13" s="567">
        <v>97</v>
      </c>
      <c r="C13" s="567"/>
      <c r="D13" s="567">
        <v>4</v>
      </c>
      <c r="E13" s="567"/>
      <c r="F13" s="567"/>
      <c r="G13" s="567"/>
      <c r="H13" s="567"/>
      <c r="I13" s="567"/>
    </row>
    <row r="14" spans="1:9" x14ac:dyDescent="0.25">
      <c r="A14" s="1068" t="s">
        <v>40</v>
      </c>
      <c r="B14" s="567">
        <v>76</v>
      </c>
      <c r="C14" s="567"/>
      <c r="D14" s="567">
        <v>2</v>
      </c>
      <c r="E14" s="567"/>
      <c r="F14" s="567"/>
      <c r="G14" s="567"/>
      <c r="H14" s="567"/>
      <c r="I14" s="567"/>
    </row>
    <row r="15" spans="1:9" x14ac:dyDescent="0.25">
      <c r="A15" s="1068" t="s">
        <v>41</v>
      </c>
      <c r="B15" s="567">
        <v>28</v>
      </c>
      <c r="C15" s="567"/>
      <c r="D15" s="567"/>
      <c r="E15" s="567"/>
      <c r="F15" s="567"/>
      <c r="G15" s="567"/>
      <c r="H15" s="567"/>
      <c r="I15" s="567"/>
    </row>
    <row r="16" spans="1:9" x14ac:dyDescent="0.25">
      <c r="A16" s="1068" t="s">
        <v>42</v>
      </c>
      <c r="B16" s="567">
        <v>144</v>
      </c>
      <c r="C16" s="567"/>
      <c r="D16" s="567">
        <v>6</v>
      </c>
      <c r="E16" s="567"/>
      <c r="F16" s="567"/>
      <c r="G16" s="567"/>
      <c r="H16" s="567"/>
      <c r="I16" s="567"/>
    </row>
    <row r="17" spans="1:9" x14ac:dyDescent="0.25">
      <c r="A17" s="1068" t="s">
        <v>43</v>
      </c>
      <c r="B17" s="567">
        <v>335</v>
      </c>
      <c r="C17" s="567"/>
      <c r="D17" s="567">
        <v>82</v>
      </c>
      <c r="E17" s="567"/>
      <c r="F17" s="567"/>
      <c r="G17" s="567"/>
      <c r="H17" s="567">
        <v>2</v>
      </c>
      <c r="I17" s="567"/>
    </row>
    <row r="18" spans="1:9" x14ac:dyDescent="0.25">
      <c r="A18" s="1068" t="s">
        <v>121</v>
      </c>
      <c r="B18" s="567">
        <v>897</v>
      </c>
      <c r="C18" s="567"/>
      <c r="D18" s="567">
        <v>142</v>
      </c>
      <c r="E18" s="567"/>
      <c r="F18" s="567"/>
      <c r="G18" s="567"/>
      <c r="H18" s="567">
        <v>3</v>
      </c>
      <c r="I18" s="567"/>
    </row>
    <row r="19" spans="1:9" x14ac:dyDescent="0.25">
      <c r="A19" s="1068" t="s">
        <v>44</v>
      </c>
      <c r="B19" s="567">
        <v>463</v>
      </c>
      <c r="C19" s="567"/>
      <c r="D19" s="567">
        <v>30</v>
      </c>
      <c r="E19" s="567"/>
      <c r="F19" s="567"/>
      <c r="G19" s="567"/>
      <c r="H19" s="567">
        <v>3</v>
      </c>
      <c r="I19" s="567"/>
    </row>
    <row r="20" spans="1:9" x14ac:dyDescent="0.25">
      <c r="A20" s="1068" t="s">
        <v>45</v>
      </c>
      <c r="B20" s="567">
        <v>51</v>
      </c>
      <c r="C20" s="567"/>
      <c r="D20" s="567">
        <v>3</v>
      </c>
      <c r="E20" s="567"/>
      <c r="F20" s="567"/>
      <c r="G20" s="567"/>
      <c r="H20" s="567"/>
      <c r="I20" s="567"/>
    </row>
    <row r="21" spans="1:9" x14ac:dyDescent="0.25">
      <c r="A21" s="1068" t="s">
        <v>46</v>
      </c>
      <c r="B21" s="567">
        <v>64</v>
      </c>
      <c r="C21" s="567"/>
      <c r="D21" s="567">
        <v>6</v>
      </c>
      <c r="E21" s="567"/>
      <c r="F21" s="567"/>
      <c r="G21" s="567"/>
      <c r="H21" s="567"/>
      <c r="I21" s="567"/>
    </row>
    <row r="22" spans="1:9" x14ac:dyDescent="0.25">
      <c r="A22" s="1068" t="s">
        <v>47</v>
      </c>
      <c r="B22" s="567">
        <v>91</v>
      </c>
      <c r="C22" s="567"/>
      <c r="D22" s="567">
        <v>9</v>
      </c>
      <c r="E22" s="567"/>
      <c r="F22" s="567"/>
      <c r="G22" s="567"/>
      <c r="H22" s="567">
        <v>1</v>
      </c>
      <c r="I22" s="567"/>
    </row>
    <row r="23" spans="1:9" x14ac:dyDescent="0.25">
      <c r="A23" s="1068" t="s">
        <v>1070</v>
      </c>
      <c r="B23" s="567"/>
      <c r="C23" s="567"/>
      <c r="D23" s="567"/>
      <c r="E23" s="567"/>
      <c r="F23" s="567"/>
      <c r="G23" s="567"/>
      <c r="H23" s="567"/>
      <c r="I23" s="567"/>
    </row>
    <row r="24" spans="1:9" x14ac:dyDescent="0.25">
      <c r="A24" s="1068" t="s">
        <v>49</v>
      </c>
      <c r="B24" s="567">
        <v>145</v>
      </c>
      <c r="C24" s="567"/>
      <c r="D24" s="567">
        <v>3</v>
      </c>
      <c r="E24" s="567"/>
      <c r="F24" s="567"/>
      <c r="G24" s="567"/>
      <c r="H24" s="567"/>
      <c r="I24" s="567"/>
    </row>
    <row r="25" spans="1:9" x14ac:dyDescent="0.25">
      <c r="A25" s="1068" t="s">
        <v>50</v>
      </c>
      <c r="B25" s="567">
        <v>299</v>
      </c>
      <c r="C25" s="567"/>
      <c r="D25" s="567">
        <v>7</v>
      </c>
      <c r="E25" s="567"/>
      <c r="F25" s="567"/>
      <c r="G25" s="567"/>
      <c r="H25" s="567"/>
      <c r="I25" s="567"/>
    </row>
    <row r="26" spans="1:9" x14ac:dyDescent="0.25">
      <c r="A26" s="1068" t="s">
        <v>51</v>
      </c>
      <c r="B26" s="567">
        <v>23</v>
      </c>
      <c r="C26" s="567"/>
      <c r="D26" s="567"/>
      <c r="E26" s="567"/>
      <c r="F26" s="567"/>
      <c r="G26" s="567"/>
      <c r="H26" s="567"/>
      <c r="I26" s="567"/>
    </row>
    <row r="27" spans="1:9" x14ac:dyDescent="0.25">
      <c r="A27" s="1068" t="s">
        <v>52</v>
      </c>
      <c r="B27" s="567">
        <v>247</v>
      </c>
      <c r="C27" s="567"/>
      <c r="D27" s="567">
        <v>1</v>
      </c>
      <c r="E27" s="567"/>
      <c r="F27" s="567"/>
      <c r="G27" s="567"/>
      <c r="H27" s="567"/>
      <c r="I27" s="567"/>
    </row>
    <row r="28" spans="1:9" x14ac:dyDescent="0.25">
      <c r="A28" s="1068" t="s">
        <v>53</v>
      </c>
      <c r="B28" s="567">
        <v>140</v>
      </c>
      <c r="C28" s="567"/>
      <c r="D28" s="567">
        <v>9</v>
      </c>
      <c r="E28" s="567"/>
      <c r="F28" s="567"/>
      <c r="G28" s="567"/>
      <c r="H28" s="567"/>
      <c r="I28" s="567"/>
    </row>
    <row r="29" spans="1:9" x14ac:dyDescent="0.25">
      <c r="A29" s="1068" t="s">
        <v>54</v>
      </c>
      <c r="B29" s="567">
        <v>99</v>
      </c>
      <c r="C29" s="567"/>
      <c r="D29" s="567">
        <v>5</v>
      </c>
      <c r="E29" s="567"/>
      <c r="F29" s="567"/>
      <c r="G29" s="567"/>
      <c r="H29" s="567"/>
      <c r="I29" s="567"/>
    </row>
    <row r="30" spans="1:9" x14ac:dyDescent="0.25">
      <c r="A30" s="1068" t="s">
        <v>55</v>
      </c>
      <c r="B30" s="567">
        <v>11</v>
      </c>
      <c r="C30" s="567"/>
      <c r="D30" s="567"/>
      <c r="E30" s="567"/>
      <c r="F30" s="567"/>
      <c r="G30" s="567"/>
      <c r="H30" s="567"/>
      <c r="I30" s="567"/>
    </row>
    <row r="31" spans="1:9" x14ac:dyDescent="0.25">
      <c r="A31" s="1068" t="s">
        <v>56</v>
      </c>
      <c r="B31" s="567">
        <v>220</v>
      </c>
      <c r="C31" s="567"/>
      <c r="D31" s="567">
        <v>5</v>
      </c>
      <c r="E31" s="567"/>
      <c r="F31" s="567"/>
      <c r="G31" s="567"/>
      <c r="H31" s="567"/>
      <c r="I31" s="567"/>
    </row>
    <row r="32" spans="1:9" x14ac:dyDescent="0.25">
      <c r="A32" s="1068" t="s">
        <v>57</v>
      </c>
      <c r="B32" s="567">
        <v>154</v>
      </c>
      <c r="C32" s="567"/>
      <c r="D32" s="567">
        <v>5</v>
      </c>
      <c r="E32" s="567"/>
      <c r="F32" s="567"/>
      <c r="G32" s="567"/>
      <c r="H32" s="567"/>
      <c r="I32" s="567"/>
    </row>
    <row r="33" spans="1:9" x14ac:dyDescent="0.25">
      <c r="A33" s="1068" t="s">
        <v>58</v>
      </c>
      <c r="B33" s="567">
        <v>195</v>
      </c>
      <c r="C33" s="567"/>
      <c r="D33" s="567">
        <v>6</v>
      </c>
      <c r="E33" s="567"/>
      <c r="F33" s="567"/>
      <c r="G33" s="567"/>
      <c r="H33" s="567"/>
      <c r="I33" s="567"/>
    </row>
    <row r="34" spans="1:9" x14ac:dyDescent="0.25">
      <c r="A34" s="1068" t="s">
        <v>59</v>
      </c>
      <c r="B34" s="567">
        <v>125</v>
      </c>
      <c r="C34" s="567"/>
      <c r="D34" s="567">
        <v>3</v>
      </c>
      <c r="E34" s="567"/>
      <c r="F34" s="567"/>
      <c r="G34" s="567"/>
      <c r="H34" s="567"/>
      <c r="I34" s="567"/>
    </row>
    <row r="35" spans="1:9" x14ac:dyDescent="0.25">
      <c r="A35" s="1068" t="s">
        <v>60</v>
      </c>
      <c r="B35" s="567">
        <v>173</v>
      </c>
      <c r="C35" s="567"/>
      <c r="D35" s="567">
        <v>1</v>
      </c>
      <c r="E35" s="567"/>
      <c r="F35" s="567">
        <v>1</v>
      </c>
      <c r="G35" s="567"/>
      <c r="H35" s="567"/>
      <c r="I35" s="567"/>
    </row>
    <row r="36" spans="1:9" x14ac:dyDescent="0.25">
      <c r="A36" s="1068" t="s">
        <v>251</v>
      </c>
      <c r="B36" s="567">
        <v>6873</v>
      </c>
      <c r="C36" s="567"/>
      <c r="D36" s="567">
        <v>388</v>
      </c>
      <c r="E36" s="567"/>
      <c r="F36" s="567">
        <v>1</v>
      </c>
      <c r="G36" s="567"/>
      <c r="H36" s="567">
        <v>12</v>
      </c>
      <c r="I36" s="567"/>
    </row>
  </sheetData>
  <sheetProtection algorithmName="SHA-512" hashValue="WAd/TA78jQpev7YKIoIVcp77gh+iA7rOqwP/5VsdCtoSvvShLllUGHmgZaMGMuWlueVYU30IucND7B8ZWNOTSw==" saltValue="jM5j6cTS/dQ10NVvhb09TA=="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O45"/>
  <sheetViews>
    <sheetView showGridLines="0" workbookViewId="0">
      <pane ySplit="2" topLeftCell="A3" activePane="bottomLeft" state="frozen"/>
      <selection pane="bottomLeft"/>
    </sheetView>
  </sheetViews>
  <sheetFormatPr defaultRowHeight="15" x14ac:dyDescent="0.25"/>
  <cols>
    <col min="1" max="1" width="18.28515625" customWidth="1"/>
    <col min="2" max="2" width="20.85546875" customWidth="1"/>
    <col min="3" max="3" width="18.85546875" customWidth="1"/>
    <col min="4" max="4" width="18.140625" customWidth="1"/>
    <col min="5" max="5" width="9.7109375" customWidth="1"/>
    <col min="6" max="6" width="6.140625" bestFit="1" customWidth="1"/>
    <col min="7" max="8" width="5.5703125" bestFit="1" customWidth="1"/>
  </cols>
  <sheetData>
    <row r="1" spans="1:15" ht="15.75" x14ac:dyDescent="0.25">
      <c r="A1" s="802" t="s">
        <v>633</v>
      </c>
    </row>
    <row r="2" spans="1:15" x14ac:dyDescent="0.25">
      <c r="A2" s="772" t="s">
        <v>578</v>
      </c>
    </row>
    <row r="3" spans="1:15" x14ac:dyDescent="0.25">
      <c r="A3" s="31"/>
    </row>
    <row r="4" spans="1:15" ht="15.75" x14ac:dyDescent="0.25">
      <c r="A4" s="657" t="s">
        <v>644</v>
      </c>
      <c r="B4" s="657"/>
      <c r="C4" s="657"/>
      <c r="D4" s="657"/>
      <c r="E4" s="657"/>
      <c r="F4" s="657"/>
      <c r="G4" s="657"/>
      <c r="H4" s="657"/>
      <c r="I4" s="657"/>
      <c r="J4" s="657"/>
      <c r="K4" s="657"/>
      <c r="L4" s="657"/>
      <c r="M4" s="657"/>
      <c r="N4" s="657"/>
    </row>
    <row r="5" spans="1:15" ht="15.75" x14ac:dyDescent="0.25">
      <c r="A5" t="s">
        <v>363</v>
      </c>
      <c r="B5" t="s">
        <v>793</v>
      </c>
      <c r="C5" s="784"/>
      <c r="D5" s="784"/>
      <c r="E5" s="784"/>
      <c r="F5" s="784"/>
      <c r="G5" s="784"/>
      <c r="H5" s="784"/>
      <c r="I5" s="784"/>
      <c r="J5" s="784"/>
    </row>
    <row r="6" spans="1:15" ht="15.75" x14ac:dyDescent="0.25">
      <c r="A6" t="s">
        <v>364</v>
      </c>
      <c r="B6" t="s">
        <v>366</v>
      </c>
      <c r="C6" s="784"/>
      <c r="D6" s="784"/>
      <c r="E6" s="784"/>
      <c r="F6" s="784"/>
      <c r="G6" s="784"/>
      <c r="H6" s="784"/>
      <c r="I6" s="784"/>
      <c r="J6" s="784"/>
    </row>
    <row r="7" spans="1:15" ht="15.75" x14ac:dyDescent="0.25">
      <c r="A7" t="s">
        <v>365</v>
      </c>
      <c r="B7" t="s">
        <v>367</v>
      </c>
      <c r="C7" s="784"/>
      <c r="D7" s="784"/>
      <c r="E7" s="784"/>
      <c r="F7" s="784"/>
      <c r="G7" s="784"/>
      <c r="H7" s="784"/>
      <c r="I7" s="784"/>
      <c r="J7" s="784"/>
      <c r="K7" s="31"/>
      <c r="L7" s="31"/>
      <c r="M7" s="31"/>
      <c r="N7" s="31"/>
    </row>
    <row r="8" spans="1:15" x14ac:dyDescent="0.25">
      <c r="A8" s="16"/>
      <c r="B8" s="16"/>
      <c r="C8" s="16"/>
      <c r="D8" s="16"/>
      <c r="E8" s="16"/>
      <c r="F8" s="16"/>
      <c r="G8" s="16"/>
      <c r="H8" s="16"/>
      <c r="I8" s="366"/>
      <c r="J8" s="366"/>
    </row>
    <row r="9" spans="1:15" x14ac:dyDescent="0.25">
      <c r="A9" s="535" t="s">
        <v>1</v>
      </c>
      <c r="B9" s="269" t="s">
        <v>163</v>
      </c>
      <c r="C9" s="269" t="s">
        <v>164</v>
      </c>
      <c r="D9" s="268" t="s">
        <v>193</v>
      </c>
      <c r="E9" s="269" t="s">
        <v>26</v>
      </c>
      <c r="F9" s="28"/>
    </row>
    <row r="10" spans="1:15" x14ac:dyDescent="0.25">
      <c r="A10" s="5" t="str">
        <f>'T21'!$A36</f>
        <v>2014-15</v>
      </c>
      <c r="B10" s="28">
        <f>'T21'!$D36</f>
        <v>21</v>
      </c>
      <c r="C10" s="28">
        <f>'T21'!$E36</f>
        <v>15</v>
      </c>
      <c r="D10" s="28">
        <f>'T21'!$C36</f>
        <v>0</v>
      </c>
      <c r="E10" s="13">
        <f>SUM(B10:D10)</f>
        <v>36</v>
      </c>
      <c r="F10" s="28"/>
      <c r="O10" s="618"/>
    </row>
    <row r="11" spans="1:15" x14ac:dyDescent="0.25">
      <c r="A11" s="5" t="str">
        <f>'T21'!$A37</f>
        <v>2015-16</v>
      </c>
      <c r="B11" s="28">
        <f>'T21'!$D37</f>
        <v>22</v>
      </c>
      <c r="C11" s="28">
        <f>'T21'!$E37</f>
        <v>17</v>
      </c>
      <c r="D11" s="28">
        <f>'T21'!$C37</f>
        <v>0</v>
      </c>
      <c r="E11" s="13">
        <f t="shared" ref="E11:E15" si="0">SUM(B11:D11)</f>
        <v>39</v>
      </c>
      <c r="F11" s="28"/>
      <c r="O11" s="618"/>
    </row>
    <row r="12" spans="1:15" x14ac:dyDescent="0.25">
      <c r="A12" s="5" t="str">
        <f>'T21'!$A38</f>
        <v>2016-17</v>
      </c>
      <c r="B12" s="28">
        <f>'T21'!$D38</f>
        <v>15</v>
      </c>
      <c r="C12" s="28">
        <f>'T21'!$E38</f>
        <v>17</v>
      </c>
      <c r="D12" s="28">
        <f>'T21'!$C38</f>
        <v>1</v>
      </c>
      <c r="E12" s="13">
        <f t="shared" si="0"/>
        <v>33</v>
      </c>
      <c r="F12" s="28"/>
      <c r="O12" s="618"/>
    </row>
    <row r="13" spans="1:15" x14ac:dyDescent="0.25">
      <c r="A13" s="5" t="str">
        <f>'T21'!$A39</f>
        <v>2017-18</v>
      </c>
      <c r="B13" s="28">
        <f>'T21'!$D39</f>
        <v>15</v>
      </c>
      <c r="C13" s="28">
        <f>'T21'!$E39</f>
        <v>26</v>
      </c>
      <c r="D13" s="28">
        <f>'T21'!$C39</f>
        <v>2</v>
      </c>
      <c r="E13" s="13">
        <f t="shared" si="0"/>
        <v>43</v>
      </c>
      <c r="F13" s="28"/>
      <c r="O13" s="618"/>
    </row>
    <row r="14" spans="1:15" x14ac:dyDescent="0.25">
      <c r="A14" s="5" t="str">
        <f>'T21'!$A40</f>
        <v>2018-19</v>
      </c>
      <c r="B14" s="28">
        <f>'T21'!$D40</f>
        <v>21</v>
      </c>
      <c r="C14" s="28">
        <f>'T21'!$E40</f>
        <v>21</v>
      </c>
      <c r="D14" s="28">
        <f>'T21'!$C40</f>
        <v>2</v>
      </c>
      <c r="E14" s="13">
        <f t="shared" si="0"/>
        <v>44</v>
      </c>
      <c r="F14" s="28"/>
      <c r="O14" s="618"/>
    </row>
    <row r="15" spans="1:15" ht="15.75" thickBot="1" x14ac:dyDescent="0.3">
      <c r="A15" s="538" t="str">
        <f>'T21'!$A41</f>
        <v>2019-20</v>
      </c>
      <c r="B15" s="539">
        <f>'T21'!$D41</f>
        <v>5</v>
      </c>
      <c r="C15" s="539">
        <f>'T21'!$E41</f>
        <v>2</v>
      </c>
      <c r="D15" s="539">
        <f>'T21'!$C41</f>
        <v>0</v>
      </c>
      <c r="E15" s="43">
        <f t="shared" si="0"/>
        <v>7</v>
      </c>
      <c r="I15" s="366"/>
      <c r="J15" s="366"/>
      <c r="O15" s="618"/>
    </row>
    <row r="16" spans="1:15" x14ac:dyDescent="0.25">
      <c r="A16" s="536"/>
      <c r="B16" s="537"/>
      <c r="C16" s="537"/>
      <c r="D16" s="537"/>
      <c r="E16" s="537"/>
      <c r="I16" s="366"/>
      <c r="J16" s="366"/>
      <c r="O16" s="618"/>
    </row>
    <row r="17" spans="1:15" x14ac:dyDescent="0.25">
      <c r="A17" s="499" t="s">
        <v>8</v>
      </c>
      <c r="B17" s="31"/>
      <c r="C17" s="31"/>
      <c r="D17" s="31"/>
      <c r="O17" s="618"/>
    </row>
    <row r="18" spans="1:15" ht="30" customHeight="1" x14ac:dyDescent="0.25">
      <c r="A18" s="1096" t="s">
        <v>1008</v>
      </c>
      <c r="B18" s="1096"/>
      <c r="C18" s="1096"/>
      <c r="D18" s="1096"/>
      <c r="E18" s="1096"/>
      <c r="O18" s="618"/>
    </row>
    <row r="19" spans="1:15" ht="45" customHeight="1" x14ac:dyDescent="0.25">
      <c r="A19" s="1107" t="s">
        <v>645</v>
      </c>
      <c r="B19" s="1107"/>
      <c r="C19" s="1107"/>
      <c r="D19" s="1107"/>
      <c r="E19" s="1107"/>
      <c r="O19" s="618"/>
    </row>
    <row r="20" spans="1:15" ht="45" customHeight="1" x14ac:dyDescent="0.25">
      <c r="A20" s="1080" t="s">
        <v>241</v>
      </c>
      <c r="B20" s="1080"/>
      <c r="C20" s="1080"/>
      <c r="D20" s="1080"/>
      <c r="E20" s="1080"/>
      <c r="O20" s="618"/>
    </row>
    <row r="21" spans="1:15" x14ac:dyDescent="0.25">
      <c r="A21" s="498" t="s">
        <v>646</v>
      </c>
      <c r="B21" s="31"/>
      <c r="C21" s="31"/>
      <c r="D21" s="31"/>
      <c r="E21" s="31"/>
      <c r="O21" s="618"/>
    </row>
    <row r="22" spans="1:15" ht="15.75" x14ac:dyDescent="0.25">
      <c r="A22" s="521"/>
      <c r="C22" s="301"/>
      <c r="D22" s="467"/>
      <c r="E22" s="467"/>
      <c r="O22" s="618"/>
    </row>
    <row r="23" spans="1:15" x14ac:dyDescent="0.25">
      <c r="O23" s="618"/>
    </row>
    <row r="24" spans="1:15" x14ac:dyDescent="0.25">
      <c r="O24" s="618"/>
    </row>
    <row r="25" spans="1:15" x14ac:dyDescent="0.25">
      <c r="O25" s="618"/>
    </row>
    <row r="26" spans="1:15" x14ac:dyDescent="0.25">
      <c r="O26" s="618"/>
    </row>
    <row r="27" spans="1:15" x14ac:dyDescent="0.25">
      <c r="O27" s="619"/>
    </row>
    <row r="28" spans="1:15" x14ac:dyDescent="0.25">
      <c r="O28" s="618"/>
    </row>
    <row r="29" spans="1:15" x14ac:dyDescent="0.25">
      <c r="O29" s="618"/>
    </row>
    <row r="30" spans="1:15" x14ac:dyDescent="0.25">
      <c r="O30" s="618"/>
    </row>
    <row r="31" spans="1:15" x14ac:dyDescent="0.25">
      <c r="O31" s="618"/>
    </row>
    <row r="32" spans="1:15" x14ac:dyDescent="0.25">
      <c r="O32" s="618"/>
    </row>
    <row r="33" spans="15:15" x14ac:dyDescent="0.25">
      <c r="O33" s="618"/>
    </row>
    <row r="34" spans="15:15" x14ac:dyDescent="0.25">
      <c r="O34" s="618"/>
    </row>
    <row r="35" spans="15:15" x14ac:dyDescent="0.25">
      <c r="O35" s="618"/>
    </row>
    <row r="36" spans="15:15" x14ac:dyDescent="0.25">
      <c r="O36" s="618"/>
    </row>
    <row r="37" spans="15:15" x14ac:dyDescent="0.25">
      <c r="O37" s="618"/>
    </row>
    <row r="38" spans="15:15" x14ac:dyDescent="0.25">
      <c r="O38" s="619"/>
    </row>
    <row r="39" spans="15:15" x14ac:dyDescent="0.25">
      <c r="O39" s="618"/>
    </row>
    <row r="40" spans="15:15" x14ac:dyDescent="0.25">
      <c r="O40" s="618"/>
    </row>
    <row r="41" spans="15:15" x14ac:dyDescent="0.25">
      <c r="O41" s="618"/>
    </row>
    <row r="42" spans="15:15" x14ac:dyDescent="0.25">
      <c r="O42" s="618"/>
    </row>
    <row r="43" spans="15:15" x14ac:dyDescent="0.25">
      <c r="O43" s="618"/>
    </row>
    <row r="44" spans="15:15" x14ac:dyDescent="0.25">
      <c r="O44" s="618"/>
    </row>
    <row r="45" spans="15:15" x14ac:dyDescent="0.25">
      <c r="O45" s="618"/>
    </row>
  </sheetData>
  <sheetProtection algorithmName="SHA-512" hashValue="YFTThBAW5iKhqfkjcikmTGezb46grPO11JmU1jKh6R1Wo2YEUN19tIFlSCPuDM9xsR8P2SQYWpWzdqX8Sl9ZoQ==" saltValue="iZlNFpwiYOcPYXUoOjyVMA==" spinCount="100000" sheet="1" scenarios="1" formatCells="0" formatColumns="0" formatRows="0" sort="0" autoFilter="0" pivotTables="0"/>
  <mergeCells count="3">
    <mergeCell ref="A20:E20"/>
    <mergeCell ref="A19:E19"/>
    <mergeCell ref="A18:E18"/>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56"/>
  <sheetViews>
    <sheetView showGridLines="0" workbookViewId="0">
      <pane ySplit="2" topLeftCell="A3" activePane="bottomLeft" state="frozen"/>
      <selection pane="bottomLeft"/>
    </sheetView>
  </sheetViews>
  <sheetFormatPr defaultRowHeight="15" x14ac:dyDescent="0.25"/>
  <cols>
    <col min="1" max="1" width="30.7109375" bestFit="1" customWidth="1"/>
    <col min="2" max="6" width="13.140625" customWidth="1"/>
  </cols>
  <sheetData>
    <row r="1" spans="1:11" ht="15.75" x14ac:dyDescent="0.25">
      <c r="A1" s="802" t="s">
        <v>633</v>
      </c>
    </row>
    <row r="2" spans="1:11" x14ac:dyDescent="0.25">
      <c r="A2" s="772" t="s">
        <v>578</v>
      </c>
    </row>
    <row r="3" spans="1:11" x14ac:dyDescent="0.25">
      <c r="A3" s="31"/>
    </row>
    <row r="4" spans="1:11" ht="15.75" x14ac:dyDescent="0.25">
      <c r="A4" s="657" t="s">
        <v>648</v>
      </c>
      <c r="B4" s="657"/>
    </row>
    <row r="5" spans="1:11" x14ac:dyDescent="0.25">
      <c r="A5" t="s">
        <v>363</v>
      </c>
      <c r="B5" t="s">
        <v>794</v>
      </c>
    </row>
    <row r="6" spans="1:11" x14ac:dyDescent="0.25">
      <c r="A6" t="s">
        <v>364</v>
      </c>
      <c r="B6" t="s">
        <v>366</v>
      </c>
    </row>
    <row r="7" spans="1:11" x14ac:dyDescent="0.25">
      <c r="A7" t="s">
        <v>365</v>
      </c>
      <c r="B7" t="s">
        <v>367</v>
      </c>
    </row>
    <row r="9" spans="1:11" x14ac:dyDescent="0.25">
      <c r="A9" s="589" t="s">
        <v>479</v>
      </c>
      <c r="B9" s="590" t="s">
        <v>649</v>
      </c>
      <c r="C9" s="590" t="s">
        <v>650</v>
      </c>
      <c r="D9" s="590" t="s">
        <v>651</v>
      </c>
      <c r="E9" s="590" t="s">
        <v>652</v>
      </c>
      <c r="F9" s="590" t="s">
        <v>653</v>
      </c>
      <c r="G9" s="591" t="s">
        <v>26</v>
      </c>
    </row>
    <row r="10" spans="1:11" x14ac:dyDescent="0.25">
      <c r="A10" s="592" t="s">
        <v>143</v>
      </c>
      <c r="B10" s="593">
        <f>'h23'!B4</f>
        <v>11</v>
      </c>
      <c r="C10" s="593">
        <f>'h23'!C4</f>
        <v>19</v>
      </c>
      <c r="D10" s="593">
        <f>'h23'!D4</f>
        <v>239</v>
      </c>
      <c r="E10" s="593">
        <f>'h23'!E4</f>
        <v>27</v>
      </c>
      <c r="F10" s="593">
        <f>'h23'!F4</f>
        <v>2</v>
      </c>
      <c r="G10" s="594">
        <f t="shared" ref="G10:G24" si="0">SUM(B10:F10)</f>
        <v>298</v>
      </c>
      <c r="H10" s="582"/>
      <c r="I10" s="582"/>
      <c r="J10" s="582"/>
      <c r="K10" s="582"/>
    </row>
    <row r="11" spans="1:11" x14ac:dyDescent="0.25">
      <c r="A11" s="592" t="s">
        <v>144</v>
      </c>
      <c r="B11" s="593">
        <f>'h23'!B5</f>
        <v>95</v>
      </c>
      <c r="C11" s="593">
        <f>'h23'!C5</f>
        <v>634</v>
      </c>
      <c r="D11" s="593">
        <f>'h23'!D5</f>
        <v>562</v>
      </c>
      <c r="E11" s="593">
        <f>'h23'!E5</f>
        <v>187</v>
      </c>
      <c r="F11" s="593">
        <f>'h23'!F5</f>
        <v>8</v>
      </c>
      <c r="G11" s="594">
        <f t="shared" si="0"/>
        <v>1486</v>
      </c>
      <c r="H11" s="582"/>
      <c r="I11" s="582"/>
      <c r="J11" s="582"/>
      <c r="K11" s="582"/>
    </row>
    <row r="12" spans="1:11" x14ac:dyDescent="0.25">
      <c r="A12" s="592" t="s">
        <v>160</v>
      </c>
      <c r="B12" s="593">
        <f>'h23'!B6</f>
        <v>69</v>
      </c>
      <c r="C12" s="593">
        <f>'h23'!C6</f>
        <v>218</v>
      </c>
      <c r="D12" s="593">
        <f>'h23'!D6</f>
        <v>1510</v>
      </c>
      <c r="E12" s="593">
        <f>'h23'!E6</f>
        <v>154</v>
      </c>
      <c r="F12" s="593">
        <f>'h23'!F6</f>
        <v>0</v>
      </c>
      <c r="G12" s="594">
        <f t="shared" si="0"/>
        <v>1951</v>
      </c>
      <c r="H12" s="582"/>
      <c r="I12" s="582"/>
      <c r="J12" s="582"/>
      <c r="K12" s="582"/>
    </row>
    <row r="13" spans="1:11" x14ac:dyDescent="0.25">
      <c r="A13" s="592" t="s">
        <v>145</v>
      </c>
      <c r="B13" s="593">
        <f>'h23'!B7</f>
        <v>6</v>
      </c>
      <c r="C13" s="593">
        <f>'h23'!C7</f>
        <v>8</v>
      </c>
      <c r="D13" s="593">
        <f>'h23'!D7</f>
        <v>42</v>
      </c>
      <c r="E13" s="593">
        <f>'h23'!E7</f>
        <v>13</v>
      </c>
      <c r="F13" s="593">
        <f>'h23'!F7</f>
        <v>2</v>
      </c>
      <c r="G13" s="594">
        <f t="shared" si="0"/>
        <v>71</v>
      </c>
      <c r="H13" s="582"/>
      <c r="I13" s="582"/>
      <c r="J13" s="582"/>
      <c r="K13" s="582"/>
    </row>
    <row r="14" spans="1:11" x14ac:dyDescent="0.25">
      <c r="A14" s="592" t="s">
        <v>146</v>
      </c>
      <c r="B14" s="593">
        <f>'h23'!B8</f>
        <v>1</v>
      </c>
      <c r="C14" s="593">
        <f>'h23'!C8</f>
        <v>131</v>
      </c>
      <c r="D14" s="593">
        <f>'h23'!D8</f>
        <v>746</v>
      </c>
      <c r="E14" s="593">
        <f>'h23'!E8</f>
        <v>191</v>
      </c>
      <c r="F14" s="593">
        <f>'h23'!F8</f>
        <v>12</v>
      </c>
      <c r="G14" s="594">
        <f t="shared" si="0"/>
        <v>1081</v>
      </c>
      <c r="H14" s="582"/>
      <c r="I14" s="582"/>
      <c r="J14" s="582"/>
      <c r="K14" s="582"/>
    </row>
    <row r="15" spans="1:11" x14ac:dyDescent="0.25">
      <c r="A15" s="592" t="s">
        <v>147</v>
      </c>
      <c r="B15" s="593">
        <f>'h23'!B9</f>
        <v>15</v>
      </c>
      <c r="C15" s="593">
        <f>'h23'!C9</f>
        <v>92</v>
      </c>
      <c r="D15" s="593">
        <f>'h23'!D9</f>
        <v>335</v>
      </c>
      <c r="E15" s="593">
        <f>'h23'!E9</f>
        <v>28</v>
      </c>
      <c r="F15" s="593">
        <f>'h23'!F9</f>
        <v>0</v>
      </c>
      <c r="G15" s="594">
        <f t="shared" si="0"/>
        <v>470</v>
      </c>
      <c r="H15" s="582"/>
      <c r="I15" s="582"/>
      <c r="J15" s="582"/>
      <c r="K15" s="582"/>
    </row>
    <row r="16" spans="1:11" x14ac:dyDescent="0.25">
      <c r="A16" s="592" t="s">
        <v>148</v>
      </c>
      <c r="B16" s="593">
        <f>'h23'!B10</f>
        <v>0</v>
      </c>
      <c r="C16" s="593">
        <f>'h23'!C10</f>
        <v>5</v>
      </c>
      <c r="D16" s="593">
        <f>'h23'!D10</f>
        <v>18</v>
      </c>
      <c r="E16" s="593">
        <f>'h23'!E10</f>
        <v>2</v>
      </c>
      <c r="F16" s="593">
        <f>'h23'!F10</f>
        <v>0</v>
      </c>
      <c r="G16" s="594">
        <f t="shared" si="0"/>
        <v>25</v>
      </c>
      <c r="H16" s="582"/>
      <c r="I16" s="582"/>
      <c r="J16" s="582"/>
      <c r="K16" s="582"/>
    </row>
    <row r="17" spans="1:11" x14ac:dyDescent="0.25">
      <c r="A17" s="592" t="s">
        <v>149</v>
      </c>
      <c r="B17" s="593">
        <f>'h23'!B11</f>
        <v>0</v>
      </c>
      <c r="C17" s="593">
        <f>'h23'!C11</f>
        <v>3</v>
      </c>
      <c r="D17" s="593">
        <f>'h23'!D11</f>
        <v>24</v>
      </c>
      <c r="E17" s="593">
        <f>'h23'!E11</f>
        <v>12</v>
      </c>
      <c r="F17" s="593">
        <f>'h23'!F11</f>
        <v>0</v>
      </c>
      <c r="G17" s="594">
        <f t="shared" si="0"/>
        <v>39</v>
      </c>
      <c r="H17" s="582"/>
      <c r="I17" s="582"/>
      <c r="J17" s="582"/>
      <c r="K17" s="582"/>
    </row>
    <row r="18" spans="1:11" x14ac:dyDescent="0.25">
      <c r="A18" s="592" t="s">
        <v>150</v>
      </c>
      <c r="B18" s="593">
        <f>'h23'!B12</f>
        <v>9</v>
      </c>
      <c r="C18" s="593">
        <f>'h23'!C12</f>
        <v>38</v>
      </c>
      <c r="D18" s="593">
        <f>'h23'!D12</f>
        <v>167</v>
      </c>
      <c r="E18" s="593">
        <f>'h23'!E12</f>
        <v>73</v>
      </c>
      <c r="F18" s="593">
        <f>'h23'!F12</f>
        <v>2</v>
      </c>
      <c r="G18" s="594">
        <f t="shared" si="0"/>
        <v>289</v>
      </c>
      <c r="H18" s="582"/>
      <c r="I18" s="582"/>
      <c r="J18" s="582"/>
      <c r="K18" s="582"/>
    </row>
    <row r="19" spans="1:11" x14ac:dyDescent="0.25">
      <c r="A19" s="592" t="s">
        <v>151</v>
      </c>
      <c r="B19" s="593">
        <f>'h23'!B13</f>
        <v>23</v>
      </c>
      <c r="C19" s="593">
        <f>'h23'!C13</f>
        <v>30</v>
      </c>
      <c r="D19" s="593">
        <f>'h23'!D13</f>
        <v>170</v>
      </c>
      <c r="E19" s="593">
        <f>'h23'!E13</f>
        <v>44</v>
      </c>
      <c r="F19" s="593">
        <f>'h23'!F13</f>
        <v>4</v>
      </c>
      <c r="G19" s="594">
        <f t="shared" si="0"/>
        <v>271</v>
      </c>
      <c r="H19" s="582"/>
      <c r="I19" s="582"/>
      <c r="J19" s="582"/>
      <c r="K19" s="582"/>
    </row>
    <row r="20" spans="1:11" x14ac:dyDescent="0.25">
      <c r="A20" s="592" t="s">
        <v>152</v>
      </c>
      <c r="B20" s="593">
        <f>'h23'!B14</f>
        <v>61</v>
      </c>
      <c r="C20" s="593">
        <f>'h23'!C14</f>
        <v>72</v>
      </c>
      <c r="D20" s="593">
        <f>'h23'!D14</f>
        <v>179</v>
      </c>
      <c r="E20" s="593">
        <f>'h23'!E14</f>
        <v>46</v>
      </c>
      <c r="F20" s="593">
        <f>'h23'!F14</f>
        <v>0</v>
      </c>
      <c r="G20" s="594">
        <f t="shared" si="0"/>
        <v>358</v>
      </c>
      <c r="H20" s="582"/>
      <c r="I20" s="582"/>
      <c r="J20" s="582"/>
      <c r="K20" s="582"/>
    </row>
    <row r="21" spans="1:11" x14ac:dyDescent="0.25">
      <c r="A21" s="592" t="s">
        <v>153</v>
      </c>
      <c r="B21" s="593">
        <f>'h23'!B15</f>
        <v>2</v>
      </c>
      <c r="C21" s="593">
        <f>'h23'!C15</f>
        <v>8</v>
      </c>
      <c r="D21" s="593">
        <f>'h23'!D15</f>
        <v>202</v>
      </c>
      <c r="E21" s="593">
        <f>'h23'!E15</f>
        <v>66</v>
      </c>
      <c r="F21" s="593">
        <f>'h23'!F15</f>
        <v>1</v>
      </c>
      <c r="G21" s="594">
        <f t="shared" si="0"/>
        <v>279</v>
      </c>
      <c r="H21" s="582"/>
      <c r="I21" s="582"/>
      <c r="J21" s="582"/>
      <c r="K21" s="582"/>
    </row>
    <row r="22" spans="1:11" x14ac:dyDescent="0.25">
      <c r="A22" s="592" t="s">
        <v>154</v>
      </c>
      <c r="B22" s="593">
        <f>'h23'!B16</f>
        <v>3</v>
      </c>
      <c r="C22" s="593">
        <f>'h23'!C16</f>
        <v>46</v>
      </c>
      <c r="D22" s="593">
        <f>'h23'!D16</f>
        <v>137</v>
      </c>
      <c r="E22" s="593">
        <f>'h23'!E16</f>
        <v>53</v>
      </c>
      <c r="F22" s="593">
        <f>'h23'!F16</f>
        <v>2</v>
      </c>
      <c r="G22" s="594">
        <f t="shared" si="0"/>
        <v>241</v>
      </c>
      <c r="H22" s="582"/>
      <c r="I22" s="582"/>
      <c r="J22" s="582"/>
      <c r="K22" s="582"/>
    </row>
    <row r="23" spans="1:11" x14ac:dyDescent="0.25">
      <c r="A23" s="592" t="s">
        <v>155</v>
      </c>
      <c r="B23" s="593">
        <f>'h23'!B17</f>
        <v>4</v>
      </c>
      <c r="C23" s="593">
        <f>'h23'!C17</f>
        <v>19</v>
      </c>
      <c r="D23" s="593">
        <f>'h23'!D17</f>
        <v>168</v>
      </c>
      <c r="E23" s="593">
        <f>'h23'!E17</f>
        <v>90</v>
      </c>
      <c r="F23" s="593">
        <f>'h23'!F17</f>
        <v>4</v>
      </c>
      <c r="G23" s="594">
        <f t="shared" si="0"/>
        <v>285</v>
      </c>
      <c r="H23" s="582"/>
      <c r="I23" s="582"/>
      <c r="J23" s="582"/>
      <c r="K23" s="582"/>
    </row>
    <row r="24" spans="1:11" x14ac:dyDescent="0.25">
      <c r="A24" s="592" t="s">
        <v>156</v>
      </c>
      <c r="B24" s="593">
        <f>'h23'!B18</f>
        <v>0</v>
      </c>
      <c r="C24" s="593">
        <f>'h23'!C18</f>
        <v>23</v>
      </c>
      <c r="D24" s="593">
        <f>'h23'!D18</f>
        <v>51</v>
      </c>
      <c r="E24" s="593">
        <f>'h23'!E18</f>
        <v>41</v>
      </c>
      <c r="F24" s="593">
        <f>'h23'!F18</f>
        <v>2</v>
      </c>
      <c r="G24" s="594">
        <f t="shared" si="0"/>
        <v>117</v>
      </c>
      <c r="H24" s="582"/>
      <c r="I24" s="582"/>
      <c r="J24" s="582"/>
      <c r="K24" s="582"/>
    </row>
    <row r="25" spans="1:11" ht="15.75" thickBot="1" x14ac:dyDescent="0.3">
      <c r="A25" s="364" t="s">
        <v>17</v>
      </c>
      <c r="B25" s="595">
        <f>SUM(B10:B24)</f>
        <v>299</v>
      </c>
      <c r="C25" s="595">
        <f t="shared" ref="C25:G25" si="1">SUM(C10:C24)</f>
        <v>1346</v>
      </c>
      <c r="D25" s="595">
        <f t="shared" si="1"/>
        <v>4550</v>
      </c>
      <c r="E25" s="595">
        <f t="shared" si="1"/>
        <v>1027</v>
      </c>
      <c r="F25" s="595">
        <f t="shared" si="1"/>
        <v>39</v>
      </c>
      <c r="G25" s="595">
        <f t="shared" si="1"/>
        <v>7261</v>
      </c>
      <c r="H25" s="582"/>
      <c r="I25" s="582"/>
      <c r="J25" s="582"/>
      <c r="K25" s="582"/>
    </row>
    <row r="27" spans="1:11" x14ac:dyDescent="0.25">
      <c r="A27" s="499" t="s">
        <v>8</v>
      </c>
      <c r="B27" s="531"/>
      <c r="C27" s="531"/>
      <c r="D27" s="531"/>
      <c r="E27" s="531"/>
      <c r="F27" s="531"/>
      <c r="G27" s="596"/>
    </row>
    <row r="28" spans="1:11" ht="45.75" customHeight="1" x14ac:dyDescent="0.25">
      <c r="A28" s="1097" t="s">
        <v>845</v>
      </c>
      <c r="B28" s="1097"/>
      <c r="C28" s="1097"/>
      <c r="D28" s="1097"/>
      <c r="E28" s="1097"/>
      <c r="F28" s="1097"/>
      <c r="G28" s="1097"/>
    </row>
    <row r="29" spans="1:11" ht="32.25" customHeight="1" x14ac:dyDescent="0.25">
      <c r="A29" s="1097" t="s">
        <v>846</v>
      </c>
      <c r="B29" s="1097"/>
      <c r="C29" s="1097"/>
      <c r="D29" s="1097"/>
      <c r="E29" s="1097"/>
      <c r="F29" s="1097"/>
      <c r="G29" s="1097"/>
      <c r="H29" s="525"/>
    </row>
    <row r="30" spans="1:11" x14ac:dyDescent="0.25">
      <c r="A30" s="483"/>
      <c r="B30" s="483"/>
      <c r="C30" s="483"/>
      <c r="D30" s="483"/>
      <c r="E30" s="483"/>
      <c r="F30" s="483"/>
      <c r="G30" s="483"/>
    </row>
    <row r="31" spans="1:11" ht="15.75" x14ac:dyDescent="0.25">
      <c r="A31" s="657" t="s">
        <v>654</v>
      </c>
      <c r="B31" s="657"/>
      <c r="C31" s="483"/>
      <c r="D31" s="483"/>
      <c r="E31" s="483"/>
      <c r="F31" s="483"/>
      <c r="G31" s="483"/>
    </row>
    <row r="32" spans="1:11" x14ac:dyDescent="0.25">
      <c r="A32" t="s">
        <v>363</v>
      </c>
      <c r="B32" t="s">
        <v>795</v>
      </c>
      <c r="C32" s="483"/>
      <c r="D32" s="483"/>
      <c r="E32" s="483"/>
      <c r="F32" s="483"/>
      <c r="G32" s="483"/>
    </row>
    <row r="33" spans="1:7" x14ac:dyDescent="0.25">
      <c r="A33" t="s">
        <v>364</v>
      </c>
      <c r="B33" t="s">
        <v>366</v>
      </c>
      <c r="C33" s="483"/>
      <c r="D33" s="483"/>
      <c r="E33" s="483"/>
      <c r="F33" s="483"/>
      <c r="G33" s="483"/>
    </row>
    <row r="34" spans="1:7" x14ac:dyDescent="0.25">
      <c r="A34" t="s">
        <v>365</v>
      </c>
      <c r="B34" t="s">
        <v>367</v>
      </c>
    </row>
    <row r="36" spans="1:7" x14ac:dyDescent="0.25">
      <c r="A36" s="597" t="s">
        <v>479</v>
      </c>
      <c r="B36" s="590" t="s">
        <v>649</v>
      </c>
      <c r="C36" s="590" t="s">
        <v>650</v>
      </c>
      <c r="D36" s="590" t="s">
        <v>651</v>
      </c>
      <c r="E36" s="590" t="s">
        <v>652</v>
      </c>
      <c r="F36" s="590" t="s">
        <v>653</v>
      </c>
      <c r="G36" s="97" t="s">
        <v>26</v>
      </c>
    </row>
    <row r="37" spans="1:7" x14ac:dyDescent="0.25">
      <c r="A37" s="598" t="s">
        <v>143</v>
      </c>
      <c r="B37" s="599">
        <f t="shared" ref="B37:F51" si="2">B10/$G10</f>
        <v>3.6912751677852351E-2</v>
      </c>
      <c r="C37" s="599">
        <f t="shared" si="2"/>
        <v>6.3758389261744972E-2</v>
      </c>
      <c r="D37" s="599">
        <f t="shared" si="2"/>
        <v>0.80201342281879195</v>
      </c>
      <c r="E37" s="599">
        <f t="shared" si="2"/>
        <v>9.0604026845637578E-2</v>
      </c>
      <c r="F37" s="599">
        <f t="shared" si="2"/>
        <v>6.7114093959731542E-3</v>
      </c>
      <c r="G37" s="600">
        <f t="shared" ref="G37:G52" si="3">SUM(B37:F37)</f>
        <v>1</v>
      </c>
    </row>
    <row r="38" spans="1:7" x14ac:dyDescent="0.25">
      <c r="A38" s="598" t="s">
        <v>144</v>
      </c>
      <c r="B38" s="599">
        <f t="shared" si="2"/>
        <v>6.3930013458950205E-2</v>
      </c>
      <c r="C38" s="599">
        <f t="shared" si="2"/>
        <v>0.42664872139973081</v>
      </c>
      <c r="D38" s="599">
        <f t="shared" si="2"/>
        <v>0.37819650067294752</v>
      </c>
      <c r="E38" s="599">
        <f t="shared" si="2"/>
        <v>0.12584118438761777</v>
      </c>
      <c r="F38" s="599">
        <f t="shared" si="2"/>
        <v>5.3835800807537013E-3</v>
      </c>
      <c r="G38" s="600">
        <f t="shared" si="3"/>
        <v>0.99999999999999989</v>
      </c>
    </row>
    <row r="39" spans="1:7" x14ac:dyDescent="0.25">
      <c r="A39" s="598" t="s">
        <v>160</v>
      </c>
      <c r="B39" s="599">
        <f t="shared" si="2"/>
        <v>3.5366478728856995E-2</v>
      </c>
      <c r="C39" s="599">
        <f t="shared" si="2"/>
        <v>0.11173757047667862</v>
      </c>
      <c r="D39" s="599">
        <f t="shared" si="2"/>
        <v>0.77396207073295742</v>
      </c>
      <c r="E39" s="599">
        <f t="shared" si="2"/>
        <v>7.8933880061506922E-2</v>
      </c>
      <c r="F39" s="599">
        <f t="shared" si="2"/>
        <v>0</v>
      </c>
      <c r="G39" s="600">
        <f t="shared" si="3"/>
        <v>1</v>
      </c>
    </row>
    <row r="40" spans="1:7" x14ac:dyDescent="0.25">
      <c r="A40" s="598" t="s">
        <v>145</v>
      </c>
      <c r="B40" s="599">
        <f t="shared" si="2"/>
        <v>8.4507042253521125E-2</v>
      </c>
      <c r="C40" s="599">
        <f t="shared" si="2"/>
        <v>0.11267605633802817</v>
      </c>
      <c r="D40" s="599">
        <f t="shared" si="2"/>
        <v>0.59154929577464788</v>
      </c>
      <c r="E40" s="599">
        <f t="shared" si="2"/>
        <v>0.18309859154929578</v>
      </c>
      <c r="F40" s="599">
        <f t="shared" si="2"/>
        <v>2.8169014084507043E-2</v>
      </c>
      <c r="G40" s="600">
        <f t="shared" si="3"/>
        <v>1</v>
      </c>
    </row>
    <row r="41" spans="1:7" x14ac:dyDescent="0.25">
      <c r="A41" s="598" t="s">
        <v>146</v>
      </c>
      <c r="B41" s="599">
        <f t="shared" si="2"/>
        <v>9.2506938020351531E-4</v>
      </c>
      <c r="C41" s="599">
        <f t="shared" si="2"/>
        <v>0.1211840888066605</v>
      </c>
      <c r="D41" s="599">
        <f t="shared" si="2"/>
        <v>0.69010175763182235</v>
      </c>
      <c r="E41" s="599">
        <f t="shared" si="2"/>
        <v>0.17668825161887142</v>
      </c>
      <c r="F41" s="599">
        <f t="shared" si="2"/>
        <v>1.1100832562442183E-2</v>
      </c>
      <c r="G41" s="600">
        <f t="shared" si="3"/>
        <v>1</v>
      </c>
    </row>
    <row r="42" spans="1:7" x14ac:dyDescent="0.25">
      <c r="A42" s="598" t="s">
        <v>147</v>
      </c>
      <c r="B42" s="599">
        <f t="shared" si="2"/>
        <v>3.1914893617021274E-2</v>
      </c>
      <c r="C42" s="599">
        <f t="shared" si="2"/>
        <v>0.19574468085106383</v>
      </c>
      <c r="D42" s="599">
        <f t="shared" si="2"/>
        <v>0.71276595744680848</v>
      </c>
      <c r="E42" s="599">
        <f t="shared" si="2"/>
        <v>5.9574468085106386E-2</v>
      </c>
      <c r="F42" s="599">
        <f t="shared" si="2"/>
        <v>0</v>
      </c>
      <c r="G42" s="600">
        <f t="shared" si="3"/>
        <v>0.99999999999999989</v>
      </c>
    </row>
    <row r="43" spans="1:7" x14ac:dyDescent="0.25">
      <c r="A43" s="598" t="s">
        <v>148</v>
      </c>
      <c r="B43" s="599">
        <f t="shared" si="2"/>
        <v>0</v>
      </c>
      <c r="C43" s="599">
        <f t="shared" si="2"/>
        <v>0.2</v>
      </c>
      <c r="D43" s="599">
        <f t="shared" si="2"/>
        <v>0.72</v>
      </c>
      <c r="E43" s="599">
        <f t="shared" si="2"/>
        <v>0.08</v>
      </c>
      <c r="F43" s="599">
        <f t="shared" si="2"/>
        <v>0</v>
      </c>
      <c r="G43" s="600">
        <f t="shared" si="3"/>
        <v>0.99999999999999989</v>
      </c>
    </row>
    <row r="44" spans="1:7" x14ac:dyDescent="0.25">
      <c r="A44" s="598" t="s">
        <v>149</v>
      </c>
      <c r="B44" s="599">
        <f t="shared" si="2"/>
        <v>0</v>
      </c>
      <c r="C44" s="599">
        <f t="shared" si="2"/>
        <v>7.6923076923076927E-2</v>
      </c>
      <c r="D44" s="599">
        <f t="shared" si="2"/>
        <v>0.61538461538461542</v>
      </c>
      <c r="E44" s="599">
        <f t="shared" si="2"/>
        <v>0.30769230769230771</v>
      </c>
      <c r="F44" s="599">
        <f t="shared" si="2"/>
        <v>0</v>
      </c>
      <c r="G44" s="600">
        <f t="shared" si="3"/>
        <v>1</v>
      </c>
    </row>
    <row r="45" spans="1:7" x14ac:dyDescent="0.25">
      <c r="A45" s="598" t="s">
        <v>150</v>
      </c>
      <c r="B45" s="599">
        <f t="shared" si="2"/>
        <v>3.1141868512110725E-2</v>
      </c>
      <c r="C45" s="599">
        <f t="shared" si="2"/>
        <v>0.13148788927335639</v>
      </c>
      <c r="D45" s="599">
        <f t="shared" si="2"/>
        <v>0.57785467128027679</v>
      </c>
      <c r="E45" s="599">
        <f t="shared" si="2"/>
        <v>0.25259515570934254</v>
      </c>
      <c r="F45" s="599">
        <f t="shared" si="2"/>
        <v>6.920415224913495E-3</v>
      </c>
      <c r="G45" s="600">
        <f t="shared" si="3"/>
        <v>1</v>
      </c>
    </row>
    <row r="46" spans="1:7" x14ac:dyDescent="0.25">
      <c r="A46" s="598" t="s">
        <v>151</v>
      </c>
      <c r="B46" s="599">
        <f t="shared" si="2"/>
        <v>8.4870848708487087E-2</v>
      </c>
      <c r="C46" s="599">
        <f t="shared" si="2"/>
        <v>0.11070110701107011</v>
      </c>
      <c r="D46" s="599">
        <f t="shared" si="2"/>
        <v>0.62730627306273068</v>
      </c>
      <c r="E46" s="599">
        <f t="shared" si="2"/>
        <v>0.16236162361623616</v>
      </c>
      <c r="F46" s="599">
        <f t="shared" si="2"/>
        <v>1.4760147601476014E-2</v>
      </c>
      <c r="G46" s="600">
        <f t="shared" si="3"/>
        <v>1</v>
      </c>
    </row>
    <row r="47" spans="1:7" x14ac:dyDescent="0.25">
      <c r="A47" s="598" t="s">
        <v>152</v>
      </c>
      <c r="B47" s="599">
        <f t="shared" si="2"/>
        <v>0.17039106145251395</v>
      </c>
      <c r="C47" s="599">
        <f t="shared" si="2"/>
        <v>0.2011173184357542</v>
      </c>
      <c r="D47" s="599">
        <f t="shared" si="2"/>
        <v>0.5</v>
      </c>
      <c r="E47" s="599">
        <f t="shared" si="2"/>
        <v>0.12849162011173185</v>
      </c>
      <c r="F47" s="599">
        <f t="shared" si="2"/>
        <v>0</v>
      </c>
      <c r="G47" s="600">
        <f t="shared" si="3"/>
        <v>1</v>
      </c>
    </row>
    <row r="48" spans="1:7" x14ac:dyDescent="0.25">
      <c r="A48" s="598" t="s">
        <v>153</v>
      </c>
      <c r="B48" s="599">
        <f t="shared" si="2"/>
        <v>7.1684587813620072E-3</v>
      </c>
      <c r="C48" s="599">
        <f t="shared" si="2"/>
        <v>2.8673835125448029E-2</v>
      </c>
      <c r="D48" s="599">
        <f t="shared" si="2"/>
        <v>0.72401433691756267</v>
      </c>
      <c r="E48" s="599">
        <f t="shared" si="2"/>
        <v>0.23655913978494625</v>
      </c>
      <c r="F48" s="599">
        <f t="shared" si="2"/>
        <v>3.5842293906810036E-3</v>
      </c>
      <c r="G48" s="600">
        <f t="shared" si="3"/>
        <v>1</v>
      </c>
    </row>
    <row r="49" spans="1:7" x14ac:dyDescent="0.25">
      <c r="A49" s="598" t="s">
        <v>154</v>
      </c>
      <c r="B49" s="599">
        <f t="shared" si="2"/>
        <v>1.2448132780082987E-2</v>
      </c>
      <c r="C49" s="599">
        <f t="shared" si="2"/>
        <v>0.1908713692946058</v>
      </c>
      <c r="D49" s="599">
        <f t="shared" si="2"/>
        <v>0.56846473029045641</v>
      </c>
      <c r="E49" s="599">
        <f t="shared" si="2"/>
        <v>0.21991701244813278</v>
      </c>
      <c r="F49" s="599">
        <f t="shared" si="2"/>
        <v>8.2987551867219917E-3</v>
      </c>
      <c r="G49" s="600">
        <f t="shared" si="3"/>
        <v>0.99999999999999989</v>
      </c>
    </row>
    <row r="50" spans="1:7" x14ac:dyDescent="0.25">
      <c r="A50" s="598" t="s">
        <v>155</v>
      </c>
      <c r="B50" s="599">
        <f t="shared" si="2"/>
        <v>1.4035087719298246E-2</v>
      </c>
      <c r="C50" s="599">
        <f t="shared" si="2"/>
        <v>6.6666666666666666E-2</v>
      </c>
      <c r="D50" s="599">
        <f t="shared" si="2"/>
        <v>0.58947368421052626</v>
      </c>
      <c r="E50" s="599">
        <f t="shared" si="2"/>
        <v>0.31578947368421051</v>
      </c>
      <c r="F50" s="599">
        <f t="shared" si="2"/>
        <v>1.4035087719298246E-2</v>
      </c>
      <c r="G50" s="600">
        <f t="shared" si="3"/>
        <v>1</v>
      </c>
    </row>
    <row r="51" spans="1:7" x14ac:dyDescent="0.25">
      <c r="A51" s="598" t="s">
        <v>156</v>
      </c>
      <c r="B51" s="599">
        <f t="shared" si="2"/>
        <v>0</v>
      </c>
      <c r="C51" s="599">
        <f t="shared" si="2"/>
        <v>0.19658119658119658</v>
      </c>
      <c r="D51" s="599">
        <f t="shared" si="2"/>
        <v>0.4358974358974359</v>
      </c>
      <c r="E51" s="599">
        <f t="shared" si="2"/>
        <v>0.3504273504273504</v>
      </c>
      <c r="F51" s="599">
        <f t="shared" si="2"/>
        <v>1.7094017094017096E-2</v>
      </c>
      <c r="G51" s="600">
        <f t="shared" si="3"/>
        <v>1</v>
      </c>
    </row>
    <row r="52" spans="1:7" ht="15.75" thickBot="1" x14ac:dyDescent="0.3">
      <c r="A52" s="601" t="s">
        <v>17</v>
      </c>
      <c r="B52" s="602">
        <f>SUM('T23'!$H$5:$H$19)/SUM('T23'!$D$5:$H$19)</f>
        <v>1.2198127156234598E-2</v>
      </c>
      <c r="C52" s="602">
        <f>SUM('T23'!$F$5:$F$19)/SUM('T23'!$D$5:$H$19)</f>
        <v>0.1006037456875308</v>
      </c>
      <c r="D52" s="602">
        <f>SUM('T23'!$E$5:$E$19)/SUM('T23'!$D$5:$H$19)</f>
        <v>0.10023410547067521</v>
      </c>
      <c r="E52" s="602">
        <f>SUM('T23'!$D$5:$D$19)/SUM('T23'!$D$5:$H$19)</f>
        <v>0.5055446032528339</v>
      </c>
      <c r="F52" s="602">
        <f>SUM('T23'!$G$5:$G$19)/SUM('T23'!$D$5:$H$19)</f>
        <v>0.2814194184327255</v>
      </c>
      <c r="G52" s="602">
        <f t="shared" si="3"/>
        <v>1</v>
      </c>
    </row>
    <row r="54" spans="1:7" x14ac:dyDescent="0.25">
      <c r="A54" s="598" t="s">
        <v>8</v>
      </c>
    </row>
    <row r="55" spans="1:7" ht="45" customHeight="1" x14ac:dyDescent="0.25">
      <c r="A55" s="1097" t="s">
        <v>845</v>
      </c>
      <c r="B55" s="1097"/>
      <c r="C55" s="1097"/>
      <c r="D55" s="1097"/>
      <c r="E55" s="1097"/>
      <c r="F55" s="1097"/>
      <c r="G55" s="1097"/>
    </row>
    <row r="56" spans="1:7" x14ac:dyDescent="0.25">
      <c r="A56" s="1097"/>
      <c r="B56" s="1097"/>
      <c r="C56" s="1097"/>
      <c r="D56" s="1097"/>
      <c r="E56" s="1097"/>
      <c r="F56" s="1097"/>
      <c r="G56" s="1097"/>
    </row>
  </sheetData>
  <sheetProtection algorithmName="SHA-512" hashValue="xCn631O8NBJQ07tJh73yLLhs94MK4wgfwQTLl55HpS7sbZ9kzULxB/QRVkkiYBO2KEiacYtZ6EG0Y14qhbQnnw==" saltValue="VXqAN1hOEH7mhTmCc6zfOg==" spinCount="100000" sheet="1" scenarios="1" formatCells="0" formatColumns="0" formatRows="0" sort="0" autoFilter="0" pivotTables="0"/>
  <mergeCells count="4">
    <mergeCell ref="A28:G28"/>
    <mergeCell ref="A29:G29"/>
    <mergeCell ref="A55:G55"/>
    <mergeCell ref="A56:G56"/>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9"/>
  <sheetViews>
    <sheetView workbookViewId="0">
      <selection activeCell="F15" sqref="F15"/>
    </sheetView>
  </sheetViews>
  <sheetFormatPr defaultRowHeight="15" x14ac:dyDescent="0.25"/>
  <cols>
    <col min="1" max="1" width="13.140625" bestFit="1" customWidth="1"/>
    <col min="2" max="2" width="10" bestFit="1" customWidth="1"/>
    <col min="3" max="3" width="8.42578125" bestFit="1" customWidth="1"/>
    <col min="4" max="4" width="9.42578125" bestFit="1" customWidth="1"/>
    <col min="5" max="5" width="8.85546875" bestFit="1" customWidth="1"/>
    <col min="6" max="6" width="10.140625" bestFit="1" customWidth="1"/>
    <col min="7" max="7" width="12" bestFit="1" customWidth="1"/>
  </cols>
  <sheetData>
    <row r="1" spans="1:7" x14ac:dyDescent="0.25">
      <c r="A1" s="565" t="s">
        <v>329</v>
      </c>
      <c r="B1" t="s">
        <v>851</v>
      </c>
    </row>
    <row r="3" spans="1:7" x14ac:dyDescent="0.25">
      <c r="A3" s="565" t="s">
        <v>246</v>
      </c>
      <c r="B3" t="s">
        <v>482</v>
      </c>
      <c r="C3" t="s">
        <v>483</v>
      </c>
      <c r="D3" t="s">
        <v>480</v>
      </c>
      <c r="E3" t="s">
        <v>481</v>
      </c>
      <c r="F3" t="s">
        <v>484</v>
      </c>
      <c r="G3" t="s">
        <v>252</v>
      </c>
    </row>
    <row r="4" spans="1:7" x14ac:dyDescent="0.25">
      <c r="A4" s="1068" t="s">
        <v>431</v>
      </c>
      <c r="B4" s="567">
        <v>11</v>
      </c>
      <c r="C4" s="567">
        <v>19</v>
      </c>
      <c r="D4" s="567">
        <v>239</v>
      </c>
      <c r="E4" s="567">
        <v>27</v>
      </c>
      <c r="F4" s="567">
        <v>2</v>
      </c>
      <c r="G4" s="567">
        <v>298</v>
      </c>
    </row>
    <row r="5" spans="1:7" x14ac:dyDescent="0.25">
      <c r="A5" s="1068" t="s">
        <v>432</v>
      </c>
      <c r="B5" s="567">
        <v>95</v>
      </c>
      <c r="C5" s="567">
        <v>634</v>
      </c>
      <c r="D5" s="567">
        <v>562</v>
      </c>
      <c r="E5" s="567">
        <v>187</v>
      </c>
      <c r="F5" s="567">
        <v>8</v>
      </c>
      <c r="G5" s="567">
        <v>1486</v>
      </c>
    </row>
    <row r="6" spans="1:7" x14ac:dyDescent="0.25">
      <c r="A6" s="1068" t="s">
        <v>433</v>
      </c>
      <c r="B6" s="567">
        <v>69</v>
      </c>
      <c r="C6" s="567">
        <v>218</v>
      </c>
      <c r="D6" s="567">
        <v>1510</v>
      </c>
      <c r="E6" s="567">
        <v>154</v>
      </c>
      <c r="F6" s="567"/>
      <c r="G6" s="567">
        <v>1951</v>
      </c>
    </row>
    <row r="7" spans="1:7" x14ac:dyDescent="0.25">
      <c r="A7" s="1068" t="s">
        <v>434</v>
      </c>
      <c r="B7" s="567">
        <v>6</v>
      </c>
      <c r="C7" s="567">
        <v>8</v>
      </c>
      <c r="D7" s="567">
        <v>42</v>
      </c>
      <c r="E7" s="567">
        <v>13</v>
      </c>
      <c r="F7" s="567">
        <v>2</v>
      </c>
      <c r="G7" s="567">
        <v>71</v>
      </c>
    </row>
    <row r="8" spans="1:7" x14ac:dyDescent="0.25">
      <c r="A8" s="1068" t="s">
        <v>435</v>
      </c>
      <c r="B8" s="567">
        <v>1</v>
      </c>
      <c r="C8" s="567">
        <v>131</v>
      </c>
      <c r="D8" s="567">
        <v>746</v>
      </c>
      <c r="E8" s="567">
        <v>191</v>
      </c>
      <c r="F8" s="567">
        <v>12</v>
      </c>
      <c r="G8" s="567">
        <v>1081</v>
      </c>
    </row>
    <row r="9" spans="1:7" x14ac:dyDescent="0.25">
      <c r="A9" s="1068" t="s">
        <v>436</v>
      </c>
      <c r="B9" s="567">
        <v>15</v>
      </c>
      <c r="C9" s="567">
        <v>92</v>
      </c>
      <c r="D9" s="567">
        <v>335</v>
      </c>
      <c r="E9" s="567">
        <v>28</v>
      </c>
      <c r="F9" s="567"/>
      <c r="G9" s="567">
        <v>470</v>
      </c>
    </row>
    <row r="10" spans="1:7" x14ac:dyDescent="0.25">
      <c r="A10" s="1068" t="s">
        <v>437</v>
      </c>
      <c r="B10" s="567"/>
      <c r="C10" s="567">
        <v>5</v>
      </c>
      <c r="D10" s="567">
        <v>18</v>
      </c>
      <c r="E10" s="567">
        <v>2</v>
      </c>
      <c r="F10" s="567"/>
      <c r="G10" s="567">
        <v>25</v>
      </c>
    </row>
    <row r="11" spans="1:7" x14ac:dyDescent="0.25">
      <c r="A11" s="1068" t="s">
        <v>438</v>
      </c>
      <c r="B11" s="567"/>
      <c r="C11" s="567">
        <v>3</v>
      </c>
      <c r="D11" s="567">
        <v>24</v>
      </c>
      <c r="E11" s="567">
        <v>12</v>
      </c>
      <c r="F11" s="567"/>
      <c r="G11" s="567">
        <v>39</v>
      </c>
    </row>
    <row r="12" spans="1:7" x14ac:dyDescent="0.25">
      <c r="A12" s="1068" t="s">
        <v>439</v>
      </c>
      <c r="B12" s="567">
        <v>9</v>
      </c>
      <c r="C12" s="567">
        <v>38</v>
      </c>
      <c r="D12" s="567">
        <v>167</v>
      </c>
      <c r="E12" s="567">
        <v>73</v>
      </c>
      <c r="F12" s="567">
        <v>2</v>
      </c>
      <c r="G12" s="567">
        <v>289</v>
      </c>
    </row>
    <row r="13" spans="1:7" x14ac:dyDescent="0.25">
      <c r="A13" s="1068" t="s">
        <v>440</v>
      </c>
      <c r="B13" s="567">
        <v>23</v>
      </c>
      <c r="C13" s="567">
        <v>30</v>
      </c>
      <c r="D13" s="567">
        <v>170</v>
      </c>
      <c r="E13" s="567">
        <v>44</v>
      </c>
      <c r="F13" s="567">
        <v>4</v>
      </c>
      <c r="G13" s="567">
        <v>271</v>
      </c>
    </row>
    <row r="14" spans="1:7" x14ac:dyDescent="0.25">
      <c r="A14" s="1068" t="s">
        <v>441</v>
      </c>
      <c r="B14" s="567">
        <v>61</v>
      </c>
      <c r="C14" s="567">
        <v>72</v>
      </c>
      <c r="D14" s="567">
        <v>179</v>
      </c>
      <c r="E14" s="567">
        <v>46</v>
      </c>
      <c r="F14" s="567"/>
      <c r="G14" s="567">
        <v>358</v>
      </c>
    </row>
    <row r="15" spans="1:7" x14ac:dyDescent="0.25">
      <c r="A15" s="1068" t="s">
        <v>442</v>
      </c>
      <c r="B15" s="567">
        <v>2</v>
      </c>
      <c r="C15" s="567">
        <v>8</v>
      </c>
      <c r="D15" s="567">
        <v>202</v>
      </c>
      <c r="E15" s="567">
        <v>66</v>
      </c>
      <c r="F15" s="567">
        <v>1</v>
      </c>
      <c r="G15" s="567">
        <v>279</v>
      </c>
    </row>
    <row r="16" spans="1:7" x14ac:dyDescent="0.25">
      <c r="A16" s="1068" t="s">
        <v>443</v>
      </c>
      <c r="B16" s="567">
        <v>3</v>
      </c>
      <c r="C16" s="567">
        <v>46</v>
      </c>
      <c r="D16" s="567">
        <v>137</v>
      </c>
      <c r="E16" s="567">
        <v>53</v>
      </c>
      <c r="F16" s="567">
        <v>2</v>
      </c>
      <c r="G16" s="567">
        <v>241</v>
      </c>
    </row>
    <row r="17" spans="1:7" x14ac:dyDescent="0.25">
      <c r="A17" s="1068" t="s">
        <v>444</v>
      </c>
      <c r="B17" s="567">
        <v>4</v>
      </c>
      <c r="C17" s="567">
        <v>19</v>
      </c>
      <c r="D17" s="567">
        <v>168</v>
      </c>
      <c r="E17" s="567">
        <v>90</v>
      </c>
      <c r="F17" s="567">
        <v>4</v>
      </c>
      <c r="G17" s="567">
        <v>285</v>
      </c>
    </row>
    <row r="18" spans="1:7" x14ac:dyDescent="0.25">
      <c r="A18" s="1068" t="s">
        <v>445</v>
      </c>
      <c r="B18" s="567"/>
      <c r="C18" s="567">
        <v>23</v>
      </c>
      <c r="D18" s="567">
        <v>51</v>
      </c>
      <c r="E18" s="567">
        <v>41</v>
      </c>
      <c r="F18" s="567">
        <v>2</v>
      </c>
      <c r="G18" s="567">
        <v>117</v>
      </c>
    </row>
    <row r="19" spans="1:7" x14ac:dyDescent="0.25">
      <c r="A19" s="1068" t="s">
        <v>251</v>
      </c>
      <c r="B19" s="567">
        <v>299</v>
      </c>
      <c r="C19" s="567">
        <v>1346</v>
      </c>
      <c r="D19" s="567">
        <v>4550</v>
      </c>
      <c r="E19" s="567">
        <v>1027</v>
      </c>
      <c r="F19" s="567">
        <v>39</v>
      </c>
      <c r="G19" s="567">
        <v>7261</v>
      </c>
    </row>
  </sheetData>
  <sheetProtection algorithmName="SHA-512" hashValue="6njaRHr0qUFMyJcny1YlJgVTPlHf1I8nWKICONV410nidgPQcAHF1MlJmm+TuoBh3Z6wGwqnS+xV2rKC2izzug==" saltValue="reqo8KFISe2uzti79elzjA=="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633</v>
      </c>
      <c r="B1" s="802"/>
      <c r="C1" s="802"/>
    </row>
    <row r="2" spans="1:8" ht="15.75" x14ac:dyDescent="0.25">
      <c r="A2" s="772" t="s">
        <v>578</v>
      </c>
      <c r="B2" s="780"/>
      <c r="C2" s="780"/>
    </row>
    <row r="4" spans="1:8" ht="15.75" x14ac:dyDescent="0.25">
      <c r="A4" s="1087" t="s">
        <v>655</v>
      </c>
      <c r="B4" s="1087"/>
      <c r="C4" s="1087"/>
      <c r="D4" s="1087"/>
      <c r="E4" s="1087"/>
      <c r="F4" s="1087"/>
      <c r="G4" s="1087"/>
      <c r="H4" s="1087"/>
    </row>
    <row r="5" spans="1:8" x14ac:dyDescent="0.25">
      <c r="A5" s="944" t="s">
        <v>798</v>
      </c>
    </row>
    <row r="6" spans="1:8" x14ac:dyDescent="0.25">
      <c r="A6" s="944" t="s">
        <v>746</v>
      </c>
    </row>
  </sheetData>
  <sheetProtection algorithmName="SHA-512" hashValue="NeJ4zyIXV9VkvBDRzloIN8i+vit2HSL7+1U91RgC0QpNNmBex65S+EqizSgS0JbPdrU+hqKB+r9ul6M/Cp2xZQ==" saltValue="PPgTU8r9ZDnWXjNiHaDIOw==" spinCount="100000" sheet="1" scenarios="1" formatCells="0" formatColumns="0" formatRows="0" sort="0" autoFilter="0"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5"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633</v>
      </c>
      <c r="B1" s="802"/>
      <c r="C1" s="802"/>
    </row>
    <row r="2" spans="1:8" ht="15.75" x14ac:dyDescent="0.25">
      <c r="A2" s="772" t="s">
        <v>578</v>
      </c>
      <c r="B2" s="780"/>
      <c r="C2" s="780"/>
    </row>
    <row r="4" spans="1:8" ht="15.75" x14ac:dyDescent="0.25">
      <c r="A4" s="1087" t="s">
        <v>656</v>
      </c>
      <c r="B4" s="1087"/>
      <c r="C4" s="1087"/>
      <c r="D4" s="1087"/>
      <c r="E4" s="1087"/>
      <c r="F4" s="1087"/>
      <c r="G4" s="1087"/>
      <c r="H4" s="1087"/>
    </row>
    <row r="5" spans="1:8" x14ac:dyDescent="0.25">
      <c r="A5" s="944" t="s">
        <v>798</v>
      </c>
      <c r="H5" s="366"/>
    </row>
    <row r="6" spans="1:8" x14ac:dyDescent="0.25">
      <c r="A6" s="944" t="s">
        <v>747</v>
      </c>
    </row>
  </sheetData>
  <sheetProtection algorithmName="SHA-512" hashValue="Luo4aiZIppffIpcwzxx0PW71pp53A/n4r7UTOH6cuUYLgH7E3kJCWQJbetoc25reb/Sr77PGZOhyOuaJu1x/Vg==" saltValue="QFFpXz0VnN9RPjcqILWCOQ==" spinCount="100000" sheet="1" scenarios="1" formatCells="0" formatColumns="0" formatRows="0" sort="0" autoFilter="0"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
  <sheetViews>
    <sheetView showGridLines="0" workbookViewId="0"/>
  </sheetViews>
  <sheetFormatPr defaultRowHeight="15" x14ac:dyDescent="0.25"/>
  <sheetData>
    <row r="1" spans="1:8" ht="15.75" x14ac:dyDescent="0.25">
      <c r="A1" s="802" t="s">
        <v>633</v>
      </c>
      <c r="B1" s="802"/>
      <c r="C1" s="802"/>
    </row>
    <row r="2" spans="1:8" ht="15.75" x14ac:dyDescent="0.25">
      <c r="A2" s="772" t="s">
        <v>578</v>
      </c>
      <c r="B2" s="979"/>
      <c r="C2" s="979"/>
    </row>
    <row r="4" spans="1:8" ht="15.75" x14ac:dyDescent="0.25">
      <c r="A4" s="1087" t="s">
        <v>1009</v>
      </c>
      <c r="B4" s="1087"/>
      <c r="C4" s="1087"/>
      <c r="D4" s="1087"/>
      <c r="E4" s="1087"/>
      <c r="F4" s="1087"/>
      <c r="G4" s="1087"/>
      <c r="H4" s="1087"/>
    </row>
    <row r="5" spans="1:8" x14ac:dyDescent="0.25">
      <c r="A5" s="944" t="s">
        <v>798</v>
      </c>
      <c r="H5" s="366"/>
    </row>
    <row r="6" spans="1:8" x14ac:dyDescent="0.25">
      <c r="A6" s="944" t="s">
        <v>1010</v>
      </c>
    </row>
  </sheetData>
  <sheetProtection algorithmName="SHA-512" hashValue="0oeb+9xIDX0Br0KjDhGxkND2wPdlwxVmY3i7MmpRvgnkAZYDrsDGez0kW2+cJMIRC3F2PU/TFnvFL1XofcLl7A==" saltValue="LKiEz6A8dYoEzbFsNRjo6A=="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H68"/>
  <sheetViews>
    <sheetView zoomScale="70" zoomScaleNormal="70" workbookViewId="0">
      <pane ySplit="4" topLeftCell="A5" activePane="bottomLeft" state="frozen"/>
      <selection pane="bottomLeft"/>
    </sheetView>
  </sheetViews>
  <sheetFormatPr defaultRowHeight="15" x14ac:dyDescent="0.25"/>
  <sheetData>
    <row r="4" spans="1:8" x14ac:dyDescent="0.25">
      <c r="A4" s="1066" t="s">
        <v>329</v>
      </c>
      <c r="B4" s="1066" t="s">
        <v>928</v>
      </c>
      <c r="C4" s="1066" t="s">
        <v>929</v>
      </c>
      <c r="D4" s="1066" t="s">
        <v>62</v>
      </c>
      <c r="E4" s="1066" t="s">
        <v>930</v>
      </c>
      <c r="F4" s="1066" t="s">
        <v>931</v>
      </c>
      <c r="G4" s="1066" t="s">
        <v>15</v>
      </c>
      <c r="H4" s="1066" t="s">
        <v>932</v>
      </c>
    </row>
    <row r="5" spans="1:8" x14ac:dyDescent="0.25">
      <c r="A5" s="1067" t="s">
        <v>254</v>
      </c>
      <c r="B5" s="1067" t="s">
        <v>31</v>
      </c>
      <c r="C5" s="1067" t="s">
        <v>301</v>
      </c>
      <c r="D5" s="1067" t="s">
        <v>31</v>
      </c>
      <c r="E5" s="1067"/>
      <c r="F5" s="1067" t="s">
        <v>369</v>
      </c>
      <c r="G5" s="1067" t="s">
        <v>172</v>
      </c>
      <c r="H5" s="1067" t="s">
        <v>404</v>
      </c>
    </row>
    <row r="6" spans="1:8" x14ac:dyDescent="0.25">
      <c r="A6" s="1067" t="s">
        <v>254</v>
      </c>
      <c r="B6" s="1067" t="s">
        <v>32</v>
      </c>
      <c r="C6" s="1067" t="s">
        <v>302</v>
      </c>
      <c r="D6" s="1067" t="s">
        <v>63</v>
      </c>
      <c r="E6" s="1067"/>
      <c r="F6" s="1067" t="s">
        <v>370</v>
      </c>
      <c r="G6" s="1067" t="s">
        <v>172</v>
      </c>
      <c r="H6" s="1067" t="s">
        <v>404</v>
      </c>
    </row>
    <row r="7" spans="1:8" x14ac:dyDescent="0.25">
      <c r="A7" s="1067" t="s">
        <v>254</v>
      </c>
      <c r="B7" s="1067" t="s">
        <v>33</v>
      </c>
      <c r="C7" s="1067" t="s">
        <v>308</v>
      </c>
      <c r="D7" s="1067" t="s">
        <v>65</v>
      </c>
      <c r="E7" s="1067"/>
      <c r="F7" s="1067" t="s">
        <v>371</v>
      </c>
      <c r="G7" s="1067" t="s">
        <v>172</v>
      </c>
      <c r="H7" s="1067" t="s">
        <v>404</v>
      </c>
    </row>
    <row r="8" spans="1:8" x14ac:dyDescent="0.25">
      <c r="A8" s="1067" t="s">
        <v>254</v>
      </c>
      <c r="B8" s="1067" t="s">
        <v>34</v>
      </c>
      <c r="C8" s="1067" t="s">
        <v>303</v>
      </c>
      <c r="D8" s="1067" t="s">
        <v>64</v>
      </c>
      <c r="E8" s="1067"/>
      <c r="F8" s="1067" t="s">
        <v>372</v>
      </c>
      <c r="G8" s="1067" t="s">
        <v>173</v>
      </c>
      <c r="H8" s="1067" t="s">
        <v>403</v>
      </c>
    </row>
    <row r="9" spans="1:8" x14ac:dyDescent="0.25">
      <c r="A9" s="1067" t="s">
        <v>254</v>
      </c>
      <c r="B9" s="1067" t="s">
        <v>258</v>
      </c>
      <c r="C9" s="1067" t="s">
        <v>304</v>
      </c>
      <c r="D9" s="1067" t="s">
        <v>175</v>
      </c>
      <c r="E9" s="1067"/>
      <c r="F9" s="1067" t="s">
        <v>377</v>
      </c>
      <c r="G9" s="1067" t="s">
        <v>174</v>
      </c>
      <c r="H9" s="1067" t="s">
        <v>402</v>
      </c>
    </row>
    <row r="10" spans="1:8" x14ac:dyDescent="0.25">
      <c r="A10" s="1067" t="s">
        <v>254</v>
      </c>
      <c r="B10" s="1067" t="s">
        <v>35</v>
      </c>
      <c r="C10" s="1067" t="s">
        <v>282</v>
      </c>
      <c r="D10" s="1067" t="s">
        <v>1071</v>
      </c>
      <c r="E10" s="1067"/>
      <c r="F10" s="1067" t="s">
        <v>1072</v>
      </c>
      <c r="G10" s="1067" t="s">
        <v>174</v>
      </c>
      <c r="H10" s="1067" t="s">
        <v>402</v>
      </c>
    </row>
    <row r="11" spans="1:8" x14ac:dyDescent="0.25">
      <c r="A11" s="1067" t="s">
        <v>254</v>
      </c>
      <c r="B11" s="1067" t="s">
        <v>36</v>
      </c>
      <c r="C11" s="1067" t="s">
        <v>283</v>
      </c>
      <c r="D11" s="1067" t="s">
        <v>36</v>
      </c>
      <c r="E11" s="1067"/>
      <c r="F11" s="1067" t="s">
        <v>373</v>
      </c>
      <c r="G11" s="1067" t="s">
        <v>173</v>
      </c>
      <c r="H11" s="1067" t="s">
        <v>403</v>
      </c>
    </row>
    <row r="12" spans="1:8" x14ac:dyDescent="0.25">
      <c r="A12" s="1067" t="s">
        <v>254</v>
      </c>
      <c r="B12" s="1067" t="s">
        <v>37</v>
      </c>
      <c r="C12" s="1067" t="s">
        <v>309</v>
      </c>
      <c r="D12" s="1067" t="s">
        <v>65</v>
      </c>
      <c r="E12" s="1067"/>
      <c r="F12" s="1067" t="s">
        <v>371</v>
      </c>
      <c r="G12" s="1067" t="s">
        <v>172</v>
      </c>
      <c r="H12" s="1067" t="s">
        <v>404</v>
      </c>
    </row>
    <row r="13" spans="1:8" x14ac:dyDescent="0.25">
      <c r="A13" s="1067" t="s">
        <v>254</v>
      </c>
      <c r="B13" s="1067" t="s">
        <v>38</v>
      </c>
      <c r="C13" s="1067" t="s">
        <v>284</v>
      </c>
      <c r="D13" s="1067" t="s">
        <v>66</v>
      </c>
      <c r="E13" s="1067"/>
      <c r="F13" s="1067" t="s">
        <v>374</v>
      </c>
      <c r="G13" s="1067" t="s">
        <v>173</v>
      </c>
      <c r="H13" s="1067" t="s">
        <v>403</v>
      </c>
    </row>
    <row r="14" spans="1:8" x14ac:dyDescent="0.25">
      <c r="A14" s="1067" t="s">
        <v>254</v>
      </c>
      <c r="B14" s="1067" t="s">
        <v>39</v>
      </c>
      <c r="C14" s="1067" t="s">
        <v>311</v>
      </c>
      <c r="D14" s="1067" t="s">
        <v>64</v>
      </c>
      <c r="E14" s="1067"/>
      <c r="F14" s="1067" t="s">
        <v>372</v>
      </c>
      <c r="G14" s="1067" t="s">
        <v>173</v>
      </c>
      <c r="H14" s="1067" t="s">
        <v>403</v>
      </c>
    </row>
    <row r="15" spans="1:8" x14ac:dyDescent="0.25">
      <c r="A15" s="1067" t="s">
        <v>254</v>
      </c>
      <c r="B15" s="1067" t="s">
        <v>40</v>
      </c>
      <c r="C15" s="1067" t="s">
        <v>285</v>
      </c>
      <c r="D15" s="1067" t="s">
        <v>67</v>
      </c>
      <c r="E15" s="1067"/>
      <c r="F15" s="1067" t="s">
        <v>375</v>
      </c>
      <c r="G15" s="1067" t="s">
        <v>174</v>
      </c>
      <c r="H15" s="1067" t="s">
        <v>402</v>
      </c>
    </row>
    <row r="16" spans="1:8" x14ac:dyDescent="0.25">
      <c r="A16" s="1067" t="s">
        <v>254</v>
      </c>
      <c r="B16" s="1067" t="s">
        <v>41</v>
      </c>
      <c r="C16" s="1067" t="s">
        <v>286</v>
      </c>
      <c r="D16" s="1067" t="s">
        <v>68</v>
      </c>
      <c r="E16" s="1067"/>
      <c r="F16" s="1067" t="s">
        <v>376</v>
      </c>
      <c r="G16" s="1067" t="s">
        <v>173</v>
      </c>
      <c r="H16" s="1067" t="s">
        <v>403</v>
      </c>
    </row>
    <row r="17" spans="1:8" x14ac:dyDescent="0.25">
      <c r="A17" s="1067" t="s">
        <v>254</v>
      </c>
      <c r="B17" s="1067" t="s">
        <v>42</v>
      </c>
      <c r="C17" s="1067" t="s">
        <v>288</v>
      </c>
      <c r="D17" s="1067" t="s">
        <v>69</v>
      </c>
      <c r="E17" s="1067"/>
      <c r="F17" s="1067" t="s">
        <v>378</v>
      </c>
      <c r="G17" s="1067" t="s">
        <v>174</v>
      </c>
      <c r="H17" s="1067" t="s">
        <v>402</v>
      </c>
    </row>
    <row r="18" spans="1:8" x14ac:dyDescent="0.25">
      <c r="A18" s="1067" t="s">
        <v>254</v>
      </c>
      <c r="B18" s="1067" t="s">
        <v>43</v>
      </c>
      <c r="C18" s="1067" t="s">
        <v>313</v>
      </c>
      <c r="D18" s="1067" t="s">
        <v>43</v>
      </c>
      <c r="E18" s="1067"/>
      <c r="F18" s="1067" t="s">
        <v>1073</v>
      </c>
      <c r="G18" s="1067" t="s">
        <v>174</v>
      </c>
      <c r="H18" s="1067" t="s">
        <v>402</v>
      </c>
    </row>
    <row r="19" spans="1:8" x14ac:dyDescent="0.25">
      <c r="A19" s="1067" t="s">
        <v>254</v>
      </c>
      <c r="B19" s="1067" t="s">
        <v>121</v>
      </c>
      <c r="C19" s="1067" t="s">
        <v>312</v>
      </c>
      <c r="D19" s="1067" t="s">
        <v>121</v>
      </c>
      <c r="E19" s="1067"/>
      <c r="F19" s="1067" t="s">
        <v>1074</v>
      </c>
      <c r="G19" s="1067" t="s">
        <v>173</v>
      </c>
      <c r="H19" s="1067" t="s">
        <v>403</v>
      </c>
    </row>
    <row r="20" spans="1:8" x14ac:dyDescent="0.25">
      <c r="A20" s="1067" t="s">
        <v>254</v>
      </c>
      <c r="B20" s="1067" t="s">
        <v>44</v>
      </c>
      <c r="C20" s="1067" t="s">
        <v>289</v>
      </c>
      <c r="D20" s="1067" t="s">
        <v>70</v>
      </c>
      <c r="E20" s="1067"/>
      <c r="F20" s="1067" t="s">
        <v>379</v>
      </c>
      <c r="G20" s="1067" t="s">
        <v>172</v>
      </c>
      <c r="H20" s="1067" t="s">
        <v>404</v>
      </c>
    </row>
    <row r="21" spans="1:8" x14ac:dyDescent="0.25">
      <c r="A21" s="1067" t="s">
        <v>254</v>
      </c>
      <c r="B21" s="1067" t="s">
        <v>45</v>
      </c>
      <c r="C21" s="1067" t="s">
        <v>290</v>
      </c>
      <c r="D21" s="1067" t="s">
        <v>68</v>
      </c>
      <c r="E21" s="1067"/>
      <c r="F21" s="1067" t="s">
        <v>376</v>
      </c>
      <c r="G21" s="1067" t="s">
        <v>173</v>
      </c>
      <c r="H21" s="1067" t="s">
        <v>403</v>
      </c>
    </row>
    <row r="22" spans="1:8" x14ac:dyDescent="0.25">
      <c r="A22" s="1067" t="s">
        <v>254</v>
      </c>
      <c r="B22" s="1067" t="s">
        <v>46</v>
      </c>
      <c r="C22" s="1067" t="s">
        <v>291</v>
      </c>
      <c r="D22" s="1067" t="s">
        <v>67</v>
      </c>
      <c r="E22" s="1067"/>
      <c r="F22" s="1067" t="s">
        <v>375</v>
      </c>
      <c r="G22" s="1067" t="s">
        <v>174</v>
      </c>
      <c r="H22" s="1067" t="s">
        <v>402</v>
      </c>
    </row>
    <row r="23" spans="1:8" x14ac:dyDescent="0.25">
      <c r="A23" s="1067" t="s">
        <v>254</v>
      </c>
      <c r="B23" s="1067" t="s">
        <v>47</v>
      </c>
      <c r="C23" s="1067" t="s">
        <v>292</v>
      </c>
      <c r="D23" s="1067" t="s">
        <v>63</v>
      </c>
      <c r="E23" s="1067"/>
      <c r="F23" s="1067" t="s">
        <v>370</v>
      </c>
      <c r="G23" s="1067" t="s">
        <v>172</v>
      </c>
      <c r="H23" s="1067" t="s">
        <v>404</v>
      </c>
    </row>
    <row r="24" spans="1:8" x14ac:dyDescent="0.25">
      <c r="A24" s="1067" t="s">
        <v>254</v>
      </c>
      <c r="B24" s="1067" t="s">
        <v>48</v>
      </c>
      <c r="C24" s="1067" t="s">
        <v>287</v>
      </c>
      <c r="D24" s="1067" t="s">
        <v>71</v>
      </c>
      <c r="E24" s="1067"/>
      <c r="F24" s="1067" t="s">
        <v>381</v>
      </c>
      <c r="G24" s="1067" t="s">
        <v>172</v>
      </c>
      <c r="H24" s="1067" t="s">
        <v>404</v>
      </c>
    </row>
    <row r="25" spans="1:8" x14ac:dyDescent="0.25">
      <c r="A25" s="1067" t="s">
        <v>254</v>
      </c>
      <c r="B25" s="1067" t="s">
        <v>49</v>
      </c>
      <c r="C25" s="1067" t="s">
        <v>293</v>
      </c>
      <c r="D25" s="1067" t="s">
        <v>66</v>
      </c>
      <c r="E25" s="1067"/>
      <c r="F25" s="1067" t="s">
        <v>374</v>
      </c>
      <c r="G25" s="1067" t="s">
        <v>173</v>
      </c>
      <c r="H25" s="1067" t="s">
        <v>403</v>
      </c>
    </row>
    <row r="26" spans="1:8" x14ac:dyDescent="0.25">
      <c r="A26" s="1067" t="s">
        <v>254</v>
      </c>
      <c r="B26" s="1067" t="s">
        <v>50</v>
      </c>
      <c r="C26" s="1067" t="s">
        <v>310</v>
      </c>
      <c r="D26" s="1067" t="s">
        <v>50</v>
      </c>
      <c r="E26" s="1067"/>
      <c r="F26" s="1067" t="s">
        <v>1075</v>
      </c>
      <c r="G26" s="1067" t="s">
        <v>173</v>
      </c>
      <c r="H26" s="1067" t="s">
        <v>403</v>
      </c>
    </row>
    <row r="27" spans="1:8" x14ac:dyDescent="0.25">
      <c r="A27" s="1067" t="s">
        <v>254</v>
      </c>
      <c r="B27" s="1067" t="s">
        <v>51</v>
      </c>
      <c r="C27" s="1067" t="s">
        <v>294</v>
      </c>
      <c r="D27" s="1067" t="s">
        <v>71</v>
      </c>
      <c r="E27" s="1067"/>
      <c r="F27" s="1067" t="s">
        <v>381</v>
      </c>
      <c r="G27" s="1067" t="s">
        <v>172</v>
      </c>
      <c r="H27" s="1067" t="s">
        <v>404</v>
      </c>
    </row>
    <row r="28" spans="1:8" x14ac:dyDescent="0.25">
      <c r="A28" s="1067" t="s">
        <v>254</v>
      </c>
      <c r="B28" s="1067" t="s">
        <v>52</v>
      </c>
      <c r="C28" s="1067" t="s">
        <v>295</v>
      </c>
      <c r="D28" s="1067" t="s">
        <v>65</v>
      </c>
      <c r="E28" s="1067"/>
      <c r="F28" s="1067" t="s">
        <v>371</v>
      </c>
      <c r="G28" s="1067" t="s">
        <v>172</v>
      </c>
      <c r="H28" s="1067" t="s">
        <v>404</v>
      </c>
    </row>
    <row r="29" spans="1:8" x14ac:dyDescent="0.25">
      <c r="A29" s="1067" t="s">
        <v>254</v>
      </c>
      <c r="B29" s="1067" t="s">
        <v>53</v>
      </c>
      <c r="C29" s="1067" t="s">
        <v>305</v>
      </c>
      <c r="D29" s="1067" t="s">
        <v>68</v>
      </c>
      <c r="E29" s="1067"/>
      <c r="F29" s="1067" t="s">
        <v>376</v>
      </c>
      <c r="G29" s="1067" t="s">
        <v>173</v>
      </c>
      <c r="H29" s="1067" t="s">
        <v>403</v>
      </c>
    </row>
    <row r="30" spans="1:8" x14ac:dyDescent="0.25">
      <c r="A30" s="1067" t="s">
        <v>254</v>
      </c>
      <c r="B30" s="1067" t="s">
        <v>54</v>
      </c>
      <c r="C30" s="1067" t="s">
        <v>296</v>
      </c>
      <c r="D30" s="1067" t="s">
        <v>67</v>
      </c>
      <c r="E30" s="1067"/>
      <c r="F30" s="1067" t="s">
        <v>375</v>
      </c>
      <c r="G30" s="1067" t="s">
        <v>174</v>
      </c>
      <c r="H30" s="1067" t="s">
        <v>402</v>
      </c>
    </row>
    <row r="31" spans="1:8" x14ac:dyDescent="0.25">
      <c r="A31" s="1067" t="s">
        <v>254</v>
      </c>
      <c r="B31" s="1067" t="s">
        <v>55</v>
      </c>
      <c r="C31" s="1067" t="s">
        <v>297</v>
      </c>
      <c r="D31" s="1067" t="s">
        <v>71</v>
      </c>
      <c r="E31" s="1067"/>
      <c r="F31" s="1067" t="s">
        <v>381</v>
      </c>
      <c r="G31" s="1067" t="s">
        <v>172</v>
      </c>
      <c r="H31" s="1067" t="s">
        <v>404</v>
      </c>
    </row>
    <row r="32" spans="1:8" x14ac:dyDescent="0.25">
      <c r="A32" s="1067" t="s">
        <v>254</v>
      </c>
      <c r="B32" s="1067" t="s">
        <v>56</v>
      </c>
      <c r="C32" s="1067" t="s">
        <v>298</v>
      </c>
      <c r="D32" s="1067" t="s">
        <v>66</v>
      </c>
      <c r="E32" s="1067"/>
      <c r="F32" s="1067" t="s">
        <v>374</v>
      </c>
      <c r="G32" s="1067" t="s">
        <v>173</v>
      </c>
      <c r="H32" s="1067" t="s">
        <v>403</v>
      </c>
    </row>
    <row r="33" spans="1:8" x14ac:dyDescent="0.25">
      <c r="A33" s="1067" t="s">
        <v>254</v>
      </c>
      <c r="B33" s="1067" t="s">
        <v>57</v>
      </c>
      <c r="C33" s="1067" t="s">
        <v>299</v>
      </c>
      <c r="D33" s="1067" t="s">
        <v>57</v>
      </c>
      <c r="E33" s="1067"/>
      <c r="F33" s="1067" t="s">
        <v>380</v>
      </c>
      <c r="G33" s="1067" t="s">
        <v>173</v>
      </c>
      <c r="H33" s="1067" t="s">
        <v>403</v>
      </c>
    </row>
    <row r="34" spans="1:8" x14ac:dyDescent="0.25">
      <c r="A34" s="1067" t="s">
        <v>254</v>
      </c>
      <c r="B34" s="1067" t="s">
        <v>58</v>
      </c>
      <c r="C34" s="1067" t="s">
        <v>300</v>
      </c>
      <c r="D34" s="1067" t="s">
        <v>1071</v>
      </c>
      <c r="E34" s="1067"/>
      <c r="F34" s="1067" t="s">
        <v>1072</v>
      </c>
      <c r="G34" s="1067" t="s">
        <v>174</v>
      </c>
      <c r="H34" s="1067" t="s">
        <v>402</v>
      </c>
    </row>
    <row r="35" spans="1:8" x14ac:dyDescent="0.25">
      <c r="A35" s="1067" t="s">
        <v>254</v>
      </c>
      <c r="B35" s="1067" t="s">
        <v>59</v>
      </c>
      <c r="C35" s="1067" t="s">
        <v>306</v>
      </c>
      <c r="D35" s="1067" t="s">
        <v>64</v>
      </c>
      <c r="E35" s="1067"/>
      <c r="F35" s="1067" t="s">
        <v>372</v>
      </c>
      <c r="G35" s="1067" t="s">
        <v>173</v>
      </c>
      <c r="H35" s="1067" t="s">
        <v>403</v>
      </c>
    </row>
    <row r="36" spans="1:8" x14ac:dyDescent="0.25">
      <c r="A36" s="1067" t="s">
        <v>254</v>
      </c>
      <c r="B36" s="1067" t="s">
        <v>60</v>
      </c>
      <c r="C36" s="1067" t="s">
        <v>307</v>
      </c>
      <c r="D36" s="1067" t="s">
        <v>69</v>
      </c>
      <c r="E36" s="1067"/>
      <c r="F36" s="1067" t="s">
        <v>378</v>
      </c>
      <c r="G36" s="1067" t="s">
        <v>174</v>
      </c>
      <c r="H36" s="1067" t="s">
        <v>402</v>
      </c>
    </row>
    <row r="37" spans="1:8" x14ac:dyDescent="0.25">
      <c r="A37" s="1067" t="s">
        <v>851</v>
      </c>
      <c r="B37" s="1067" t="s">
        <v>31</v>
      </c>
      <c r="C37" s="1067" t="s">
        <v>301</v>
      </c>
      <c r="D37" s="1067" t="s">
        <v>31</v>
      </c>
      <c r="E37" s="1067" t="s">
        <v>31</v>
      </c>
      <c r="F37" s="1067" t="s">
        <v>369</v>
      </c>
      <c r="G37" s="1067" t="s">
        <v>172</v>
      </c>
      <c r="H37" s="1067" t="s">
        <v>404</v>
      </c>
    </row>
    <row r="38" spans="1:8" x14ac:dyDescent="0.25">
      <c r="A38" s="1067" t="s">
        <v>851</v>
      </c>
      <c r="B38" s="1067" t="s">
        <v>32</v>
      </c>
      <c r="C38" s="1067" t="s">
        <v>302</v>
      </c>
      <c r="D38" s="1067" t="s">
        <v>63</v>
      </c>
      <c r="E38" s="1067" t="s">
        <v>63</v>
      </c>
      <c r="F38" s="1067" t="s">
        <v>370</v>
      </c>
      <c r="G38" s="1067" t="s">
        <v>172</v>
      </c>
      <c r="H38" s="1067" t="s">
        <v>404</v>
      </c>
    </row>
    <row r="39" spans="1:8" x14ac:dyDescent="0.25">
      <c r="A39" s="1067" t="s">
        <v>851</v>
      </c>
      <c r="B39" s="1067" t="s">
        <v>33</v>
      </c>
      <c r="C39" s="1067" t="s">
        <v>308</v>
      </c>
      <c r="D39" s="1067" t="s">
        <v>65</v>
      </c>
      <c r="E39" s="1067" t="s">
        <v>65</v>
      </c>
      <c r="F39" s="1067" t="s">
        <v>371</v>
      </c>
      <c r="G39" s="1067" t="s">
        <v>172</v>
      </c>
      <c r="H39" s="1067" t="s">
        <v>404</v>
      </c>
    </row>
    <row r="40" spans="1:8" x14ac:dyDescent="0.25">
      <c r="A40" s="1067" t="s">
        <v>851</v>
      </c>
      <c r="B40" s="1067" t="s">
        <v>34</v>
      </c>
      <c r="C40" s="1067" t="s">
        <v>303</v>
      </c>
      <c r="D40" s="1067" t="s">
        <v>64</v>
      </c>
      <c r="E40" s="1067" t="s">
        <v>64</v>
      </c>
      <c r="F40" s="1067" t="s">
        <v>372</v>
      </c>
      <c r="G40" s="1067" t="s">
        <v>173</v>
      </c>
      <c r="H40" s="1067" t="s">
        <v>403</v>
      </c>
    </row>
    <row r="41" spans="1:8" x14ac:dyDescent="0.25">
      <c r="A41" s="1067" t="s">
        <v>851</v>
      </c>
      <c r="B41" s="1067" t="s">
        <v>258</v>
      </c>
      <c r="C41" s="1067" t="s">
        <v>304</v>
      </c>
      <c r="D41" s="1067" t="s">
        <v>175</v>
      </c>
      <c r="E41" s="1067" t="s">
        <v>175</v>
      </c>
      <c r="F41" s="1067" t="s">
        <v>377</v>
      </c>
      <c r="G41" s="1067" t="s">
        <v>174</v>
      </c>
      <c r="H41" s="1067" t="s">
        <v>402</v>
      </c>
    </row>
    <row r="42" spans="1:8" x14ac:dyDescent="0.25">
      <c r="A42" s="1067" t="s">
        <v>851</v>
      </c>
      <c r="B42" s="1067" t="s">
        <v>35</v>
      </c>
      <c r="C42" s="1067" t="s">
        <v>282</v>
      </c>
      <c r="D42" s="1067" t="s">
        <v>1071</v>
      </c>
      <c r="E42" s="1067" t="s">
        <v>853</v>
      </c>
      <c r="F42" s="1067" t="s">
        <v>1072</v>
      </c>
      <c r="G42" s="1067" t="s">
        <v>174</v>
      </c>
      <c r="H42" s="1067" t="s">
        <v>402</v>
      </c>
    </row>
    <row r="43" spans="1:8" x14ac:dyDescent="0.25">
      <c r="A43" s="1067" t="s">
        <v>851</v>
      </c>
      <c r="B43" s="1067" t="s">
        <v>36</v>
      </c>
      <c r="C43" s="1067" t="s">
        <v>283</v>
      </c>
      <c r="D43" s="1067" t="s">
        <v>36</v>
      </c>
      <c r="E43" s="1067" t="s">
        <v>36</v>
      </c>
      <c r="F43" s="1067" t="s">
        <v>373</v>
      </c>
      <c r="G43" s="1067" t="s">
        <v>173</v>
      </c>
      <c r="H43" s="1067" t="s">
        <v>403</v>
      </c>
    </row>
    <row r="44" spans="1:8" x14ac:dyDescent="0.25">
      <c r="A44" s="1067" t="s">
        <v>851</v>
      </c>
      <c r="B44" s="1067" t="s">
        <v>37</v>
      </c>
      <c r="C44" s="1067" t="s">
        <v>309</v>
      </c>
      <c r="D44" s="1067" t="s">
        <v>65</v>
      </c>
      <c r="E44" s="1067" t="s">
        <v>65</v>
      </c>
      <c r="F44" s="1067" t="s">
        <v>371</v>
      </c>
      <c r="G44" s="1067" t="s">
        <v>172</v>
      </c>
      <c r="H44" s="1067" t="s">
        <v>404</v>
      </c>
    </row>
    <row r="45" spans="1:8" x14ac:dyDescent="0.25">
      <c r="A45" s="1067" t="s">
        <v>851</v>
      </c>
      <c r="B45" s="1067" t="s">
        <v>38</v>
      </c>
      <c r="C45" s="1067" t="s">
        <v>284</v>
      </c>
      <c r="D45" s="1067" t="s">
        <v>66</v>
      </c>
      <c r="E45" s="1067" t="s">
        <v>66</v>
      </c>
      <c r="F45" s="1067" t="s">
        <v>374</v>
      </c>
      <c r="G45" s="1067" t="s">
        <v>173</v>
      </c>
      <c r="H45" s="1067" t="s">
        <v>403</v>
      </c>
    </row>
    <row r="46" spans="1:8" x14ac:dyDescent="0.25">
      <c r="A46" s="1067" t="s">
        <v>851</v>
      </c>
      <c r="B46" s="1067" t="s">
        <v>39</v>
      </c>
      <c r="C46" s="1067" t="s">
        <v>311</v>
      </c>
      <c r="D46" s="1067" t="s">
        <v>64</v>
      </c>
      <c r="E46" s="1067" t="s">
        <v>64</v>
      </c>
      <c r="F46" s="1067" t="s">
        <v>372</v>
      </c>
      <c r="G46" s="1067" t="s">
        <v>173</v>
      </c>
      <c r="H46" s="1067" t="s">
        <v>403</v>
      </c>
    </row>
    <row r="47" spans="1:8" x14ac:dyDescent="0.25">
      <c r="A47" s="1067" t="s">
        <v>851</v>
      </c>
      <c r="B47" s="1067" t="s">
        <v>40</v>
      </c>
      <c r="C47" s="1067" t="s">
        <v>285</v>
      </c>
      <c r="D47" s="1067" t="s">
        <v>67</v>
      </c>
      <c r="E47" s="1067" t="s">
        <v>67</v>
      </c>
      <c r="F47" s="1067" t="s">
        <v>375</v>
      </c>
      <c r="G47" s="1067" t="s">
        <v>174</v>
      </c>
      <c r="H47" s="1067" t="s">
        <v>402</v>
      </c>
    </row>
    <row r="48" spans="1:8" x14ac:dyDescent="0.25">
      <c r="A48" s="1067" t="s">
        <v>851</v>
      </c>
      <c r="B48" s="1067" t="s">
        <v>41</v>
      </c>
      <c r="C48" s="1067" t="s">
        <v>286</v>
      </c>
      <c r="D48" s="1067" t="s">
        <v>68</v>
      </c>
      <c r="E48" s="1067" t="s">
        <v>68</v>
      </c>
      <c r="F48" s="1067" t="s">
        <v>376</v>
      </c>
      <c r="G48" s="1067" t="s">
        <v>173</v>
      </c>
      <c r="H48" s="1067" t="s">
        <v>403</v>
      </c>
    </row>
    <row r="49" spans="1:8" x14ac:dyDescent="0.25">
      <c r="A49" s="1067" t="s">
        <v>851</v>
      </c>
      <c r="B49" s="1067" t="s">
        <v>42</v>
      </c>
      <c r="C49" s="1067" t="s">
        <v>288</v>
      </c>
      <c r="D49" s="1067" t="s">
        <v>69</v>
      </c>
      <c r="E49" s="1067" t="s">
        <v>69</v>
      </c>
      <c r="F49" s="1067" t="s">
        <v>378</v>
      </c>
      <c r="G49" s="1067" t="s">
        <v>174</v>
      </c>
      <c r="H49" s="1067" t="s">
        <v>402</v>
      </c>
    </row>
    <row r="50" spans="1:8" x14ac:dyDescent="0.25">
      <c r="A50" s="1067" t="s">
        <v>851</v>
      </c>
      <c r="B50" s="1067" t="s">
        <v>43</v>
      </c>
      <c r="C50" s="1067" t="s">
        <v>313</v>
      </c>
      <c r="D50" s="1067" t="s">
        <v>43</v>
      </c>
      <c r="E50" s="1067" t="s">
        <v>853</v>
      </c>
      <c r="F50" s="1067" t="s">
        <v>1073</v>
      </c>
      <c r="G50" s="1067" t="s">
        <v>174</v>
      </c>
      <c r="H50" s="1067" t="s">
        <v>402</v>
      </c>
    </row>
    <row r="51" spans="1:8" x14ac:dyDescent="0.25">
      <c r="A51" s="1067" t="s">
        <v>851</v>
      </c>
      <c r="B51" s="1067" t="s">
        <v>121</v>
      </c>
      <c r="C51" s="1067" t="s">
        <v>1076</v>
      </c>
      <c r="D51" s="1067" t="s">
        <v>121</v>
      </c>
      <c r="E51" s="1067" t="s">
        <v>121</v>
      </c>
      <c r="F51" s="1067" t="s">
        <v>1077</v>
      </c>
      <c r="G51" s="1067" t="s">
        <v>173</v>
      </c>
      <c r="H51" s="1067" t="s">
        <v>403</v>
      </c>
    </row>
    <row r="52" spans="1:8" x14ac:dyDescent="0.25">
      <c r="A52" s="1067" t="s">
        <v>851</v>
      </c>
      <c r="B52" s="1067" t="s">
        <v>44</v>
      </c>
      <c r="C52" s="1067" t="s">
        <v>289</v>
      </c>
      <c r="D52" s="1067" t="s">
        <v>70</v>
      </c>
      <c r="E52" s="1067" t="s">
        <v>70</v>
      </c>
      <c r="F52" s="1067" t="s">
        <v>379</v>
      </c>
      <c r="G52" s="1067" t="s">
        <v>172</v>
      </c>
      <c r="H52" s="1067" t="s">
        <v>404</v>
      </c>
    </row>
    <row r="53" spans="1:8" x14ac:dyDescent="0.25">
      <c r="A53" s="1067" t="s">
        <v>851</v>
      </c>
      <c r="B53" s="1067" t="s">
        <v>45</v>
      </c>
      <c r="C53" s="1067" t="s">
        <v>290</v>
      </c>
      <c r="D53" s="1067" t="s">
        <v>68</v>
      </c>
      <c r="E53" s="1067" t="s">
        <v>68</v>
      </c>
      <c r="F53" s="1067" t="s">
        <v>376</v>
      </c>
      <c r="G53" s="1067" t="s">
        <v>173</v>
      </c>
      <c r="H53" s="1067" t="s">
        <v>403</v>
      </c>
    </row>
    <row r="54" spans="1:8" x14ac:dyDescent="0.25">
      <c r="A54" s="1067" t="s">
        <v>851</v>
      </c>
      <c r="B54" s="1067" t="s">
        <v>46</v>
      </c>
      <c r="C54" s="1067" t="s">
        <v>291</v>
      </c>
      <c r="D54" s="1067" t="s">
        <v>67</v>
      </c>
      <c r="E54" s="1067" t="s">
        <v>67</v>
      </c>
      <c r="F54" s="1067" t="s">
        <v>375</v>
      </c>
      <c r="G54" s="1067" t="s">
        <v>174</v>
      </c>
      <c r="H54" s="1067" t="s">
        <v>402</v>
      </c>
    </row>
    <row r="55" spans="1:8" x14ac:dyDescent="0.25">
      <c r="A55" s="1067" t="s">
        <v>851</v>
      </c>
      <c r="B55" s="1067" t="s">
        <v>47</v>
      </c>
      <c r="C55" s="1067" t="s">
        <v>292</v>
      </c>
      <c r="D55" s="1067" t="s">
        <v>63</v>
      </c>
      <c r="E55" s="1067" t="s">
        <v>63</v>
      </c>
      <c r="F55" s="1067" t="s">
        <v>370</v>
      </c>
      <c r="G55" s="1067" t="s">
        <v>172</v>
      </c>
      <c r="H55" s="1067" t="s">
        <v>404</v>
      </c>
    </row>
    <row r="56" spans="1:8" x14ac:dyDescent="0.25">
      <c r="A56" s="1067" t="s">
        <v>851</v>
      </c>
      <c r="B56" s="1067" t="s">
        <v>48</v>
      </c>
      <c r="C56" s="1067" t="s">
        <v>287</v>
      </c>
      <c r="D56" s="1067" t="s">
        <v>71</v>
      </c>
      <c r="E56" s="1067" t="s">
        <v>71</v>
      </c>
      <c r="F56" s="1067" t="s">
        <v>381</v>
      </c>
      <c r="G56" s="1067" t="s">
        <v>172</v>
      </c>
      <c r="H56" s="1067" t="s">
        <v>404</v>
      </c>
    </row>
    <row r="57" spans="1:8" x14ac:dyDescent="0.25">
      <c r="A57" s="1067" t="s">
        <v>851</v>
      </c>
      <c r="B57" s="1067" t="s">
        <v>49</v>
      </c>
      <c r="C57" s="1067" t="s">
        <v>293</v>
      </c>
      <c r="D57" s="1067" t="s">
        <v>66</v>
      </c>
      <c r="E57" s="1067" t="s">
        <v>66</v>
      </c>
      <c r="F57" s="1067" t="s">
        <v>374</v>
      </c>
      <c r="G57" s="1067" t="s">
        <v>173</v>
      </c>
      <c r="H57" s="1067" t="s">
        <v>403</v>
      </c>
    </row>
    <row r="58" spans="1:8" x14ac:dyDescent="0.25">
      <c r="A58" s="1067" t="s">
        <v>851</v>
      </c>
      <c r="B58" s="1067" t="s">
        <v>50</v>
      </c>
      <c r="C58" s="1067" t="s">
        <v>1078</v>
      </c>
      <c r="D58" s="1067" t="s">
        <v>50</v>
      </c>
      <c r="E58" s="1067" t="s">
        <v>50</v>
      </c>
      <c r="F58" s="1067" t="s">
        <v>1079</v>
      </c>
      <c r="G58" s="1067" t="s">
        <v>173</v>
      </c>
      <c r="H58" s="1067" t="s">
        <v>403</v>
      </c>
    </row>
    <row r="59" spans="1:8" x14ac:dyDescent="0.25">
      <c r="A59" s="1067" t="s">
        <v>851</v>
      </c>
      <c r="B59" s="1067" t="s">
        <v>51</v>
      </c>
      <c r="C59" s="1067" t="s">
        <v>294</v>
      </c>
      <c r="D59" s="1067" t="s">
        <v>71</v>
      </c>
      <c r="E59" s="1067" t="s">
        <v>71</v>
      </c>
      <c r="F59" s="1067" t="s">
        <v>381</v>
      </c>
      <c r="G59" s="1067" t="s">
        <v>172</v>
      </c>
      <c r="H59" s="1067" t="s">
        <v>404</v>
      </c>
    </row>
    <row r="60" spans="1:8" x14ac:dyDescent="0.25">
      <c r="A60" s="1067" t="s">
        <v>851</v>
      </c>
      <c r="B60" s="1067" t="s">
        <v>52</v>
      </c>
      <c r="C60" s="1067" t="s">
        <v>295</v>
      </c>
      <c r="D60" s="1067" t="s">
        <v>65</v>
      </c>
      <c r="E60" s="1067" t="s">
        <v>65</v>
      </c>
      <c r="F60" s="1067" t="s">
        <v>371</v>
      </c>
      <c r="G60" s="1067" t="s">
        <v>172</v>
      </c>
      <c r="H60" s="1067" t="s">
        <v>404</v>
      </c>
    </row>
    <row r="61" spans="1:8" x14ac:dyDescent="0.25">
      <c r="A61" s="1067" t="s">
        <v>851</v>
      </c>
      <c r="B61" s="1067" t="s">
        <v>53</v>
      </c>
      <c r="C61" s="1067" t="s">
        <v>305</v>
      </c>
      <c r="D61" s="1067" t="s">
        <v>68</v>
      </c>
      <c r="E61" s="1067" t="s">
        <v>68</v>
      </c>
      <c r="F61" s="1067" t="s">
        <v>376</v>
      </c>
      <c r="G61" s="1067" t="s">
        <v>173</v>
      </c>
      <c r="H61" s="1067" t="s">
        <v>403</v>
      </c>
    </row>
    <row r="62" spans="1:8" x14ac:dyDescent="0.25">
      <c r="A62" s="1067" t="s">
        <v>851</v>
      </c>
      <c r="B62" s="1067" t="s">
        <v>54</v>
      </c>
      <c r="C62" s="1067" t="s">
        <v>296</v>
      </c>
      <c r="D62" s="1067" t="s">
        <v>67</v>
      </c>
      <c r="E62" s="1067" t="s">
        <v>67</v>
      </c>
      <c r="F62" s="1067" t="s">
        <v>375</v>
      </c>
      <c r="G62" s="1067" t="s">
        <v>174</v>
      </c>
      <c r="H62" s="1067" t="s">
        <v>402</v>
      </c>
    </row>
    <row r="63" spans="1:8" x14ac:dyDescent="0.25">
      <c r="A63" s="1067" t="s">
        <v>851</v>
      </c>
      <c r="B63" s="1067" t="s">
        <v>55</v>
      </c>
      <c r="C63" s="1067" t="s">
        <v>297</v>
      </c>
      <c r="D63" s="1067" t="s">
        <v>71</v>
      </c>
      <c r="E63" s="1067" t="s">
        <v>71</v>
      </c>
      <c r="F63" s="1067" t="s">
        <v>381</v>
      </c>
      <c r="G63" s="1067" t="s">
        <v>172</v>
      </c>
      <c r="H63" s="1067" t="s">
        <v>404</v>
      </c>
    </row>
    <row r="64" spans="1:8" x14ac:dyDescent="0.25">
      <c r="A64" s="1067" t="s">
        <v>851</v>
      </c>
      <c r="B64" s="1067" t="s">
        <v>56</v>
      </c>
      <c r="C64" s="1067" t="s">
        <v>298</v>
      </c>
      <c r="D64" s="1067" t="s">
        <v>66</v>
      </c>
      <c r="E64" s="1067" t="s">
        <v>66</v>
      </c>
      <c r="F64" s="1067" t="s">
        <v>374</v>
      </c>
      <c r="G64" s="1067" t="s">
        <v>173</v>
      </c>
      <c r="H64" s="1067" t="s">
        <v>403</v>
      </c>
    </row>
    <row r="65" spans="1:8" x14ac:dyDescent="0.25">
      <c r="A65" s="1067" t="s">
        <v>851</v>
      </c>
      <c r="B65" s="1067" t="s">
        <v>57</v>
      </c>
      <c r="C65" s="1067" t="s">
        <v>299</v>
      </c>
      <c r="D65" s="1067" t="s">
        <v>57</v>
      </c>
      <c r="E65" s="1067" t="s">
        <v>57</v>
      </c>
      <c r="F65" s="1067" t="s">
        <v>380</v>
      </c>
      <c r="G65" s="1067" t="s">
        <v>173</v>
      </c>
      <c r="H65" s="1067" t="s">
        <v>403</v>
      </c>
    </row>
    <row r="66" spans="1:8" x14ac:dyDescent="0.25">
      <c r="A66" s="1067" t="s">
        <v>851</v>
      </c>
      <c r="B66" s="1067" t="s">
        <v>58</v>
      </c>
      <c r="C66" s="1067" t="s">
        <v>300</v>
      </c>
      <c r="D66" s="1067" t="s">
        <v>1071</v>
      </c>
      <c r="E66" s="1067" t="s">
        <v>853</v>
      </c>
      <c r="F66" s="1067" t="s">
        <v>1072</v>
      </c>
      <c r="G66" s="1067" t="s">
        <v>174</v>
      </c>
      <c r="H66" s="1067" t="s">
        <v>402</v>
      </c>
    </row>
    <row r="67" spans="1:8" x14ac:dyDescent="0.25">
      <c r="A67" s="1067" t="s">
        <v>851</v>
      </c>
      <c r="B67" s="1067" t="s">
        <v>59</v>
      </c>
      <c r="C67" s="1067" t="s">
        <v>306</v>
      </c>
      <c r="D67" s="1067" t="s">
        <v>64</v>
      </c>
      <c r="E67" s="1067" t="s">
        <v>64</v>
      </c>
      <c r="F67" s="1067" t="s">
        <v>372</v>
      </c>
      <c r="G67" s="1067" t="s">
        <v>173</v>
      </c>
      <c r="H67" s="1067" t="s">
        <v>403</v>
      </c>
    </row>
    <row r="68" spans="1:8" x14ac:dyDescent="0.25">
      <c r="A68" s="1067" t="s">
        <v>851</v>
      </c>
      <c r="B68" s="1067" t="s">
        <v>60</v>
      </c>
      <c r="C68" s="1067" t="s">
        <v>307</v>
      </c>
      <c r="D68" s="1067" t="s">
        <v>69</v>
      </c>
      <c r="E68" s="1067" t="s">
        <v>69</v>
      </c>
      <c r="F68" s="1067" t="s">
        <v>378</v>
      </c>
      <c r="G68" s="1067" t="s">
        <v>174</v>
      </c>
      <c r="H68" s="1067" t="s">
        <v>402</v>
      </c>
    </row>
  </sheetData>
  <sheetProtection algorithmName="SHA-512" hashValue="m63h8+cp0Kqpvy3jVbpIK5ZybxhuaBO6sR/TS0ii3YRGNrwGB0/b/+UlYzswN7rcPOjZSt4nCsyi/mjBH2+qjA==" saltValue="GotFQCNZzIF0d5jBv55+GQ==" spinCount="100000" sheet="1" scenarios="1" formatCells="0" formatColumns="0" formatRows="0" sort="0" autoFilter="0" pivotTables="0"/>
  <pageMargins left="0.7" right="0.7" top="0.75" bottom="0.75" header="0.3" footer="0.3"/>
  <pageSetup paperSize="9" fitToHeight="5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28"/>
  <sheetViews>
    <sheetView showGridLines="0" workbookViewId="0">
      <pane ySplit="2" topLeftCell="A6" activePane="bottomLeft" state="frozen"/>
      <selection pane="bottomLeft" sqref="A1:C1"/>
    </sheetView>
  </sheetViews>
  <sheetFormatPr defaultRowHeight="15" x14ac:dyDescent="0.25"/>
  <cols>
    <col min="1" max="1" width="17.85546875" customWidth="1"/>
    <col min="2" max="10" width="9.28515625" customWidth="1"/>
    <col min="11" max="11" width="9.85546875" customWidth="1"/>
    <col min="12" max="12" width="13" customWidth="1"/>
    <col min="13" max="13" width="11.7109375" customWidth="1"/>
    <col min="14" max="14" width="11.85546875" customWidth="1"/>
    <col min="15" max="15" width="10.28515625" customWidth="1"/>
    <col min="17" max="17" width="11.85546875" customWidth="1"/>
    <col min="18" max="18" width="13.140625" customWidth="1"/>
  </cols>
  <sheetData>
    <row r="1" spans="1:15" ht="15.75" customHeight="1" x14ac:dyDescent="0.25">
      <c r="A1" s="1077" t="s">
        <v>590</v>
      </c>
      <c r="B1" s="1077"/>
      <c r="C1" s="1077"/>
    </row>
    <row r="2" spans="1:15" ht="15.75" x14ac:dyDescent="0.25">
      <c r="A2" s="772" t="s">
        <v>578</v>
      </c>
      <c r="B2" s="997"/>
      <c r="C2" s="997"/>
    </row>
    <row r="4" spans="1:15" ht="18.75" x14ac:dyDescent="0.3">
      <c r="A4" s="982" t="s">
        <v>953</v>
      </c>
    </row>
    <row r="5" spans="1:15" ht="15.75" x14ac:dyDescent="0.25">
      <c r="A5" t="s">
        <v>937</v>
      </c>
      <c r="B5" s="971"/>
    </row>
    <row r="6" spans="1:15" x14ac:dyDescent="0.25">
      <c r="A6" t="s">
        <v>363</v>
      </c>
      <c r="B6" s="366" t="s">
        <v>950</v>
      </c>
    </row>
    <row r="7" spans="1:15" x14ac:dyDescent="0.25">
      <c r="A7" t="s">
        <v>364</v>
      </c>
      <c r="B7" s="566" t="s">
        <v>366</v>
      </c>
    </row>
    <row r="8" spans="1:15" x14ac:dyDescent="0.25">
      <c r="A8" t="s">
        <v>365</v>
      </c>
      <c r="B8" s="566" t="s">
        <v>367</v>
      </c>
    </row>
    <row r="9" spans="1:15" x14ac:dyDescent="0.25">
      <c r="B9" s="996"/>
    </row>
    <row r="10" spans="1:15" ht="18.75" x14ac:dyDescent="0.3">
      <c r="B10" s="982" t="s">
        <v>891</v>
      </c>
      <c r="J10" s="664"/>
    </row>
    <row r="11" spans="1:15" ht="15.75" x14ac:dyDescent="0.25">
      <c r="B11" s="981"/>
      <c r="J11" s="419"/>
    </row>
    <row r="12" spans="1:15" x14ac:dyDescent="0.25">
      <c r="A12" s="1081" t="s">
        <v>1</v>
      </c>
      <c r="B12" s="1083" t="s">
        <v>892</v>
      </c>
      <c r="C12" s="1084"/>
      <c r="D12" s="1084"/>
      <c r="E12" s="1085"/>
      <c r="F12" s="1086" t="s">
        <v>893</v>
      </c>
      <c r="G12" s="1086"/>
      <c r="H12" s="1086"/>
      <c r="I12" s="1086"/>
      <c r="J12" s="1086"/>
      <c r="K12" s="1086"/>
    </row>
    <row r="13" spans="1:15" ht="60" x14ac:dyDescent="0.25">
      <c r="A13" s="1082"/>
      <c r="B13" s="846" t="s">
        <v>894</v>
      </c>
      <c r="C13" s="833" t="s">
        <v>895</v>
      </c>
      <c r="D13" s="833" t="s">
        <v>896</v>
      </c>
      <c r="E13" s="833" t="s">
        <v>26</v>
      </c>
      <c r="F13" s="846" t="s">
        <v>897</v>
      </c>
      <c r="G13" s="833" t="s">
        <v>898</v>
      </c>
      <c r="H13" s="833" t="s">
        <v>899</v>
      </c>
      <c r="I13" s="833" t="s">
        <v>900</v>
      </c>
      <c r="J13" s="833" t="s">
        <v>901</v>
      </c>
      <c r="K13" s="983" t="s">
        <v>902</v>
      </c>
      <c r="M13" s="988" t="s">
        <v>942</v>
      </c>
      <c r="N13" s="988" t="s">
        <v>943</v>
      </c>
      <c r="O13" s="689"/>
    </row>
    <row r="14" spans="1:15" ht="15.75" thickBot="1" x14ac:dyDescent="0.3">
      <c r="A14" s="852" t="s">
        <v>851</v>
      </c>
      <c r="B14" s="480">
        <v>239</v>
      </c>
      <c r="C14" s="480">
        <v>101</v>
      </c>
      <c r="D14" s="480">
        <v>6</v>
      </c>
      <c r="E14" s="480">
        <f>SUM(B14:D14)</f>
        <v>346</v>
      </c>
      <c r="F14" s="480">
        <v>35</v>
      </c>
      <c r="G14" s="480">
        <v>4</v>
      </c>
      <c r="H14" s="480">
        <v>5</v>
      </c>
      <c r="I14" s="480">
        <v>21</v>
      </c>
      <c r="J14" s="480">
        <v>6</v>
      </c>
      <c r="K14" s="480">
        <v>19</v>
      </c>
      <c r="L14" s="480"/>
      <c r="M14" s="1007">
        <v>80</v>
      </c>
      <c r="N14" s="1007">
        <f>SUM(F14:K14)</f>
        <v>90</v>
      </c>
    </row>
    <row r="15" spans="1:15" x14ac:dyDescent="0.25">
      <c r="A15" s="437"/>
    </row>
    <row r="16" spans="1:15" x14ac:dyDescent="0.25">
      <c r="A16" s="437"/>
    </row>
    <row r="17" spans="1:18" x14ac:dyDescent="0.25">
      <c r="A17" s="437"/>
    </row>
    <row r="18" spans="1:18" ht="18.75" x14ac:dyDescent="0.3">
      <c r="B18" s="982" t="s">
        <v>903</v>
      </c>
    </row>
    <row r="19" spans="1:18" ht="15.75" x14ac:dyDescent="0.25">
      <c r="B19" s="981"/>
    </row>
    <row r="20" spans="1:18" ht="75" x14ac:dyDescent="0.25">
      <c r="A20" s="1006" t="s">
        <v>1</v>
      </c>
      <c r="B20" s="834" t="s">
        <v>904</v>
      </c>
      <c r="C20" s="986" t="s">
        <v>905</v>
      </c>
      <c r="D20" s="986" t="s">
        <v>906</v>
      </c>
      <c r="E20" s="986" t="s">
        <v>907</v>
      </c>
      <c r="F20" s="986" t="s">
        <v>908</v>
      </c>
      <c r="G20" s="986" t="s">
        <v>909</v>
      </c>
      <c r="H20" s="986" t="s">
        <v>910</v>
      </c>
      <c r="I20" s="986" t="s">
        <v>911</v>
      </c>
      <c r="J20" s="986" t="s">
        <v>912</v>
      </c>
      <c r="K20" s="986" t="s">
        <v>913</v>
      </c>
      <c r="L20" s="986" t="s">
        <v>914</v>
      </c>
      <c r="M20" s="835" t="s">
        <v>915</v>
      </c>
      <c r="N20" s="835" t="s">
        <v>917</v>
      </c>
      <c r="O20" s="985" t="s">
        <v>916</v>
      </c>
      <c r="P20" s="987"/>
      <c r="Q20" s="984" t="s">
        <v>944</v>
      </c>
      <c r="R20" s="984" t="s">
        <v>945</v>
      </c>
    </row>
    <row r="21" spans="1:18" ht="15.75" thickBot="1" x14ac:dyDescent="0.3">
      <c r="A21" s="852" t="s">
        <v>851</v>
      </c>
      <c r="B21" s="480">
        <v>78</v>
      </c>
      <c r="C21" s="1008">
        <v>20</v>
      </c>
      <c r="D21" s="1008">
        <v>5</v>
      </c>
      <c r="E21" s="1008">
        <v>1</v>
      </c>
      <c r="F21" s="1008">
        <v>25</v>
      </c>
      <c r="G21" s="1008">
        <v>3</v>
      </c>
      <c r="H21" s="1008">
        <v>10</v>
      </c>
      <c r="I21" s="1008">
        <v>8</v>
      </c>
      <c r="J21" s="1008">
        <v>17</v>
      </c>
      <c r="K21" s="1008">
        <v>8</v>
      </c>
      <c r="L21" s="1008">
        <v>4</v>
      </c>
      <c r="M21" s="480">
        <v>5</v>
      </c>
      <c r="N21" s="480">
        <v>3</v>
      </c>
      <c r="O21" s="480">
        <v>7</v>
      </c>
      <c r="P21" s="480"/>
      <c r="Q21" s="480">
        <v>102</v>
      </c>
      <c r="R21" s="480">
        <f>SUM(B21:O21)</f>
        <v>194</v>
      </c>
    </row>
    <row r="22" spans="1:18" x14ac:dyDescent="0.25">
      <c r="C22" s="366"/>
      <c r="D22" s="366"/>
      <c r="E22" s="366"/>
      <c r="F22" s="366"/>
      <c r="G22" s="366"/>
      <c r="H22" s="366"/>
      <c r="I22" s="366"/>
      <c r="J22" s="366"/>
      <c r="K22" s="366"/>
      <c r="L22" s="366"/>
    </row>
    <row r="23" spans="1:18" x14ac:dyDescent="0.25">
      <c r="A23" s="499" t="s">
        <v>8</v>
      </c>
      <c r="C23" s="366"/>
      <c r="D23" s="366"/>
      <c r="E23" s="366"/>
      <c r="F23" s="366"/>
      <c r="G23" s="366"/>
      <c r="H23" s="366"/>
      <c r="I23" s="366"/>
      <c r="J23" s="366"/>
      <c r="K23" s="366"/>
      <c r="L23" s="366"/>
    </row>
    <row r="24" spans="1:18" x14ac:dyDescent="0.25">
      <c r="A24" t="s">
        <v>946</v>
      </c>
      <c r="C24" s="366"/>
      <c r="D24" s="366"/>
      <c r="E24" s="366"/>
      <c r="F24" s="366"/>
      <c r="G24" s="366"/>
      <c r="H24" s="366"/>
      <c r="I24" s="366"/>
      <c r="J24" s="366"/>
      <c r="K24" s="366"/>
      <c r="L24" s="366"/>
    </row>
    <row r="25" spans="1:18" x14ac:dyDescent="0.25">
      <c r="A25" t="s">
        <v>947</v>
      </c>
    </row>
    <row r="26" spans="1:18" x14ac:dyDescent="0.25">
      <c r="A26" t="s">
        <v>948</v>
      </c>
    </row>
    <row r="27" spans="1:18" x14ac:dyDescent="0.25">
      <c r="J27" s="366"/>
      <c r="K27" s="366"/>
      <c r="L27" s="366"/>
    </row>
    <row r="28" spans="1:18" x14ac:dyDescent="0.25">
      <c r="J28" s="366"/>
      <c r="K28" s="366"/>
      <c r="L28" s="366"/>
    </row>
  </sheetData>
  <sheetProtection algorithmName="SHA-512" hashValue="QT5jWinyQWvxz9agxpvtveiiTJ345BVXfaI00zlMCNtpk4ggjtp0ladIwG1TKnNE6/NzkewJFU2YKH6JBhFs8g==" saltValue="cwNrM925QBQYHq8ZYa1HNA==" spinCount="100000" sheet="1" scenarios="1" formatCells="0" formatColumns="0" formatRows="0" sort="0" autoFilter="0" pivotTables="0"/>
  <mergeCells count="4">
    <mergeCell ref="A1:C1"/>
    <mergeCell ref="A12:A13"/>
    <mergeCell ref="B12:E12"/>
    <mergeCell ref="F12:K12"/>
  </mergeCells>
  <hyperlinks>
    <hyperlink ref="A2" location="'Table of Contents'!A1" display="Back to Table of Contents"/>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zoomScale="85" zoomScaleNormal="85" workbookViewId="0">
      <pane ySplit="4" topLeftCell="A5" activePane="bottomLeft" state="frozen"/>
      <selection pane="bottomLeft"/>
    </sheetView>
  </sheetViews>
  <sheetFormatPr defaultRowHeight="15" x14ac:dyDescent="0.25"/>
  <sheetData>
    <row r="1" spans="1:7" ht="15.75" x14ac:dyDescent="0.25">
      <c r="A1" s="981" t="s">
        <v>1080</v>
      </c>
    </row>
    <row r="2" spans="1:7" x14ac:dyDescent="0.25">
      <c r="A2" s="1139">
        <v>44071</v>
      </c>
      <c r="B2" s="1140"/>
    </row>
    <row r="4" spans="1:7" x14ac:dyDescent="0.25">
      <c r="A4" s="1066" t="s">
        <v>245</v>
      </c>
      <c r="B4" s="1066" t="s">
        <v>316</v>
      </c>
      <c r="C4" s="1066" t="s">
        <v>9</v>
      </c>
      <c r="D4" s="1066" t="s">
        <v>852</v>
      </c>
      <c r="E4" s="1066" t="s">
        <v>2</v>
      </c>
      <c r="F4" s="1066" t="s">
        <v>3</v>
      </c>
      <c r="G4" s="1066" t="s">
        <v>315</v>
      </c>
    </row>
    <row r="5" spans="1:7" x14ac:dyDescent="0.25">
      <c r="A5" s="1067" t="s">
        <v>325</v>
      </c>
      <c r="B5" s="1067">
        <v>4159</v>
      </c>
      <c r="C5" s="1067">
        <v>3052</v>
      </c>
      <c r="D5" s="1067"/>
      <c r="E5" s="1067">
        <v>234</v>
      </c>
      <c r="F5" s="1067">
        <v>1136</v>
      </c>
      <c r="G5" s="1067">
        <v>459</v>
      </c>
    </row>
    <row r="6" spans="1:7" x14ac:dyDescent="0.25">
      <c r="A6" s="1067" t="s">
        <v>205</v>
      </c>
      <c r="B6" s="1067">
        <v>4151</v>
      </c>
      <c r="C6" s="1067">
        <v>3076</v>
      </c>
      <c r="D6" s="1067"/>
      <c r="E6" s="1067">
        <v>234</v>
      </c>
      <c r="F6" s="1067">
        <v>1086</v>
      </c>
      <c r="G6" s="1067">
        <v>417</v>
      </c>
    </row>
    <row r="7" spans="1:7" x14ac:dyDescent="0.25">
      <c r="A7" s="1067" t="s">
        <v>204</v>
      </c>
      <c r="B7" s="1067">
        <v>4001</v>
      </c>
      <c r="C7" s="1067">
        <v>2940</v>
      </c>
      <c r="D7" s="1067"/>
      <c r="E7" s="1067">
        <v>223</v>
      </c>
      <c r="F7" s="1067">
        <v>961</v>
      </c>
      <c r="G7" s="1067">
        <v>359</v>
      </c>
    </row>
    <row r="8" spans="1:7" x14ac:dyDescent="0.25">
      <c r="A8" s="1067" t="s">
        <v>203</v>
      </c>
      <c r="B8" s="1067">
        <v>3856</v>
      </c>
      <c r="C8" s="1067">
        <v>2950</v>
      </c>
      <c r="D8" s="1067"/>
      <c r="E8" s="1067">
        <v>230</v>
      </c>
      <c r="F8" s="1067">
        <v>867</v>
      </c>
      <c r="G8" s="1067">
        <v>382</v>
      </c>
    </row>
    <row r="9" spans="1:7" x14ac:dyDescent="0.25">
      <c r="A9" s="1067" t="s">
        <v>202</v>
      </c>
      <c r="B9" s="1067">
        <v>3690</v>
      </c>
      <c r="C9" s="1067">
        <v>2870</v>
      </c>
      <c r="D9" s="1067"/>
      <c r="E9" s="1067">
        <v>203</v>
      </c>
      <c r="F9" s="1067">
        <v>828</v>
      </c>
      <c r="G9" s="1067">
        <v>342</v>
      </c>
    </row>
    <row r="10" spans="1:7" x14ac:dyDescent="0.25">
      <c r="A10" s="1067" t="s">
        <v>273</v>
      </c>
      <c r="B10" s="1067">
        <v>3645</v>
      </c>
      <c r="C10" s="1067">
        <v>2870</v>
      </c>
      <c r="D10" s="1067"/>
      <c r="E10" s="1067">
        <v>165</v>
      </c>
      <c r="F10" s="1067">
        <v>838</v>
      </c>
      <c r="G10" s="1067">
        <v>320</v>
      </c>
    </row>
    <row r="11" spans="1:7" x14ac:dyDescent="0.25">
      <c r="A11" s="1067" t="s">
        <v>255</v>
      </c>
      <c r="B11" s="1067">
        <v>3546</v>
      </c>
      <c r="C11" s="1067">
        <v>2863</v>
      </c>
      <c r="D11" s="1067"/>
      <c r="E11" s="1067">
        <v>189</v>
      </c>
      <c r="F11" s="1067">
        <v>846</v>
      </c>
      <c r="G11" s="1067">
        <v>336</v>
      </c>
    </row>
    <row r="12" spans="1:7" x14ac:dyDescent="0.25">
      <c r="A12" s="1067" t="s">
        <v>254</v>
      </c>
      <c r="B12" s="1067">
        <v>3637</v>
      </c>
      <c r="C12" s="1067">
        <v>2935</v>
      </c>
      <c r="D12" s="1071">
        <v>18</v>
      </c>
      <c r="E12" s="1067">
        <v>207</v>
      </c>
      <c r="F12" s="1067">
        <v>792</v>
      </c>
      <c r="G12" s="1067">
        <v>321</v>
      </c>
    </row>
    <row r="13" spans="1:7" x14ac:dyDescent="0.25">
      <c r="A13" s="1067" t="s">
        <v>851</v>
      </c>
      <c r="B13" s="1067">
        <v>3636</v>
      </c>
      <c r="C13" s="1067">
        <v>2937</v>
      </c>
      <c r="D13" s="1071">
        <v>36</v>
      </c>
      <c r="E13" s="1067">
        <v>188</v>
      </c>
      <c r="F13" s="1067">
        <v>818</v>
      </c>
      <c r="G13" s="1067">
        <v>315</v>
      </c>
    </row>
    <row r="15" spans="1:7" x14ac:dyDescent="0.25">
      <c r="A15" s="1069" t="s">
        <v>245</v>
      </c>
      <c r="B15" s="1069" t="s">
        <v>316</v>
      </c>
      <c r="C15" s="1069" t="s">
        <v>9</v>
      </c>
      <c r="D15" s="1069" t="s">
        <v>852</v>
      </c>
      <c r="E15" s="1069" t="s">
        <v>2</v>
      </c>
      <c r="F15" s="1069" t="s">
        <v>3</v>
      </c>
    </row>
    <row r="16" spans="1:7" x14ac:dyDescent="0.25">
      <c r="A16" s="1067" t="s">
        <v>325</v>
      </c>
      <c r="B16" s="1067">
        <v>4159</v>
      </c>
      <c r="C16" s="1067">
        <v>2813</v>
      </c>
      <c r="D16" s="1067"/>
      <c r="E16" s="1067">
        <v>225</v>
      </c>
      <c r="F16" s="1067">
        <v>961</v>
      </c>
    </row>
    <row r="17" spans="1:6" x14ac:dyDescent="0.25">
      <c r="A17" s="1067" t="s">
        <v>205</v>
      </c>
      <c r="B17" s="1067">
        <v>4151</v>
      </c>
      <c r="C17" s="1067">
        <v>2787</v>
      </c>
      <c r="D17" s="1067"/>
      <c r="E17" s="1067">
        <v>224</v>
      </c>
      <c r="F17" s="1067">
        <v>927</v>
      </c>
    </row>
    <row r="18" spans="1:6" x14ac:dyDescent="0.25">
      <c r="A18" s="1067" t="s">
        <v>204</v>
      </c>
      <c r="B18" s="1067">
        <v>4001</v>
      </c>
      <c r="C18" s="1067">
        <v>2665</v>
      </c>
      <c r="D18" s="1067"/>
      <c r="E18" s="1067">
        <v>213</v>
      </c>
      <c r="F18" s="1067">
        <v>811</v>
      </c>
    </row>
    <row r="19" spans="1:6" x14ac:dyDescent="0.25">
      <c r="A19" s="1067" t="s">
        <v>203</v>
      </c>
      <c r="B19" s="1067">
        <v>3856</v>
      </c>
      <c r="C19" s="1067">
        <v>2669</v>
      </c>
      <c r="D19" s="1067"/>
      <c r="E19" s="1067">
        <v>221</v>
      </c>
      <c r="F19" s="1067">
        <v>744</v>
      </c>
    </row>
    <row r="20" spans="1:6" x14ac:dyDescent="0.25">
      <c r="A20" s="1067" t="s">
        <v>202</v>
      </c>
      <c r="B20" s="1067">
        <v>3690</v>
      </c>
      <c r="C20" s="1067">
        <v>2527</v>
      </c>
      <c r="D20" s="1067"/>
      <c r="E20" s="1067">
        <v>195</v>
      </c>
      <c r="F20" s="1067">
        <v>719</v>
      </c>
    </row>
    <row r="21" spans="1:6" x14ac:dyDescent="0.25">
      <c r="A21" s="1067" t="s">
        <v>273</v>
      </c>
      <c r="B21" s="1067">
        <v>3644</v>
      </c>
      <c r="C21" s="1067">
        <v>2546</v>
      </c>
      <c r="D21" s="1067"/>
      <c r="E21" s="1067">
        <v>160</v>
      </c>
      <c r="F21" s="1067">
        <v>745</v>
      </c>
    </row>
    <row r="22" spans="1:6" x14ac:dyDescent="0.25">
      <c r="A22" s="1067" t="s">
        <v>255</v>
      </c>
      <c r="B22" s="1067">
        <v>3544</v>
      </c>
      <c r="C22" s="1067">
        <v>2545</v>
      </c>
      <c r="D22" s="1067"/>
      <c r="E22" s="1067">
        <v>184</v>
      </c>
      <c r="F22" s="1067">
        <v>759</v>
      </c>
    </row>
    <row r="23" spans="1:6" x14ac:dyDescent="0.25">
      <c r="A23" s="1067" t="s">
        <v>254</v>
      </c>
      <c r="B23" s="1067">
        <v>3636</v>
      </c>
      <c r="C23" s="1067">
        <v>2584</v>
      </c>
      <c r="D23" s="1071">
        <v>18</v>
      </c>
      <c r="E23" s="1067">
        <v>202</v>
      </c>
      <c r="F23" s="1067">
        <v>746</v>
      </c>
    </row>
    <row r="24" spans="1:6" x14ac:dyDescent="0.25">
      <c r="A24" s="1067" t="s">
        <v>851</v>
      </c>
      <c r="B24" s="1067">
        <v>3634</v>
      </c>
      <c r="C24" s="1067">
        <v>2552</v>
      </c>
      <c r="D24" s="1071">
        <v>36</v>
      </c>
      <c r="E24" s="1067">
        <v>184</v>
      </c>
      <c r="F24" s="1067">
        <v>765</v>
      </c>
    </row>
  </sheetData>
  <sheetProtection algorithmName="SHA-512" hashValue="rfyTCbnEX8HYNDCdIz2a0f5LQTzhX+454iXnAG3r/1jPbbbQ1YBhAAkSbqGIP6LN9NFP7qLZ5RCBaCnCslxMlg==" saltValue="0svTXR2p0FHPnecFxqV7Y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J149"/>
  <sheetViews>
    <sheetView zoomScale="85" zoomScaleNormal="85" workbookViewId="0">
      <pane ySplit="15" topLeftCell="A16" activePane="bottomLeft" state="frozen"/>
      <selection pane="bottomLeft"/>
    </sheetView>
  </sheetViews>
  <sheetFormatPr defaultRowHeight="15" x14ac:dyDescent="0.25"/>
  <sheetData>
    <row r="4" spans="1:10" x14ac:dyDescent="0.25">
      <c r="A4" s="1069" t="s">
        <v>245</v>
      </c>
      <c r="B4" s="1069" t="s">
        <v>26</v>
      </c>
      <c r="C4" s="1069" t="s">
        <v>919</v>
      </c>
      <c r="D4" s="1069" t="s">
        <v>920</v>
      </c>
      <c r="E4" s="1069" t="s">
        <v>921</v>
      </c>
      <c r="F4" s="1069" t="s">
        <v>922</v>
      </c>
    </row>
    <row r="5" spans="1:10" x14ac:dyDescent="0.25">
      <c r="A5" s="1067" t="s">
        <v>254</v>
      </c>
      <c r="B5" s="1067">
        <v>3637</v>
      </c>
      <c r="C5" s="1067">
        <v>358</v>
      </c>
      <c r="D5" s="1067">
        <v>264</v>
      </c>
      <c r="E5" s="1067">
        <v>2955</v>
      </c>
      <c r="F5" s="1067">
        <v>60</v>
      </c>
    </row>
    <row r="6" spans="1:10" x14ac:dyDescent="0.25">
      <c r="A6" s="1067" t="s">
        <v>851</v>
      </c>
      <c r="B6" s="1067">
        <v>3636</v>
      </c>
      <c r="C6" s="1067">
        <v>351</v>
      </c>
      <c r="D6" s="1067">
        <v>270</v>
      </c>
      <c r="E6" s="1067">
        <v>2966</v>
      </c>
      <c r="F6" s="1067">
        <v>49</v>
      </c>
    </row>
    <row r="15" spans="1:10" x14ac:dyDescent="0.25">
      <c r="A15" s="1066" t="s">
        <v>245</v>
      </c>
      <c r="B15" s="1066" t="s">
        <v>1081</v>
      </c>
      <c r="C15" s="1066" t="s">
        <v>26</v>
      </c>
      <c r="D15" s="1066" t="s">
        <v>18</v>
      </c>
      <c r="E15" s="1066" t="s">
        <v>209</v>
      </c>
      <c r="F15" s="1066" t="s">
        <v>22</v>
      </c>
      <c r="G15" s="1066" t="s">
        <v>23</v>
      </c>
      <c r="H15" s="1066" t="s">
        <v>19</v>
      </c>
      <c r="I15" s="1066" t="s">
        <v>20</v>
      </c>
      <c r="J15" s="1066" t="s">
        <v>21</v>
      </c>
    </row>
    <row r="16" spans="1:10" x14ac:dyDescent="0.25">
      <c r="A16" s="1067" t="s">
        <v>254</v>
      </c>
      <c r="B16" s="1067" t="s">
        <v>919</v>
      </c>
      <c r="C16" s="1067">
        <v>358</v>
      </c>
      <c r="D16" s="1067"/>
      <c r="E16" s="1067"/>
      <c r="F16" s="1067">
        <v>95</v>
      </c>
      <c r="G16" s="1067">
        <v>29</v>
      </c>
      <c r="H16" s="1067"/>
      <c r="I16" s="1067"/>
      <c r="J16" s="1067">
        <v>234</v>
      </c>
    </row>
    <row r="17" spans="1:10" x14ac:dyDescent="0.25">
      <c r="A17" s="1067" t="s">
        <v>254</v>
      </c>
      <c r="B17" s="1067" t="s">
        <v>920</v>
      </c>
      <c r="C17" s="1067">
        <v>264</v>
      </c>
      <c r="D17" s="1067">
        <v>33</v>
      </c>
      <c r="E17" s="1067">
        <v>4</v>
      </c>
      <c r="F17" s="1067"/>
      <c r="G17" s="1067"/>
      <c r="H17" s="1067">
        <v>80</v>
      </c>
      <c r="I17" s="1067">
        <v>147</v>
      </c>
      <c r="J17" s="1067"/>
    </row>
    <row r="18" spans="1:10" x14ac:dyDescent="0.25">
      <c r="A18" s="1067" t="s">
        <v>254</v>
      </c>
      <c r="B18" s="1067" t="s">
        <v>921</v>
      </c>
      <c r="C18" s="1067">
        <v>2955</v>
      </c>
      <c r="D18" s="1067"/>
      <c r="E18" s="1067"/>
      <c r="F18" s="1067">
        <v>592</v>
      </c>
      <c r="G18" s="1067">
        <v>1986</v>
      </c>
      <c r="H18" s="1067"/>
      <c r="I18" s="1067"/>
      <c r="J18" s="1067">
        <v>377</v>
      </c>
    </row>
    <row r="19" spans="1:10" x14ac:dyDescent="0.25">
      <c r="A19" s="1067" t="s">
        <v>254</v>
      </c>
      <c r="B19" s="1067" t="s">
        <v>922</v>
      </c>
      <c r="C19" s="1067">
        <v>60</v>
      </c>
      <c r="D19" s="1067"/>
      <c r="E19" s="1067"/>
      <c r="F19" s="1067"/>
      <c r="G19" s="1067">
        <v>60</v>
      </c>
      <c r="H19" s="1067"/>
      <c r="I19" s="1067"/>
      <c r="J19" s="1067"/>
    </row>
    <row r="20" spans="1:10" x14ac:dyDescent="0.25">
      <c r="A20" s="1067" t="s">
        <v>851</v>
      </c>
      <c r="B20" s="1067" t="s">
        <v>919</v>
      </c>
      <c r="C20" s="1067">
        <v>351</v>
      </c>
      <c r="D20" s="1067"/>
      <c r="E20" s="1067"/>
      <c r="F20" s="1067">
        <v>91</v>
      </c>
      <c r="G20" s="1067">
        <v>28</v>
      </c>
      <c r="H20" s="1067"/>
      <c r="I20" s="1067"/>
      <c r="J20" s="1067">
        <v>232</v>
      </c>
    </row>
    <row r="21" spans="1:10" x14ac:dyDescent="0.25">
      <c r="A21" s="1067" t="s">
        <v>851</v>
      </c>
      <c r="B21" s="1067" t="s">
        <v>920</v>
      </c>
      <c r="C21" s="1067">
        <v>270</v>
      </c>
      <c r="D21" s="1067">
        <v>31</v>
      </c>
      <c r="E21" s="1067">
        <v>6</v>
      </c>
      <c r="F21" s="1067"/>
      <c r="G21" s="1067"/>
      <c r="H21" s="1067">
        <v>80</v>
      </c>
      <c r="I21" s="1067">
        <v>153</v>
      </c>
      <c r="J21" s="1067"/>
    </row>
    <row r="22" spans="1:10" x14ac:dyDescent="0.25">
      <c r="A22" s="1067" t="s">
        <v>851</v>
      </c>
      <c r="B22" s="1067" t="s">
        <v>921</v>
      </c>
      <c r="C22" s="1067">
        <v>2966</v>
      </c>
      <c r="D22" s="1067"/>
      <c r="E22" s="1067"/>
      <c r="F22" s="1067">
        <v>597</v>
      </c>
      <c r="G22" s="1067">
        <v>1993</v>
      </c>
      <c r="H22" s="1067"/>
      <c r="I22" s="1067"/>
      <c r="J22" s="1067">
        <v>376</v>
      </c>
    </row>
    <row r="23" spans="1:10" x14ac:dyDescent="0.25">
      <c r="A23" s="1067" t="s">
        <v>851</v>
      </c>
      <c r="B23" s="1067" t="s">
        <v>922</v>
      </c>
      <c r="C23" s="1067">
        <v>49</v>
      </c>
      <c r="D23" s="1067"/>
      <c r="E23" s="1067"/>
      <c r="F23" s="1067"/>
      <c r="G23" s="1067">
        <v>49</v>
      </c>
      <c r="H23" s="1067"/>
      <c r="I23" s="1067"/>
      <c r="J23" s="1067"/>
    </row>
    <row r="50" spans="1:9" x14ac:dyDescent="0.25">
      <c r="A50" s="1069" t="s">
        <v>270</v>
      </c>
      <c r="B50" s="1069" t="s">
        <v>1082</v>
      </c>
      <c r="C50" s="1069" t="s">
        <v>257</v>
      </c>
      <c r="D50" s="1069" t="s">
        <v>1083</v>
      </c>
      <c r="E50" s="1069" t="s">
        <v>26</v>
      </c>
      <c r="F50" s="1069" t="s">
        <v>919</v>
      </c>
      <c r="G50" s="1069" t="s">
        <v>920</v>
      </c>
      <c r="H50" s="1069" t="s">
        <v>921</v>
      </c>
      <c r="I50" s="1069" t="s">
        <v>922</v>
      </c>
    </row>
    <row r="51" spans="1:9" x14ac:dyDescent="0.25">
      <c r="A51" s="1067" t="s">
        <v>254</v>
      </c>
      <c r="B51" s="1067" t="s">
        <v>247</v>
      </c>
      <c r="C51" s="1067" t="s">
        <v>282</v>
      </c>
      <c r="D51" s="1067" t="s">
        <v>35</v>
      </c>
      <c r="E51" s="1067">
        <v>25</v>
      </c>
      <c r="F51" s="1067"/>
      <c r="G51" s="1067"/>
      <c r="H51" s="1067">
        <v>25</v>
      </c>
      <c r="I51" s="1067"/>
    </row>
    <row r="52" spans="1:9" x14ac:dyDescent="0.25">
      <c r="A52" s="1067" t="s">
        <v>254</v>
      </c>
      <c r="B52" s="1067" t="s">
        <v>247</v>
      </c>
      <c r="C52" s="1067" t="s">
        <v>283</v>
      </c>
      <c r="D52" s="1067" t="s">
        <v>36</v>
      </c>
      <c r="E52" s="1067">
        <v>53</v>
      </c>
      <c r="F52" s="1067"/>
      <c r="G52" s="1067"/>
      <c r="H52" s="1067">
        <v>53</v>
      </c>
      <c r="I52" s="1067"/>
    </row>
    <row r="53" spans="1:9" x14ac:dyDescent="0.25">
      <c r="A53" s="1067" t="s">
        <v>254</v>
      </c>
      <c r="B53" s="1067" t="s">
        <v>247</v>
      </c>
      <c r="C53" s="1067" t="s">
        <v>284</v>
      </c>
      <c r="D53" s="1067" t="s">
        <v>38</v>
      </c>
      <c r="E53" s="1067">
        <v>47</v>
      </c>
      <c r="F53" s="1067"/>
      <c r="G53" s="1067"/>
      <c r="H53" s="1067">
        <v>47</v>
      </c>
      <c r="I53" s="1067"/>
    </row>
    <row r="54" spans="1:9" x14ac:dyDescent="0.25">
      <c r="A54" s="1067" t="s">
        <v>254</v>
      </c>
      <c r="B54" s="1067" t="s">
        <v>247</v>
      </c>
      <c r="C54" s="1067" t="s">
        <v>285</v>
      </c>
      <c r="D54" s="1067" t="s">
        <v>40</v>
      </c>
      <c r="E54" s="1067">
        <v>24</v>
      </c>
      <c r="F54" s="1067"/>
      <c r="G54" s="1067"/>
      <c r="H54" s="1067">
        <v>24</v>
      </c>
      <c r="I54" s="1067"/>
    </row>
    <row r="55" spans="1:9" x14ac:dyDescent="0.25">
      <c r="A55" s="1067" t="s">
        <v>254</v>
      </c>
      <c r="B55" s="1067" t="s">
        <v>247</v>
      </c>
      <c r="C55" s="1067" t="s">
        <v>286</v>
      </c>
      <c r="D55" s="1067" t="s">
        <v>41</v>
      </c>
      <c r="E55" s="1067">
        <v>52</v>
      </c>
      <c r="F55" s="1067"/>
      <c r="G55" s="1067"/>
      <c r="H55" s="1067">
        <v>52</v>
      </c>
      <c r="I55" s="1067"/>
    </row>
    <row r="56" spans="1:9" x14ac:dyDescent="0.25">
      <c r="A56" s="1067" t="s">
        <v>254</v>
      </c>
      <c r="B56" s="1067" t="s">
        <v>247</v>
      </c>
      <c r="C56" s="1067" t="s">
        <v>288</v>
      </c>
      <c r="D56" s="1067" t="s">
        <v>42</v>
      </c>
      <c r="E56" s="1067">
        <v>88</v>
      </c>
      <c r="F56" s="1067"/>
      <c r="G56" s="1067"/>
      <c r="H56" s="1067">
        <v>88</v>
      </c>
      <c r="I56" s="1067"/>
    </row>
    <row r="57" spans="1:9" x14ac:dyDescent="0.25">
      <c r="A57" s="1067" t="s">
        <v>254</v>
      </c>
      <c r="B57" s="1067" t="s">
        <v>247</v>
      </c>
      <c r="C57" s="1067" t="s">
        <v>289</v>
      </c>
      <c r="D57" s="1067" t="s">
        <v>44</v>
      </c>
      <c r="E57" s="1067">
        <v>70</v>
      </c>
      <c r="F57" s="1067"/>
      <c r="G57" s="1067"/>
      <c r="H57" s="1067">
        <v>70</v>
      </c>
      <c r="I57" s="1067"/>
    </row>
    <row r="58" spans="1:9" x14ac:dyDescent="0.25">
      <c r="A58" s="1067" t="s">
        <v>254</v>
      </c>
      <c r="B58" s="1067" t="s">
        <v>247</v>
      </c>
      <c r="C58" s="1067" t="s">
        <v>290</v>
      </c>
      <c r="D58" s="1067" t="s">
        <v>45</v>
      </c>
      <c r="E58" s="1067">
        <v>72</v>
      </c>
      <c r="F58" s="1067"/>
      <c r="G58" s="1067"/>
      <c r="H58" s="1067">
        <v>72</v>
      </c>
      <c r="I58" s="1067"/>
    </row>
    <row r="59" spans="1:9" x14ac:dyDescent="0.25">
      <c r="A59" s="1067" t="s">
        <v>254</v>
      </c>
      <c r="B59" s="1067" t="s">
        <v>247</v>
      </c>
      <c r="C59" s="1067" t="s">
        <v>291</v>
      </c>
      <c r="D59" s="1067" t="s">
        <v>46</v>
      </c>
      <c r="E59" s="1067">
        <v>26</v>
      </c>
      <c r="F59" s="1067"/>
      <c r="G59" s="1067"/>
      <c r="H59" s="1067">
        <v>26</v>
      </c>
      <c r="I59" s="1067"/>
    </row>
    <row r="60" spans="1:9" x14ac:dyDescent="0.25">
      <c r="A60" s="1067" t="s">
        <v>254</v>
      </c>
      <c r="B60" s="1067" t="s">
        <v>247</v>
      </c>
      <c r="C60" s="1067" t="s">
        <v>292</v>
      </c>
      <c r="D60" s="1067" t="s">
        <v>47</v>
      </c>
      <c r="E60" s="1067">
        <v>30</v>
      </c>
      <c r="F60" s="1067"/>
      <c r="G60" s="1067"/>
      <c r="H60" s="1067">
        <v>30</v>
      </c>
      <c r="I60" s="1067"/>
    </row>
    <row r="61" spans="1:9" x14ac:dyDescent="0.25">
      <c r="A61" s="1067" t="s">
        <v>254</v>
      </c>
      <c r="B61" s="1067" t="s">
        <v>247</v>
      </c>
      <c r="C61" s="1067" t="s">
        <v>293</v>
      </c>
      <c r="D61" s="1067" t="s">
        <v>49</v>
      </c>
      <c r="E61" s="1067">
        <v>76</v>
      </c>
      <c r="F61" s="1067"/>
      <c r="G61" s="1067"/>
      <c r="H61" s="1067">
        <v>76</v>
      </c>
      <c r="I61" s="1067"/>
    </row>
    <row r="62" spans="1:9" x14ac:dyDescent="0.25">
      <c r="A62" s="1067" t="s">
        <v>254</v>
      </c>
      <c r="B62" s="1067" t="s">
        <v>247</v>
      </c>
      <c r="C62" s="1067" t="s">
        <v>295</v>
      </c>
      <c r="D62" s="1067" t="s">
        <v>52</v>
      </c>
      <c r="E62" s="1067">
        <v>69</v>
      </c>
      <c r="F62" s="1067"/>
      <c r="G62" s="1067"/>
      <c r="H62" s="1067">
        <v>69</v>
      </c>
      <c r="I62" s="1067"/>
    </row>
    <row r="63" spans="1:9" x14ac:dyDescent="0.25">
      <c r="A63" s="1067" t="s">
        <v>254</v>
      </c>
      <c r="B63" s="1067" t="s">
        <v>247</v>
      </c>
      <c r="C63" s="1067" t="s">
        <v>296</v>
      </c>
      <c r="D63" s="1067" t="s">
        <v>54</v>
      </c>
      <c r="E63" s="1067">
        <v>56</v>
      </c>
      <c r="F63" s="1067"/>
      <c r="G63" s="1067"/>
      <c r="H63" s="1067">
        <v>56</v>
      </c>
      <c r="I63" s="1067"/>
    </row>
    <row r="64" spans="1:9" x14ac:dyDescent="0.25">
      <c r="A64" s="1067" t="s">
        <v>254</v>
      </c>
      <c r="B64" s="1067" t="s">
        <v>247</v>
      </c>
      <c r="C64" s="1067" t="s">
        <v>298</v>
      </c>
      <c r="D64" s="1067" t="s">
        <v>56</v>
      </c>
      <c r="E64" s="1067">
        <v>50</v>
      </c>
      <c r="F64" s="1067"/>
      <c r="G64" s="1067"/>
      <c r="H64" s="1067">
        <v>50</v>
      </c>
      <c r="I64" s="1067"/>
    </row>
    <row r="65" spans="1:9" x14ac:dyDescent="0.25">
      <c r="A65" s="1067" t="s">
        <v>254</v>
      </c>
      <c r="B65" s="1067" t="s">
        <v>247</v>
      </c>
      <c r="C65" s="1067" t="s">
        <v>299</v>
      </c>
      <c r="D65" s="1067" t="s">
        <v>57</v>
      </c>
      <c r="E65" s="1067">
        <v>167</v>
      </c>
      <c r="F65" s="1067"/>
      <c r="G65" s="1067"/>
      <c r="H65" s="1067">
        <v>167</v>
      </c>
      <c r="I65" s="1067"/>
    </row>
    <row r="66" spans="1:9" x14ac:dyDescent="0.25">
      <c r="A66" s="1067" t="s">
        <v>254</v>
      </c>
      <c r="B66" s="1067" t="s">
        <v>247</v>
      </c>
      <c r="C66" s="1067" t="s">
        <v>300</v>
      </c>
      <c r="D66" s="1067" t="s">
        <v>58</v>
      </c>
      <c r="E66" s="1067">
        <v>49</v>
      </c>
      <c r="F66" s="1067"/>
      <c r="G66" s="1067"/>
      <c r="H66" s="1067">
        <v>49</v>
      </c>
      <c r="I66" s="1067"/>
    </row>
    <row r="67" spans="1:9" x14ac:dyDescent="0.25">
      <c r="A67" s="1067" t="s">
        <v>254</v>
      </c>
      <c r="B67" s="1067" t="s">
        <v>247</v>
      </c>
      <c r="C67" s="1067" t="s">
        <v>301</v>
      </c>
      <c r="D67" s="1067" t="s">
        <v>31</v>
      </c>
      <c r="E67" s="1067">
        <v>154</v>
      </c>
      <c r="F67" s="1067"/>
      <c r="G67" s="1067"/>
      <c r="H67" s="1067">
        <v>154</v>
      </c>
      <c r="I67" s="1067"/>
    </row>
    <row r="68" spans="1:9" x14ac:dyDescent="0.25">
      <c r="A68" s="1067" t="s">
        <v>254</v>
      </c>
      <c r="B68" s="1067" t="s">
        <v>247</v>
      </c>
      <c r="C68" s="1067" t="s">
        <v>302</v>
      </c>
      <c r="D68" s="1067" t="s">
        <v>32</v>
      </c>
      <c r="E68" s="1067">
        <v>30</v>
      </c>
      <c r="F68" s="1067"/>
      <c r="G68" s="1067"/>
      <c r="H68" s="1067">
        <v>30</v>
      </c>
      <c r="I68" s="1067"/>
    </row>
    <row r="69" spans="1:9" x14ac:dyDescent="0.25">
      <c r="A69" s="1067" t="s">
        <v>254</v>
      </c>
      <c r="B69" s="1067" t="s">
        <v>247</v>
      </c>
      <c r="C69" s="1067" t="s">
        <v>303</v>
      </c>
      <c r="D69" s="1067" t="s">
        <v>34</v>
      </c>
      <c r="E69" s="1067">
        <v>54</v>
      </c>
      <c r="F69" s="1067"/>
      <c r="G69" s="1067"/>
      <c r="H69" s="1067">
        <v>54</v>
      </c>
      <c r="I69" s="1067"/>
    </row>
    <row r="70" spans="1:9" x14ac:dyDescent="0.25">
      <c r="A70" s="1067" t="s">
        <v>254</v>
      </c>
      <c r="B70" s="1067" t="s">
        <v>247</v>
      </c>
      <c r="C70" s="1067" t="s">
        <v>304</v>
      </c>
      <c r="D70" s="1067" t="s">
        <v>258</v>
      </c>
      <c r="E70" s="1067">
        <v>297</v>
      </c>
      <c r="F70" s="1067"/>
      <c r="G70" s="1067"/>
      <c r="H70" s="1067">
        <v>297</v>
      </c>
      <c r="I70" s="1067"/>
    </row>
    <row r="71" spans="1:9" x14ac:dyDescent="0.25">
      <c r="A71" s="1067" t="s">
        <v>254</v>
      </c>
      <c r="B71" s="1067" t="s">
        <v>247</v>
      </c>
      <c r="C71" s="1067" t="s">
        <v>305</v>
      </c>
      <c r="D71" s="1067" t="s">
        <v>53</v>
      </c>
      <c r="E71" s="1067">
        <v>99</v>
      </c>
      <c r="F71" s="1067"/>
      <c r="G71" s="1067"/>
      <c r="H71" s="1067">
        <v>99</v>
      </c>
      <c r="I71" s="1067"/>
    </row>
    <row r="72" spans="1:9" x14ac:dyDescent="0.25">
      <c r="A72" s="1067" t="s">
        <v>254</v>
      </c>
      <c r="B72" s="1067" t="s">
        <v>247</v>
      </c>
      <c r="C72" s="1067" t="s">
        <v>306</v>
      </c>
      <c r="D72" s="1067" t="s">
        <v>59</v>
      </c>
      <c r="E72" s="1067">
        <v>73</v>
      </c>
      <c r="F72" s="1067"/>
      <c r="G72" s="1067"/>
      <c r="H72" s="1067">
        <v>73</v>
      </c>
      <c r="I72" s="1067"/>
    </row>
    <row r="73" spans="1:9" x14ac:dyDescent="0.25">
      <c r="A73" s="1067" t="s">
        <v>254</v>
      </c>
      <c r="B73" s="1067" t="s">
        <v>247</v>
      </c>
      <c r="C73" s="1067" t="s">
        <v>307</v>
      </c>
      <c r="D73" s="1067" t="s">
        <v>60</v>
      </c>
      <c r="E73" s="1067">
        <v>56</v>
      </c>
      <c r="F73" s="1067"/>
      <c r="G73" s="1067"/>
      <c r="H73" s="1067">
        <v>56</v>
      </c>
      <c r="I73" s="1067"/>
    </row>
    <row r="74" spans="1:9" x14ac:dyDescent="0.25">
      <c r="A74" s="1067" t="s">
        <v>254</v>
      </c>
      <c r="B74" s="1067" t="s">
        <v>247</v>
      </c>
      <c r="C74" s="1067" t="s">
        <v>308</v>
      </c>
      <c r="D74" s="1067" t="s">
        <v>33</v>
      </c>
      <c r="E74" s="1067">
        <v>28</v>
      </c>
      <c r="F74" s="1067"/>
      <c r="G74" s="1067"/>
      <c r="H74" s="1067">
        <v>28</v>
      </c>
      <c r="I74" s="1067"/>
    </row>
    <row r="75" spans="1:9" x14ac:dyDescent="0.25">
      <c r="A75" s="1067" t="s">
        <v>254</v>
      </c>
      <c r="B75" s="1067" t="s">
        <v>247</v>
      </c>
      <c r="C75" s="1067" t="s">
        <v>309</v>
      </c>
      <c r="D75" s="1067" t="s">
        <v>37</v>
      </c>
      <c r="E75" s="1067">
        <v>177</v>
      </c>
      <c r="F75" s="1067"/>
      <c r="G75" s="1067"/>
      <c r="H75" s="1067">
        <v>177</v>
      </c>
      <c r="I75" s="1067"/>
    </row>
    <row r="76" spans="1:9" x14ac:dyDescent="0.25">
      <c r="A76" s="1067" t="s">
        <v>254</v>
      </c>
      <c r="B76" s="1067" t="s">
        <v>247</v>
      </c>
      <c r="C76" s="1067" t="s">
        <v>310</v>
      </c>
      <c r="D76" s="1067" t="s">
        <v>50</v>
      </c>
      <c r="E76" s="1067">
        <v>166</v>
      </c>
      <c r="F76" s="1067"/>
      <c r="G76" s="1067"/>
      <c r="H76" s="1067">
        <v>166</v>
      </c>
      <c r="I76" s="1067"/>
    </row>
    <row r="77" spans="1:9" x14ac:dyDescent="0.25">
      <c r="A77" s="1067" t="s">
        <v>254</v>
      </c>
      <c r="B77" s="1067" t="s">
        <v>247</v>
      </c>
      <c r="C77" s="1067" t="s">
        <v>311</v>
      </c>
      <c r="D77" s="1067" t="s">
        <v>39</v>
      </c>
      <c r="E77" s="1067">
        <v>78</v>
      </c>
      <c r="F77" s="1067"/>
      <c r="G77" s="1067"/>
      <c r="H77" s="1067">
        <v>78</v>
      </c>
      <c r="I77" s="1067"/>
    </row>
    <row r="78" spans="1:9" x14ac:dyDescent="0.25">
      <c r="A78" s="1067" t="s">
        <v>254</v>
      </c>
      <c r="B78" s="1067" t="s">
        <v>247</v>
      </c>
      <c r="C78" s="1067" t="s">
        <v>312</v>
      </c>
      <c r="D78" s="1067" t="s">
        <v>121</v>
      </c>
      <c r="E78" s="1067">
        <v>515</v>
      </c>
      <c r="F78" s="1067"/>
      <c r="G78" s="1067"/>
      <c r="H78" s="1067">
        <v>515</v>
      </c>
      <c r="I78" s="1067"/>
    </row>
    <row r="79" spans="1:9" x14ac:dyDescent="0.25">
      <c r="A79" s="1067" t="s">
        <v>254</v>
      </c>
      <c r="B79" s="1067" t="s">
        <v>247</v>
      </c>
      <c r="C79" s="1067" t="s">
        <v>313</v>
      </c>
      <c r="D79" s="1067" t="s">
        <v>43</v>
      </c>
      <c r="E79" s="1067">
        <v>274</v>
      </c>
      <c r="F79" s="1067"/>
      <c r="G79" s="1067"/>
      <c r="H79" s="1067">
        <v>274</v>
      </c>
      <c r="I79" s="1067"/>
    </row>
    <row r="80" spans="1:9" x14ac:dyDescent="0.25">
      <c r="A80" s="1067" t="s">
        <v>254</v>
      </c>
      <c r="B80" s="1067" t="s">
        <v>248</v>
      </c>
      <c r="C80" s="1067" t="s">
        <v>369</v>
      </c>
      <c r="D80" s="1067" t="s">
        <v>31</v>
      </c>
      <c r="E80" s="1067">
        <v>16</v>
      </c>
      <c r="F80" s="1067">
        <v>9</v>
      </c>
      <c r="G80" s="1067">
        <v>7</v>
      </c>
      <c r="H80" s="1067"/>
      <c r="I80" s="1067"/>
    </row>
    <row r="81" spans="1:9" x14ac:dyDescent="0.25">
      <c r="A81" s="1067" t="s">
        <v>254</v>
      </c>
      <c r="B81" s="1067" t="s">
        <v>248</v>
      </c>
      <c r="C81" s="1067" t="s">
        <v>370</v>
      </c>
      <c r="D81" s="1067" t="s">
        <v>63</v>
      </c>
      <c r="E81" s="1067">
        <v>25</v>
      </c>
      <c r="F81" s="1067">
        <v>14</v>
      </c>
      <c r="G81" s="1067">
        <v>11</v>
      </c>
      <c r="H81" s="1067"/>
      <c r="I81" s="1067"/>
    </row>
    <row r="82" spans="1:9" x14ac:dyDescent="0.25">
      <c r="A82" s="1067" t="s">
        <v>254</v>
      </c>
      <c r="B82" s="1067" t="s">
        <v>248</v>
      </c>
      <c r="C82" s="1067" t="s">
        <v>372</v>
      </c>
      <c r="D82" s="1067" t="s">
        <v>64</v>
      </c>
      <c r="E82" s="1067">
        <v>26</v>
      </c>
      <c r="F82" s="1067">
        <v>14</v>
      </c>
      <c r="G82" s="1067">
        <v>12</v>
      </c>
      <c r="H82" s="1067"/>
      <c r="I82" s="1067"/>
    </row>
    <row r="83" spans="1:9" x14ac:dyDescent="0.25">
      <c r="A83" s="1067" t="s">
        <v>254</v>
      </c>
      <c r="B83" s="1067" t="s">
        <v>248</v>
      </c>
      <c r="C83" s="1067" t="s">
        <v>373</v>
      </c>
      <c r="D83" s="1067" t="s">
        <v>36</v>
      </c>
      <c r="E83" s="1067">
        <v>22</v>
      </c>
      <c r="F83" s="1067">
        <v>13</v>
      </c>
      <c r="G83" s="1067">
        <v>9</v>
      </c>
      <c r="H83" s="1067"/>
      <c r="I83" s="1067"/>
    </row>
    <row r="84" spans="1:9" x14ac:dyDescent="0.25">
      <c r="A84" s="1067" t="s">
        <v>254</v>
      </c>
      <c r="B84" s="1067" t="s">
        <v>248</v>
      </c>
      <c r="C84" s="1067" t="s">
        <v>374</v>
      </c>
      <c r="D84" s="1067" t="s">
        <v>66</v>
      </c>
      <c r="E84" s="1067">
        <v>25</v>
      </c>
      <c r="F84" s="1067">
        <v>12</v>
      </c>
      <c r="G84" s="1067">
        <v>13</v>
      </c>
      <c r="H84" s="1067"/>
      <c r="I84" s="1067"/>
    </row>
    <row r="85" spans="1:9" x14ac:dyDescent="0.25">
      <c r="A85" s="1067" t="s">
        <v>254</v>
      </c>
      <c r="B85" s="1067" t="s">
        <v>248</v>
      </c>
      <c r="C85" s="1067" t="s">
        <v>375</v>
      </c>
      <c r="D85" s="1067" t="s">
        <v>67</v>
      </c>
      <c r="E85" s="1067">
        <v>25</v>
      </c>
      <c r="F85" s="1067">
        <v>14</v>
      </c>
      <c r="G85" s="1067">
        <v>11</v>
      </c>
      <c r="H85" s="1067"/>
      <c r="I85" s="1067"/>
    </row>
    <row r="86" spans="1:9" x14ac:dyDescent="0.25">
      <c r="A86" s="1067" t="s">
        <v>254</v>
      </c>
      <c r="B86" s="1067" t="s">
        <v>248</v>
      </c>
      <c r="C86" s="1067" t="s">
        <v>376</v>
      </c>
      <c r="D86" s="1067" t="s">
        <v>68</v>
      </c>
      <c r="E86" s="1067">
        <v>14</v>
      </c>
      <c r="F86" s="1067">
        <v>5</v>
      </c>
      <c r="G86" s="1067">
        <v>9</v>
      </c>
      <c r="H86" s="1067"/>
      <c r="I86" s="1067"/>
    </row>
    <row r="87" spans="1:9" x14ac:dyDescent="0.25">
      <c r="A87" s="1067" t="s">
        <v>254</v>
      </c>
      <c r="B87" s="1067" t="s">
        <v>248</v>
      </c>
      <c r="C87" s="1067" t="s">
        <v>377</v>
      </c>
      <c r="D87" s="1067" t="s">
        <v>175</v>
      </c>
      <c r="E87" s="1067">
        <v>30</v>
      </c>
      <c r="F87" s="1067">
        <v>20</v>
      </c>
      <c r="G87" s="1067">
        <v>10</v>
      </c>
      <c r="H87" s="1067"/>
      <c r="I87" s="1067"/>
    </row>
    <row r="88" spans="1:9" x14ac:dyDescent="0.25">
      <c r="A88" s="1067" t="s">
        <v>254</v>
      </c>
      <c r="B88" s="1067" t="s">
        <v>248</v>
      </c>
      <c r="C88" s="1067" t="s">
        <v>378</v>
      </c>
      <c r="D88" s="1067" t="s">
        <v>69</v>
      </c>
      <c r="E88" s="1067">
        <v>20</v>
      </c>
      <c r="F88" s="1067">
        <v>11</v>
      </c>
      <c r="G88" s="1067">
        <v>9</v>
      </c>
      <c r="H88" s="1067"/>
      <c r="I88" s="1067"/>
    </row>
    <row r="89" spans="1:9" x14ac:dyDescent="0.25">
      <c r="A89" s="1067" t="s">
        <v>254</v>
      </c>
      <c r="B89" s="1067" t="s">
        <v>248</v>
      </c>
      <c r="C89" s="1067" t="s">
        <v>1074</v>
      </c>
      <c r="D89" s="1067" t="s">
        <v>121</v>
      </c>
      <c r="E89" s="1067">
        <v>25</v>
      </c>
      <c r="F89" s="1067">
        <v>11</v>
      </c>
      <c r="G89" s="1067">
        <v>14</v>
      </c>
      <c r="H89" s="1067"/>
      <c r="I89" s="1067"/>
    </row>
    <row r="90" spans="1:9" x14ac:dyDescent="0.25">
      <c r="A90" s="1067" t="s">
        <v>254</v>
      </c>
      <c r="B90" s="1067" t="s">
        <v>248</v>
      </c>
      <c r="C90" s="1067" t="s">
        <v>379</v>
      </c>
      <c r="D90" s="1067" t="s">
        <v>70</v>
      </c>
      <c r="E90" s="1067">
        <v>45</v>
      </c>
      <c r="F90" s="1067">
        <v>26</v>
      </c>
      <c r="G90" s="1067">
        <v>19</v>
      </c>
      <c r="H90" s="1067"/>
      <c r="I90" s="1067"/>
    </row>
    <row r="91" spans="1:9" x14ac:dyDescent="0.25">
      <c r="A91" s="1067" t="s">
        <v>254</v>
      </c>
      <c r="B91" s="1067" t="s">
        <v>248</v>
      </c>
      <c r="C91" s="1067" t="s">
        <v>1075</v>
      </c>
      <c r="D91" s="1067" t="s">
        <v>50</v>
      </c>
      <c r="E91" s="1067">
        <v>17</v>
      </c>
      <c r="F91" s="1067">
        <v>9</v>
      </c>
      <c r="G91" s="1067">
        <v>8</v>
      </c>
      <c r="H91" s="1067"/>
      <c r="I91" s="1067"/>
    </row>
    <row r="92" spans="1:9" x14ac:dyDescent="0.25">
      <c r="A92" s="1067" t="s">
        <v>254</v>
      </c>
      <c r="B92" s="1067" t="s">
        <v>248</v>
      </c>
      <c r="C92" s="1067" t="s">
        <v>380</v>
      </c>
      <c r="D92" s="1067" t="s">
        <v>57</v>
      </c>
      <c r="E92" s="1067">
        <v>16</v>
      </c>
      <c r="F92" s="1067">
        <v>7</v>
      </c>
      <c r="G92" s="1067">
        <v>9</v>
      </c>
      <c r="H92" s="1067"/>
      <c r="I92" s="1067"/>
    </row>
    <row r="93" spans="1:9" x14ac:dyDescent="0.25">
      <c r="A93" s="1067" t="s">
        <v>254</v>
      </c>
      <c r="B93" s="1067" t="s">
        <v>248</v>
      </c>
      <c r="C93" s="1067" t="s">
        <v>1072</v>
      </c>
      <c r="D93" s="1067" t="s">
        <v>1071</v>
      </c>
      <c r="E93" s="1067">
        <v>18</v>
      </c>
      <c r="F93" s="1067">
        <v>9</v>
      </c>
      <c r="G93" s="1067">
        <v>9</v>
      </c>
      <c r="H93" s="1067"/>
      <c r="I93" s="1067"/>
    </row>
    <row r="94" spans="1:9" x14ac:dyDescent="0.25">
      <c r="A94" s="1067" t="s">
        <v>254</v>
      </c>
      <c r="B94" s="1067" t="s">
        <v>248</v>
      </c>
      <c r="C94" s="1067" t="s">
        <v>381</v>
      </c>
      <c r="D94" s="1067" t="s">
        <v>71</v>
      </c>
      <c r="E94" s="1067">
        <v>16</v>
      </c>
      <c r="F94" s="1067">
        <v>7</v>
      </c>
      <c r="G94" s="1067">
        <v>9</v>
      </c>
      <c r="H94" s="1067"/>
      <c r="I94" s="1067"/>
    </row>
    <row r="95" spans="1:9" x14ac:dyDescent="0.25">
      <c r="A95" s="1067" t="s">
        <v>254</v>
      </c>
      <c r="B95" s="1067" t="s">
        <v>248</v>
      </c>
      <c r="C95" s="1067" t="s">
        <v>371</v>
      </c>
      <c r="D95" s="1067" t="s">
        <v>65</v>
      </c>
      <c r="E95" s="1067">
        <v>29</v>
      </c>
      <c r="F95" s="1067">
        <v>16</v>
      </c>
      <c r="G95" s="1067">
        <v>13</v>
      </c>
      <c r="H95" s="1067"/>
      <c r="I95" s="1067"/>
    </row>
    <row r="96" spans="1:9" x14ac:dyDescent="0.25">
      <c r="A96" s="1067" t="s">
        <v>254</v>
      </c>
      <c r="B96" s="1067" t="s">
        <v>248</v>
      </c>
      <c r="C96" s="1067" t="s">
        <v>1073</v>
      </c>
      <c r="D96" s="1067" t="s">
        <v>43</v>
      </c>
      <c r="E96" s="1067">
        <v>18</v>
      </c>
      <c r="F96" s="1067">
        <v>10</v>
      </c>
      <c r="G96" s="1067">
        <v>8</v>
      </c>
      <c r="H96" s="1067"/>
      <c r="I96" s="1067"/>
    </row>
    <row r="97" spans="1:9" x14ac:dyDescent="0.25">
      <c r="A97" s="1067" t="s">
        <v>254</v>
      </c>
      <c r="B97" s="1067" t="s">
        <v>249</v>
      </c>
      <c r="C97" s="1067" t="s">
        <v>403</v>
      </c>
      <c r="D97" s="1067" t="s">
        <v>173</v>
      </c>
      <c r="E97" s="1067">
        <v>79</v>
      </c>
      <c r="F97" s="1067">
        <v>61</v>
      </c>
      <c r="G97" s="1067">
        <v>18</v>
      </c>
      <c r="H97" s="1067"/>
      <c r="I97" s="1067"/>
    </row>
    <row r="98" spans="1:9" x14ac:dyDescent="0.25">
      <c r="A98" s="1067" t="s">
        <v>254</v>
      </c>
      <c r="B98" s="1067" t="s">
        <v>249</v>
      </c>
      <c r="C98" s="1067" t="s">
        <v>402</v>
      </c>
      <c r="D98" s="1067" t="s">
        <v>174</v>
      </c>
      <c r="E98" s="1067">
        <v>37</v>
      </c>
      <c r="F98" s="1067">
        <v>26</v>
      </c>
      <c r="G98" s="1067">
        <v>11</v>
      </c>
      <c r="H98" s="1067"/>
      <c r="I98" s="1067"/>
    </row>
    <row r="99" spans="1:9" x14ac:dyDescent="0.25">
      <c r="A99" s="1067" t="s">
        <v>254</v>
      </c>
      <c r="B99" s="1067" t="s">
        <v>249</v>
      </c>
      <c r="C99" s="1067" t="s">
        <v>404</v>
      </c>
      <c r="D99" s="1067" t="s">
        <v>172</v>
      </c>
      <c r="E99" s="1067">
        <v>30</v>
      </c>
      <c r="F99" s="1067">
        <v>18</v>
      </c>
      <c r="G99" s="1067">
        <v>12</v>
      </c>
      <c r="H99" s="1067"/>
      <c r="I99" s="1067"/>
    </row>
    <row r="100" spans="1:9" x14ac:dyDescent="0.25">
      <c r="A100" s="1067" t="s">
        <v>254</v>
      </c>
      <c r="B100" s="1067" t="s">
        <v>250</v>
      </c>
      <c r="C100" s="1067" t="s">
        <v>382</v>
      </c>
      <c r="D100" s="1067" t="s">
        <v>259</v>
      </c>
      <c r="E100" s="1067">
        <v>149</v>
      </c>
      <c r="F100" s="1067">
        <v>46</v>
      </c>
      <c r="G100" s="1067">
        <v>43</v>
      </c>
      <c r="H100" s="1067"/>
      <c r="I100" s="1067">
        <v>60</v>
      </c>
    </row>
    <row r="101" spans="1:9" x14ac:dyDescent="0.25">
      <c r="A101" s="1067" t="s">
        <v>851</v>
      </c>
      <c r="B101" s="1067" t="s">
        <v>247</v>
      </c>
      <c r="C101" s="1067" t="s">
        <v>403</v>
      </c>
      <c r="D101" s="1067" t="s">
        <v>34</v>
      </c>
      <c r="E101" s="1067">
        <v>53</v>
      </c>
      <c r="F101" s="1067"/>
      <c r="G101" s="1067"/>
      <c r="H101" s="1067">
        <v>53</v>
      </c>
      <c r="I101" s="1067"/>
    </row>
    <row r="102" spans="1:9" x14ac:dyDescent="0.25">
      <c r="A102" s="1067" t="s">
        <v>851</v>
      </c>
      <c r="B102" s="1067" t="s">
        <v>247</v>
      </c>
      <c r="C102" s="1067" t="s">
        <v>403</v>
      </c>
      <c r="D102" s="1067" t="s">
        <v>36</v>
      </c>
      <c r="E102" s="1067">
        <v>52</v>
      </c>
      <c r="F102" s="1067"/>
      <c r="G102" s="1067"/>
      <c r="H102" s="1067">
        <v>52</v>
      </c>
      <c r="I102" s="1067"/>
    </row>
    <row r="103" spans="1:9" x14ac:dyDescent="0.25">
      <c r="A103" s="1067" t="s">
        <v>851</v>
      </c>
      <c r="B103" s="1067" t="s">
        <v>247</v>
      </c>
      <c r="C103" s="1067" t="s">
        <v>403</v>
      </c>
      <c r="D103" s="1067" t="s">
        <v>38</v>
      </c>
      <c r="E103" s="1067">
        <v>49</v>
      </c>
      <c r="F103" s="1067"/>
      <c r="G103" s="1067"/>
      <c r="H103" s="1067">
        <v>49</v>
      </c>
      <c r="I103" s="1067"/>
    </row>
    <row r="104" spans="1:9" x14ac:dyDescent="0.25">
      <c r="A104" s="1067" t="s">
        <v>851</v>
      </c>
      <c r="B104" s="1067" t="s">
        <v>247</v>
      </c>
      <c r="C104" s="1067" t="s">
        <v>403</v>
      </c>
      <c r="D104" s="1067" t="s">
        <v>39</v>
      </c>
      <c r="E104" s="1067">
        <v>79</v>
      </c>
      <c r="F104" s="1067"/>
      <c r="G104" s="1067"/>
      <c r="H104" s="1067">
        <v>79</v>
      </c>
      <c r="I104" s="1067"/>
    </row>
    <row r="105" spans="1:9" x14ac:dyDescent="0.25">
      <c r="A105" s="1067" t="s">
        <v>851</v>
      </c>
      <c r="B105" s="1067" t="s">
        <v>247</v>
      </c>
      <c r="C105" s="1067" t="s">
        <v>403</v>
      </c>
      <c r="D105" s="1067" t="s">
        <v>41</v>
      </c>
      <c r="E105" s="1067">
        <v>50</v>
      </c>
      <c r="F105" s="1067"/>
      <c r="G105" s="1067"/>
      <c r="H105" s="1067">
        <v>50</v>
      </c>
      <c r="I105" s="1067"/>
    </row>
    <row r="106" spans="1:9" x14ac:dyDescent="0.25">
      <c r="A106" s="1067" t="s">
        <v>851</v>
      </c>
      <c r="B106" s="1067" t="s">
        <v>247</v>
      </c>
      <c r="C106" s="1067" t="s">
        <v>403</v>
      </c>
      <c r="D106" s="1067" t="s">
        <v>121</v>
      </c>
      <c r="E106" s="1067">
        <v>517</v>
      </c>
      <c r="F106" s="1067"/>
      <c r="G106" s="1067"/>
      <c r="H106" s="1067">
        <v>517</v>
      </c>
      <c r="I106" s="1067"/>
    </row>
    <row r="107" spans="1:9" x14ac:dyDescent="0.25">
      <c r="A107" s="1067" t="s">
        <v>851</v>
      </c>
      <c r="B107" s="1067" t="s">
        <v>247</v>
      </c>
      <c r="C107" s="1067" t="s">
        <v>403</v>
      </c>
      <c r="D107" s="1067" t="s">
        <v>45</v>
      </c>
      <c r="E107" s="1067">
        <v>70</v>
      </c>
      <c r="F107" s="1067"/>
      <c r="G107" s="1067"/>
      <c r="H107" s="1067">
        <v>70</v>
      </c>
      <c r="I107" s="1067"/>
    </row>
    <row r="108" spans="1:9" x14ac:dyDescent="0.25">
      <c r="A108" s="1067" t="s">
        <v>851</v>
      </c>
      <c r="B108" s="1067" t="s">
        <v>247</v>
      </c>
      <c r="C108" s="1067" t="s">
        <v>403</v>
      </c>
      <c r="D108" s="1067" t="s">
        <v>49</v>
      </c>
      <c r="E108" s="1067">
        <v>75</v>
      </c>
      <c r="F108" s="1067"/>
      <c r="G108" s="1067"/>
      <c r="H108" s="1067">
        <v>75</v>
      </c>
      <c r="I108" s="1067"/>
    </row>
    <row r="109" spans="1:9" x14ac:dyDescent="0.25">
      <c r="A109" s="1067" t="s">
        <v>851</v>
      </c>
      <c r="B109" s="1067" t="s">
        <v>247</v>
      </c>
      <c r="C109" s="1067" t="s">
        <v>403</v>
      </c>
      <c r="D109" s="1067" t="s">
        <v>50</v>
      </c>
      <c r="E109" s="1067">
        <v>163</v>
      </c>
      <c r="F109" s="1067"/>
      <c r="G109" s="1067"/>
      <c r="H109" s="1067">
        <v>163</v>
      </c>
      <c r="I109" s="1067"/>
    </row>
    <row r="110" spans="1:9" x14ac:dyDescent="0.25">
      <c r="A110" s="1067" t="s">
        <v>851</v>
      </c>
      <c r="B110" s="1067" t="s">
        <v>247</v>
      </c>
      <c r="C110" s="1067" t="s">
        <v>403</v>
      </c>
      <c r="D110" s="1067" t="s">
        <v>53</v>
      </c>
      <c r="E110" s="1067">
        <v>102</v>
      </c>
      <c r="F110" s="1067"/>
      <c r="G110" s="1067"/>
      <c r="H110" s="1067">
        <v>102</v>
      </c>
      <c r="I110" s="1067"/>
    </row>
    <row r="111" spans="1:9" x14ac:dyDescent="0.25">
      <c r="A111" s="1067" t="s">
        <v>851</v>
      </c>
      <c r="B111" s="1067" t="s">
        <v>247</v>
      </c>
      <c r="C111" s="1067" t="s">
        <v>403</v>
      </c>
      <c r="D111" s="1067" t="s">
        <v>56</v>
      </c>
      <c r="E111" s="1067">
        <v>50</v>
      </c>
      <c r="F111" s="1067"/>
      <c r="G111" s="1067"/>
      <c r="H111" s="1067">
        <v>50</v>
      </c>
      <c r="I111" s="1067"/>
    </row>
    <row r="112" spans="1:9" x14ac:dyDescent="0.25">
      <c r="A112" s="1067" t="s">
        <v>851</v>
      </c>
      <c r="B112" s="1067" t="s">
        <v>247</v>
      </c>
      <c r="C112" s="1067" t="s">
        <v>403</v>
      </c>
      <c r="D112" s="1067" t="s">
        <v>57</v>
      </c>
      <c r="E112" s="1067">
        <v>168</v>
      </c>
      <c r="F112" s="1067"/>
      <c r="G112" s="1067"/>
      <c r="H112" s="1067">
        <v>168</v>
      </c>
      <c r="I112" s="1067"/>
    </row>
    <row r="113" spans="1:9" x14ac:dyDescent="0.25">
      <c r="A113" s="1067" t="s">
        <v>851</v>
      </c>
      <c r="B113" s="1067" t="s">
        <v>247</v>
      </c>
      <c r="C113" s="1067" t="s">
        <v>403</v>
      </c>
      <c r="D113" s="1067" t="s">
        <v>59</v>
      </c>
      <c r="E113" s="1067">
        <v>73</v>
      </c>
      <c r="F113" s="1067"/>
      <c r="G113" s="1067"/>
      <c r="H113" s="1067">
        <v>73</v>
      </c>
      <c r="I113" s="1067"/>
    </row>
    <row r="114" spans="1:9" x14ac:dyDescent="0.25">
      <c r="A114" s="1067" t="s">
        <v>851</v>
      </c>
      <c r="B114" s="1067" t="s">
        <v>247</v>
      </c>
      <c r="C114" s="1067" t="s">
        <v>402</v>
      </c>
      <c r="D114" s="1067" t="s">
        <v>258</v>
      </c>
      <c r="E114" s="1067">
        <v>306</v>
      </c>
      <c r="F114" s="1067"/>
      <c r="G114" s="1067"/>
      <c r="H114" s="1067">
        <v>306</v>
      </c>
      <c r="I114" s="1067"/>
    </row>
    <row r="115" spans="1:9" x14ac:dyDescent="0.25">
      <c r="A115" s="1067" t="s">
        <v>851</v>
      </c>
      <c r="B115" s="1067" t="s">
        <v>247</v>
      </c>
      <c r="C115" s="1067" t="s">
        <v>402</v>
      </c>
      <c r="D115" s="1067" t="s">
        <v>35</v>
      </c>
      <c r="E115" s="1067">
        <v>25</v>
      </c>
      <c r="F115" s="1067"/>
      <c r="G115" s="1067"/>
      <c r="H115" s="1067">
        <v>25</v>
      </c>
      <c r="I115" s="1067"/>
    </row>
    <row r="116" spans="1:9" x14ac:dyDescent="0.25">
      <c r="A116" s="1067" t="s">
        <v>851</v>
      </c>
      <c r="B116" s="1067" t="s">
        <v>247</v>
      </c>
      <c r="C116" s="1067" t="s">
        <v>402</v>
      </c>
      <c r="D116" s="1067" t="s">
        <v>40</v>
      </c>
      <c r="E116" s="1067">
        <v>25</v>
      </c>
      <c r="F116" s="1067"/>
      <c r="G116" s="1067"/>
      <c r="H116" s="1067">
        <v>25</v>
      </c>
      <c r="I116" s="1067"/>
    </row>
    <row r="117" spans="1:9" x14ac:dyDescent="0.25">
      <c r="A117" s="1067" t="s">
        <v>851</v>
      </c>
      <c r="B117" s="1067" t="s">
        <v>247</v>
      </c>
      <c r="C117" s="1067" t="s">
        <v>402</v>
      </c>
      <c r="D117" s="1067" t="s">
        <v>42</v>
      </c>
      <c r="E117" s="1067">
        <v>88</v>
      </c>
      <c r="F117" s="1067"/>
      <c r="G117" s="1067"/>
      <c r="H117" s="1067">
        <v>88</v>
      </c>
      <c r="I117" s="1067"/>
    </row>
    <row r="118" spans="1:9" x14ac:dyDescent="0.25">
      <c r="A118" s="1067" t="s">
        <v>851</v>
      </c>
      <c r="B118" s="1067" t="s">
        <v>247</v>
      </c>
      <c r="C118" s="1067" t="s">
        <v>402</v>
      </c>
      <c r="D118" s="1067" t="s">
        <v>43</v>
      </c>
      <c r="E118" s="1067">
        <v>269</v>
      </c>
      <c r="F118" s="1067"/>
      <c r="G118" s="1067"/>
      <c r="H118" s="1067">
        <v>269</v>
      </c>
      <c r="I118" s="1067"/>
    </row>
    <row r="119" spans="1:9" x14ac:dyDescent="0.25">
      <c r="A119" s="1067" t="s">
        <v>851</v>
      </c>
      <c r="B119" s="1067" t="s">
        <v>247</v>
      </c>
      <c r="C119" s="1067" t="s">
        <v>402</v>
      </c>
      <c r="D119" s="1067" t="s">
        <v>46</v>
      </c>
      <c r="E119" s="1067">
        <v>26</v>
      </c>
      <c r="F119" s="1067"/>
      <c r="G119" s="1067"/>
      <c r="H119" s="1067">
        <v>26</v>
      </c>
      <c r="I119" s="1067"/>
    </row>
    <row r="120" spans="1:9" x14ac:dyDescent="0.25">
      <c r="A120" s="1067" t="s">
        <v>851</v>
      </c>
      <c r="B120" s="1067" t="s">
        <v>247</v>
      </c>
      <c r="C120" s="1067" t="s">
        <v>402</v>
      </c>
      <c r="D120" s="1067" t="s">
        <v>54</v>
      </c>
      <c r="E120" s="1067">
        <v>53</v>
      </c>
      <c r="F120" s="1067"/>
      <c r="G120" s="1067"/>
      <c r="H120" s="1067">
        <v>53</v>
      </c>
      <c r="I120" s="1067"/>
    </row>
    <row r="121" spans="1:9" x14ac:dyDescent="0.25">
      <c r="A121" s="1067" t="s">
        <v>851</v>
      </c>
      <c r="B121" s="1067" t="s">
        <v>247</v>
      </c>
      <c r="C121" s="1067" t="s">
        <v>402</v>
      </c>
      <c r="D121" s="1067" t="s">
        <v>58</v>
      </c>
      <c r="E121" s="1067">
        <v>51</v>
      </c>
      <c r="F121" s="1067"/>
      <c r="G121" s="1067"/>
      <c r="H121" s="1067">
        <v>51</v>
      </c>
      <c r="I121" s="1067"/>
    </row>
    <row r="122" spans="1:9" x14ac:dyDescent="0.25">
      <c r="A122" s="1067" t="s">
        <v>851</v>
      </c>
      <c r="B122" s="1067" t="s">
        <v>247</v>
      </c>
      <c r="C122" s="1067" t="s">
        <v>402</v>
      </c>
      <c r="D122" s="1067" t="s">
        <v>60</v>
      </c>
      <c r="E122" s="1067">
        <v>58</v>
      </c>
      <c r="F122" s="1067"/>
      <c r="G122" s="1067"/>
      <c r="H122" s="1067">
        <v>58</v>
      </c>
      <c r="I122" s="1067"/>
    </row>
    <row r="123" spans="1:9" x14ac:dyDescent="0.25">
      <c r="A123" s="1067" t="s">
        <v>851</v>
      </c>
      <c r="B123" s="1067" t="s">
        <v>247</v>
      </c>
      <c r="C123" s="1067" t="s">
        <v>404</v>
      </c>
      <c r="D123" s="1067" t="s">
        <v>31</v>
      </c>
      <c r="E123" s="1067">
        <v>155</v>
      </c>
      <c r="F123" s="1067"/>
      <c r="G123" s="1067"/>
      <c r="H123" s="1067">
        <v>155</v>
      </c>
      <c r="I123" s="1067"/>
    </row>
    <row r="124" spans="1:9" x14ac:dyDescent="0.25">
      <c r="A124" s="1067" t="s">
        <v>851</v>
      </c>
      <c r="B124" s="1067" t="s">
        <v>247</v>
      </c>
      <c r="C124" s="1067" t="s">
        <v>404</v>
      </c>
      <c r="D124" s="1067" t="s">
        <v>32</v>
      </c>
      <c r="E124" s="1067">
        <v>32</v>
      </c>
      <c r="F124" s="1067"/>
      <c r="G124" s="1067"/>
      <c r="H124" s="1067">
        <v>32</v>
      </c>
      <c r="I124" s="1067"/>
    </row>
    <row r="125" spans="1:9" x14ac:dyDescent="0.25">
      <c r="A125" s="1067" t="s">
        <v>851</v>
      </c>
      <c r="B125" s="1067" t="s">
        <v>247</v>
      </c>
      <c r="C125" s="1067" t="s">
        <v>404</v>
      </c>
      <c r="D125" s="1067" t="s">
        <v>33</v>
      </c>
      <c r="E125" s="1067">
        <v>27</v>
      </c>
      <c r="F125" s="1067"/>
      <c r="G125" s="1067"/>
      <c r="H125" s="1067">
        <v>27</v>
      </c>
      <c r="I125" s="1067"/>
    </row>
    <row r="126" spans="1:9" x14ac:dyDescent="0.25">
      <c r="A126" s="1067" t="s">
        <v>851</v>
      </c>
      <c r="B126" s="1067" t="s">
        <v>247</v>
      </c>
      <c r="C126" s="1067" t="s">
        <v>404</v>
      </c>
      <c r="D126" s="1067" t="s">
        <v>37</v>
      </c>
      <c r="E126" s="1067">
        <v>182</v>
      </c>
      <c r="F126" s="1067"/>
      <c r="G126" s="1067"/>
      <c r="H126" s="1067">
        <v>182</v>
      </c>
      <c r="I126" s="1067"/>
    </row>
    <row r="127" spans="1:9" x14ac:dyDescent="0.25">
      <c r="A127" s="1067" t="s">
        <v>851</v>
      </c>
      <c r="B127" s="1067" t="s">
        <v>247</v>
      </c>
      <c r="C127" s="1067" t="s">
        <v>404</v>
      </c>
      <c r="D127" s="1067" t="s">
        <v>44</v>
      </c>
      <c r="E127" s="1067">
        <v>71</v>
      </c>
      <c r="F127" s="1067"/>
      <c r="G127" s="1067"/>
      <c r="H127" s="1067">
        <v>71</v>
      </c>
      <c r="I127" s="1067"/>
    </row>
    <row r="128" spans="1:9" x14ac:dyDescent="0.25">
      <c r="A128" s="1067" t="s">
        <v>851</v>
      </c>
      <c r="B128" s="1067" t="s">
        <v>247</v>
      </c>
      <c r="C128" s="1067" t="s">
        <v>404</v>
      </c>
      <c r="D128" s="1067" t="s">
        <v>47</v>
      </c>
      <c r="E128" s="1067">
        <v>30</v>
      </c>
      <c r="F128" s="1067"/>
      <c r="G128" s="1067"/>
      <c r="H128" s="1067">
        <v>30</v>
      </c>
      <c r="I128" s="1067"/>
    </row>
    <row r="129" spans="1:9" x14ac:dyDescent="0.25">
      <c r="A129" s="1067" t="s">
        <v>851</v>
      </c>
      <c r="B129" s="1067" t="s">
        <v>247</v>
      </c>
      <c r="C129" s="1067" t="s">
        <v>404</v>
      </c>
      <c r="D129" s="1067" t="s">
        <v>52</v>
      </c>
      <c r="E129" s="1067">
        <v>67</v>
      </c>
      <c r="F129" s="1067"/>
      <c r="G129" s="1067"/>
      <c r="H129" s="1067">
        <v>67</v>
      </c>
      <c r="I129" s="1067"/>
    </row>
    <row r="130" spans="1:9" x14ac:dyDescent="0.25">
      <c r="A130" s="1067" t="s">
        <v>851</v>
      </c>
      <c r="B130" s="1067" t="s">
        <v>248</v>
      </c>
      <c r="C130" s="1067"/>
      <c r="D130" s="1067" t="s">
        <v>853</v>
      </c>
      <c r="E130" s="1067">
        <v>38</v>
      </c>
      <c r="F130" s="1067">
        <v>21</v>
      </c>
      <c r="G130" s="1067">
        <v>17</v>
      </c>
      <c r="H130" s="1067"/>
      <c r="I130" s="1067"/>
    </row>
    <row r="131" spans="1:9" x14ac:dyDescent="0.25">
      <c r="A131" s="1067" t="s">
        <v>851</v>
      </c>
      <c r="B131" s="1067" t="s">
        <v>248</v>
      </c>
      <c r="C131" s="1067" t="s">
        <v>403</v>
      </c>
      <c r="D131" s="1067" t="s">
        <v>64</v>
      </c>
      <c r="E131" s="1067">
        <v>28</v>
      </c>
      <c r="F131" s="1067">
        <v>16</v>
      </c>
      <c r="G131" s="1067">
        <v>12</v>
      </c>
      <c r="H131" s="1067"/>
      <c r="I131" s="1067"/>
    </row>
    <row r="132" spans="1:9" x14ac:dyDescent="0.25">
      <c r="A132" s="1067" t="s">
        <v>851</v>
      </c>
      <c r="B132" s="1067" t="s">
        <v>248</v>
      </c>
      <c r="C132" s="1067" t="s">
        <v>403</v>
      </c>
      <c r="D132" s="1067" t="s">
        <v>36</v>
      </c>
      <c r="E132" s="1067">
        <v>22</v>
      </c>
      <c r="F132" s="1067">
        <v>13</v>
      </c>
      <c r="G132" s="1067">
        <v>9</v>
      </c>
      <c r="H132" s="1067"/>
      <c r="I132" s="1067"/>
    </row>
    <row r="133" spans="1:9" x14ac:dyDescent="0.25">
      <c r="A133" s="1067" t="s">
        <v>851</v>
      </c>
      <c r="B133" s="1067" t="s">
        <v>248</v>
      </c>
      <c r="C133" s="1067" t="s">
        <v>403</v>
      </c>
      <c r="D133" s="1067" t="s">
        <v>66</v>
      </c>
      <c r="E133" s="1067">
        <v>28</v>
      </c>
      <c r="F133" s="1067">
        <v>14</v>
      </c>
      <c r="G133" s="1067">
        <v>14</v>
      </c>
      <c r="H133" s="1067"/>
      <c r="I133" s="1067"/>
    </row>
    <row r="134" spans="1:9" x14ac:dyDescent="0.25">
      <c r="A134" s="1067" t="s">
        <v>851</v>
      </c>
      <c r="B134" s="1067" t="s">
        <v>248</v>
      </c>
      <c r="C134" s="1067" t="s">
        <v>403</v>
      </c>
      <c r="D134" s="1067" t="s">
        <v>68</v>
      </c>
      <c r="E134" s="1067">
        <v>13</v>
      </c>
      <c r="F134" s="1067">
        <v>4</v>
      </c>
      <c r="G134" s="1067">
        <v>9</v>
      </c>
      <c r="H134" s="1067"/>
      <c r="I134" s="1067"/>
    </row>
    <row r="135" spans="1:9" x14ac:dyDescent="0.25">
      <c r="A135" s="1067" t="s">
        <v>851</v>
      </c>
      <c r="B135" s="1067" t="s">
        <v>248</v>
      </c>
      <c r="C135" s="1067" t="s">
        <v>403</v>
      </c>
      <c r="D135" s="1067" t="s">
        <v>121</v>
      </c>
      <c r="E135" s="1067">
        <v>25</v>
      </c>
      <c r="F135" s="1067">
        <v>9</v>
      </c>
      <c r="G135" s="1067">
        <v>16</v>
      </c>
      <c r="H135" s="1067"/>
      <c r="I135" s="1067"/>
    </row>
    <row r="136" spans="1:9" x14ac:dyDescent="0.25">
      <c r="A136" s="1067" t="s">
        <v>851</v>
      </c>
      <c r="B136" s="1067" t="s">
        <v>248</v>
      </c>
      <c r="C136" s="1067" t="s">
        <v>403</v>
      </c>
      <c r="D136" s="1067" t="s">
        <v>50</v>
      </c>
      <c r="E136" s="1067">
        <v>16</v>
      </c>
      <c r="F136" s="1067">
        <v>8</v>
      </c>
      <c r="G136" s="1067">
        <v>8</v>
      </c>
      <c r="H136" s="1067"/>
      <c r="I136" s="1067"/>
    </row>
    <row r="137" spans="1:9" x14ac:dyDescent="0.25">
      <c r="A137" s="1067" t="s">
        <v>851</v>
      </c>
      <c r="B137" s="1067" t="s">
        <v>248</v>
      </c>
      <c r="C137" s="1067" t="s">
        <v>403</v>
      </c>
      <c r="D137" s="1067" t="s">
        <v>57</v>
      </c>
      <c r="E137" s="1067">
        <v>16</v>
      </c>
      <c r="F137" s="1067">
        <v>7</v>
      </c>
      <c r="G137" s="1067">
        <v>9</v>
      </c>
      <c r="H137" s="1067"/>
      <c r="I137" s="1067"/>
    </row>
    <row r="138" spans="1:9" x14ac:dyDescent="0.25">
      <c r="A138" s="1067" t="s">
        <v>851</v>
      </c>
      <c r="B138" s="1067" t="s">
        <v>248</v>
      </c>
      <c r="C138" s="1067" t="s">
        <v>402</v>
      </c>
      <c r="D138" s="1067" t="s">
        <v>67</v>
      </c>
      <c r="E138" s="1067">
        <v>29</v>
      </c>
      <c r="F138" s="1067">
        <v>18</v>
      </c>
      <c r="G138" s="1067">
        <v>11</v>
      </c>
      <c r="H138" s="1067"/>
      <c r="I138" s="1067"/>
    </row>
    <row r="139" spans="1:9" x14ac:dyDescent="0.25">
      <c r="A139" s="1067" t="s">
        <v>851</v>
      </c>
      <c r="B139" s="1067" t="s">
        <v>248</v>
      </c>
      <c r="C139" s="1067" t="s">
        <v>402</v>
      </c>
      <c r="D139" s="1067" t="s">
        <v>175</v>
      </c>
      <c r="E139" s="1067">
        <v>28</v>
      </c>
      <c r="F139" s="1067">
        <v>18</v>
      </c>
      <c r="G139" s="1067">
        <v>10</v>
      </c>
      <c r="H139" s="1067"/>
      <c r="I139" s="1067"/>
    </row>
    <row r="140" spans="1:9" x14ac:dyDescent="0.25">
      <c r="A140" s="1067" t="s">
        <v>851</v>
      </c>
      <c r="B140" s="1067" t="s">
        <v>248</v>
      </c>
      <c r="C140" s="1067" t="s">
        <v>402</v>
      </c>
      <c r="D140" s="1067" t="s">
        <v>69</v>
      </c>
      <c r="E140" s="1067">
        <v>19</v>
      </c>
      <c r="F140" s="1067">
        <v>10</v>
      </c>
      <c r="G140" s="1067">
        <v>9</v>
      </c>
      <c r="H140" s="1067"/>
      <c r="I140" s="1067"/>
    </row>
    <row r="141" spans="1:9" x14ac:dyDescent="0.25">
      <c r="A141" s="1067" t="s">
        <v>851</v>
      </c>
      <c r="B141" s="1067" t="s">
        <v>248</v>
      </c>
      <c r="C141" s="1067" t="s">
        <v>404</v>
      </c>
      <c r="D141" s="1067" t="s">
        <v>31</v>
      </c>
      <c r="E141" s="1067">
        <v>13</v>
      </c>
      <c r="F141" s="1067">
        <v>7</v>
      </c>
      <c r="G141" s="1067">
        <v>6</v>
      </c>
      <c r="H141" s="1067"/>
      <c r="I141" s="1067"/>
    </row>
    <row r="142" spans="1:9" x14ac:dyDescent="0.25">
      <c r="A142" s="1067" t="s">
        <v>851</v>
      </c>
      <c r="B142" s="1067" t="s">
        <v>248</v>
      </c>
      <c r="C142" s="1067" t="s">
        <v>404</v>
      </c>
      <c r="D142" s="1067" t="s">
        <v>63</v>
      </c>
      <c r="E142" s="1067">
        <v>25</v>
      </c>
      <c r="F142" s="1067">
        <v>12</v>
      </c>
      <c r="G142" s="1067">
        <v>13</v>
      </c>
      <c r="H142" s="1067"/>
      <c r="I142" s="1067"/>
    </row>
    <row r="143" spans="1:9" x14ac:dyDescent="0.25">
      <c r="A143" s="1067" t="s">
        <v>851</v>
      </c>
      <c r="B143" s="1067" t="s">
        <v>248</v>
      </c>
      <c r="C143" s="1067" t="s">
        <v>404</v>
      </c>
      <c r="D143" s="1067" t="s">
        <v>65</v>
      </c>
      <c r="E143" s="1067">
        <v>31</v>
      </c>
      <c r="F143" s="1067">
        <v>17</v>
      </c>
      <c r="G143" s="1067">
        <v>14</v>
      </c>
      <c r="H143" s="1067"/>
      <c r="I143" s="1067"/>
    </row>
    <row r="144" spans="1:9" x14ac:dyDescent="0.25">
      <c r="A144" s="1067" t="s">
        <v>851</v>
      </c>
      <c r="B144" s="1067" t="s">
        <v>248</v>
      </c>
      <c r="C144" s="1067" t="s">
        <v>404</v>
      </c>
      <c r="D144" s="1067" t="s">
        <v>70</v>
      </c>
      <c r="E144" s="1067">
        <v>38</v>
      </c>
      <c r="F144" s="1067">
        <v>20</v>
      </c>
      <c r="G144" s="1067">
        <v>18</v>
      </c>
      <c r="H144" s="1067"/>
      <c r="I144" s="1067"/>
    </row>
    <row r="145" spans="1:9" x14ac:dyDescent="0.25">
      <c r="A145" s="1067" t="s">
        <v>851</v>
      </c>
      <c r="B145" s="1067" t="s">
        <v>248</v>
      </c>
      <c r="C145" s="1067" t="s">
        <v>404</v>
      </c>
      <c r="D145" s="1067" t="s">
        <v>71</v>
      </c>
      <c r="E145" s="1067">
        <v>14</v>
      </c>
      <c r="F145" s="1067">
        <v>5</v>
      </c>
      <c r="G145" s="1067">
        <v>9</v>
      </c>
      <c r="H145" s="1067"/>
      <c r="I145" s="1067"/>
    </row>
    <row r="146" spans="1:9" x14ac:dyDescent="0.25">
      <c r="A146" s="1067" t="s">
        <v>851</v>
      </c>
      <c r="B146" s="1067" t="s">
        <v>249</v>
      </c>
      <c r="C146" s="1067" t="s">
        <v>403</v>
      </c>
      <c r="D146" s="1067" t="s">
        <v>173</v>
      </c>
      <c r="E146" s="1067">
        <v>103</v>
      </c>
      <c r="F146" s="1067">
        <v>76</v>
      </c>
      <c r="G146" s="1067">
        <v>27</v>
      </c>
      <c r="H146" s="1067"/>
      <c r="I146" s="1067"/>
    </row>
    <row r="147" spans="1:9" x14ac:dyDescent="0.25">
      <c r="A147" s="1067" t="s">
        <v>851</v>
      </c>
      <c r="B147" s="1067" t="s">
        <v>249</v>
      </c>
      <c r="C147" s="1067" t="s">
        <v>402</v>
      </c>
      <c r="D147" s="1067" t="s">
        <v>174</v>
      </c>
      <c r="E147" s="1067">
        <v>52</v>
      </c>
      <c r="F147" s="1067">
        <v>39</v>
      </c>
      <c r="G147" s="1067">
        <v>13</v>
      </c>
      <c r="H147" s="1067"/>
      <c r="I147" s="1067"/>
    </row>
    <row r="148" spans="1:9" x14ac:dyDescent="0.25">
      <c r="A148" s="1067" t="s">
        <v>851</v>
      </c>
      <c r="B148" s="1067" t="s">
        <v>249</v>
      </c>
      <c r="C148" s="1067" t="s">
        <v>404</v>
      </c>
      <c r="D148" s="1067" t="s">
        <v>172</v>
      </c>
      <c r="E148" s="1067">
        <v>42</v>
      </c>
      <c r="F148" s="1067">
        <v>30</v>
      </c>
      <c r="G148" s="1067">
        <v>12</v>
      </c>
      <c r="H148" s="1067"/>
      <c r="I148" s="1067"/>
    </row>
    <row r="149" spans="1:9" x14ac:dyDescent="0.25">
      <c r="A149" s="1067" t="s">
        <v>851</v>
      </c>
      <c r="B149" s="1067" t="s">
        <v>250</v>
      </c>
      <c r="C149" s="1067" t="s">
        <v>382</v>
      </c>
      <c r="D149" s="1067" t="s">
        <v>259</v>
      </c>
      <c r="E149" s="1067">
        <v>90</v>
      </c>
      <c r="F149" s="1067">
        <v>7</v>
      </c>
      <c r="G149" s="1067">
        <v>34</v>
      </c>
      <c r="H149" s="1067"/>
      <c r="I149" s="1067">
        <v>49</v>
      </c>
    </row>
  </sheetData>
  <sheetProtection algorithmName="SHA-512" hashValue="vYgJDUzba22/IplZ52zjGMyLnyA0+SjSIcc8D3yjrDuEPneP2u1H/4gThju/SVXqkoNpo9WhhU/MSJIgyZhblg==" saltValue="WxJBRJdBVEvE5jKxoR/xDw==" spinCount="100000" sheet="1" scenarios="1" formatCells="0" formatColumns="0" formatRows="0" sort="0" autoFilter="0" pivotTables="0"/>
  <pageMargins left="0.7" right="0.7" top="0.75" bottom="0.75" header="0.3" footer="0.3"/>
  <pageSetup paperSize="9" fitToHeight="5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
  <sheetViews>
    <sheetView zoomScale="85" zoomScaleNormal="85" workbookViewId="0">
      <pane ySplit="4" topLeftCell="A5" activePane="bottomLeft" state="frozen"/>
      <selection pane="bottomLeft"/>
    </sheetView>
  </sheetViews>
  <sheetFormatPr defaultRowHeight="15" x14ac:dyDescent="0.25"/>
  <sheetData>
    <row r="1" spans="1:9" ht="15.75" x14ac:dyDescent="0.25">
      <c r="A1" s="981" t="s">
        <v>1084</v>
      </c>
    </row>
    <row r="2" spans="1:9" x14ac:dyDescent="0.25">
      <c r="A2" s="1139">
        <v>44071</v>
      </c>
      <c r="B2" s="1140"/>
    </row>
    <row r="4" spans="1:9" x14ac:dyDescent="0.25">
      <c r="A4" s="1066" t="s">
        <v>245</v>
      </c>
      <c r="B4" s="1066" t="s">
        <v>1082</v>
      </c>
      <c r="C4" s="1066" t="s">
        <v>26</v>
      </c>
      <c r="D4" s="1066" t="s">
        <v>2</v>
      </c>
      <c r="E4" s="1066" t="s">
        <v>9</v>
      </c>
      <c r="F4" s="1066" t="s">
        <v>852</v>
      </c>
      <c r="G4" s="1066" t="s">
        <v>3</v>
      </c>
      <c r="H4" s="1066" t="s">
        <v>315</v>
      </c>
      <c r="I4" s="1066" t="s">
        <v>316</v>
      </c>
    </row>
    <row r="5" spans="1:9" x14ac:dyDescent="0.25">
      <c r="A5" s="1067" t="s">
        <v>204</v>
      </c>
      <c r="B5" s="1067" t="s">
        <v>247</v>
      </c>
      <c r="C5" s="1067">
        <v>6691</v>
      </c>
      <c r="D5" s="1067"/>
      <c r="E5" s="1067">
        <v>2940</v>
      </c>
      <c r="F5" s="1067"/>
      <c r="G5" s="1067"/>
      <c r="H5" s="1067">
        <v>359</v>
      </c>
      <c r="I5" s="1067">
        <v>3392</v>
      </c>
    </row>
    <row r="6" spans="1:9" x14ac:dyDescent="0.25">
      <c r="A6" s="1067" t="s">
        <v>204</v>
      </c>
      <c r="B6" s="1067" t="s">
        <v>248</v>
      </c>
      <c r="C6" s="1067">
        <v>285</v>
      </c>
      <c r="D6" s="1067"/>
      <c r="E6" s="1067"/>
      <c r="F6" s="1067"/>
      <c r="G6" s="1067"/>
      <c r="H6" s="1067"/>
      <c r="I6" s="1067">
        <v>285</v>
      </c>
    </row>
    <row r="7" spans="1:9" x14ac:dyDescent="0.25">
      <c r="A7" s="1067" t="s">
        <v>204</v>
      </c>
      <c r="B7" s="1067" t="s">
        <v>249</v>
      </c>
      <c r="C7" s="1067">
        <v>992</v>
      </c>
      <c r="D7" s="1067"/>
      <c r="E7" s="1067"/>
      <c r="F7" s="1067"/>
      <c r="G7" s="1067">
        <v>724</v>
      </c>
      <c r="H7" s="1067"/>
      <c r="I7" s="1067">
        <v>268</v>
      </c>
    </row>
    <row r="8" spans="1:9" x14ac:dyDescent="0.25">
      <c r="A8" s="1067" t="s">
        <v>204</v>
      </c>
      <c r="B8" s="1067" t="s">
        <v>250</v>
      </c>
      <c r="C8" s="1067">
        <v>516</v>
      </c>
      <c r="D8" s="1067">
        <v>223</v>
      </c>
      <c r="E8" s="1067"/>
      <c r="F8" s="1067"/>
      <c r="G8" s="1067">
        <v>237</v>
      </c>
      <c r="H8" s="1067"/>
      <c r="I8" s="1067">
        <v>56</v>
      </c>
    </row>
    <row r="9" spans="1:9" x14ac:dyDescent="0.25">
      <c r="A9" s="1067" t="s">
        <v>203</v>
      </c>
      <c r="B9" s="1067" t="s">
        <v>247</v>
      </c>
      <c r="C9" s="1067">
        <v>6613</v>
      </c>
      <c r="D9" s="1067"/>
      <c r="E9" s="1067">
        <v>2950</v>
      </c>
      <c r="F9" s="1067"/>
      <c r="G9" s="1067"/>
      <c r="H9" s="1067">
        <v>378</v>
      </c>
      <c r="I9" s="1067">
        <v>3285</v>
      </c>
    </row>
    <row r="10" spans="1:9" x14ac:dyDescent="0.25">
      <c r="A10" s="1067" t="s">
        <v>203</v>
      </c>
      <c r="B10" s="1067" t="s">
        <v>248</v>
      </c>
      <c r="C10" s="1067">
        <v>270</v>
      </c>
      <c r="D10" s="1067"/>
      <c r="E10" s="1067"/>
      <c r="F10" s="1067"/>
      <c r="G10" s="1067"/>
      <c r="H10" s="1067"/>
      <c r="I10" s="1067">
        <v>270</v>
      </c>
    </row>
    <row r="11" spans="1:9" x14ac:dyDescent="0.25">
      <c r="A11" s="1067" t="s">
        <v>203</v>
      </c>
      <c r="B11" s="1067" t="s">
        <v>249</v>
      </c>
      <c r="C11" s="1067">
        <v>880</v>
      </c>
      <c r="D11" s="1067"/>
      <c r="E11" s="1067"/>
      <c r="F11" s="1067"/>
      <c r="G11" s="1067">
        <v>629</v>
      </c>
      <c r="H11" s="1067"/>
      <c r="I11" s="1067">
        <v>251</v>
      </c>
    </row>
    <row r="12" spans="1:9" x14ac:dyDescent="0.25">
      <c r="A12" s="1067" t="s">
        <v>203</v>
      </c>
      <c r="B12" s="1067" t="s">
        <v>250</v>
      </c>
      <c r="C12" s="1067">
        <v>518</v>
      </c>
      <c r="D12" s="1067">
        <v>230</v>
      </c>
      <c r="E12" s="1067"/>
      <c r="F12" s="1067"/>
      <c r="G12" s="1067">
        <v>238</v>
      </c>
      <c r="H12" s="1067"/>
      <c r="I12" s="1067">
        <v>50</v>
      </c>
    </row>
    <row r="13" spans="1:9" x14ac:dyDescent="0.25">
      <c r="A13" s="1067" t="s">
        <v>202</v>
      </c>
      <c r="B13" s="1067" t="s">
        <v>247</v>
      </c>
      <c r="C13" s="1067">
        <v>6237</v>
      </c>
      <c r="D13" s="1067"/>
      <c r="E13" s="1067">
        <v>2870</v>
      </c>
      <c r="F13" s="1067"/>
      <c r="G13" s="1067"/>
      <c r="H13" s="1067">
        <v>342</v>
      </c>
      <c r="I13" s="1067">
        <v>3025</v>
      </c>
    </row>
    <row r="14" spans="1:9" x14ac:dyDescent="0.25">
      <c r="A14" s="1067" t="s">
        <v>202</v>
      </c>
      <c r="B14" s="1067" t="s">
        <v>248</v>
      </c>
      <c r="C14" s="1067">
        <v>385</v>
      </c>
      <c r="D14" s="1067"/>
      <c r="E14" s="1067"/>
      <c r="F14" s="1067"/>
      <c r="G14" s="1067"/>
      <c r="H14" s="1067"/>
      <c r="I14" s="1067">
        <v>385</v>
      </c>
    </row>
    <row r="15" spans="1:9" x14ac:dyDescent="0.25">
      <c r="A15" s="1067" t="s">
        <v>202</v>
      </c>
      <c r="B15" s="1067" t="s">
        <v>249</v>
      </c>
      <c r="C15" s="1067">
        <v>616</v>
      </c>
      <c r="D15" s="1067"/>
      <c r="E15" s="1067"/>
      <c r="F15" s="1067"/>
      <c r="G15" s="1067">
        <v>531</v>
      </c>
      <c r="H15" s="1067"/>
      <c r="I15" s="1067">
        <v>85</v>
      </c>
    </row>
    <row r="16" spans="1:9" x14ac:dyDescent="0.25">
      <c r="A16" s="1067" t="s">
        <v>202</v>
      </c>
      <c r="B16" s="1067" t="s">
        <v>250</v>
      </c>
      <c r="C16" s="1067">
        <v>695</v>
      </c>
      <c r="D16" s="1067">
        <v>203</v>
      </c>
      <c r="E16" s="1067"/>
      <c r="F16" s="1067"/>
      <c r="G16" s="1067">
        <v>297</v>
      </c>
      <c r="H16" s="1067"/>
      <c r="I16" s="1067">
        <v>195</v>
      </c>
    </row>
    <row r="17" spans="1:9" x14ac:dyDescent="0.25">
      <c r="A17" s="1067" t="s">
        <v>273</v>
      </c>
      <c r="B17" s="1067" t="s">
        <v>247</v>
      </c>
      <c r="C17" s="1067">
        <v>6109</v>
      </c>
      <c r="D17" s="1067"/>
      <c r="E17" s="1067">
        <v>2870</v>
      </c>
      <c r="F17" s="1067"/>
      <c r="G17" s="1067"/>
      <c r="H17" s="1067">
        <v>320</v>
      </c>
      <c r="I17" s="1067">
        <v>2923</v>
      </c>
    </row>
    <row r="18" spans="1:9" x14ac:dyDescent="0.25">
      <c r="A18" s="1067" t="s">
        <v>273</v>
      </c>
      <c r="B18" s="1067" t="s">
        <v>248</v>
      </c>
      <c r="C18" s="1067">
        <v>389</v>
      </c>
      <c r="D18" s="1067"/>
      <c r="E18" s="1067"/>
      <c r="F18" s="1067"/>
      <c r="G18" s="1067"/>
      <c r="H18" s="1067"/>
      <c r="I18" s="1067">
        <v>389</v>
      </c>
    </row>
    <row r="19" spans="1:9" x14ac:dyDescent="0.25">
      <c r="A19" s="1067" t="s">
        <v>273</v>
      </c>
      <c r="B19" s="1067" t="s">
        <v>249</v>
      </c>
      <c r="C19" s="1067">
        <v>722</v>
      </c>
      <c r="D19" s="1067"/>
      <c r="E19" s="1067"/>
      <c r="F19" s="1067"/>
      <c r="G19" s="1067">
        <v>571</v>
      </c>
      <c r="H19" s="1067"/>
      <c r="I19" s="1067">
        <v>151</v>
      </c>
    </row>
    <row r="20" spans="1:9" x14ac:dyDescent="0.25">
      <c r="A20" s="1067" t="s">
        <v>273</v>
      </c>
      <c r="B20" s="1067" t="s">
        <v>250</v>
      </c>
      <c r="C20" s="1067">
        <v>614</v>
      </c>
      <c r="D20" s="1067">
        <v>165</v>
      </c>
      <c r="E20" s="1067"/>
      <c r="F20" s="1067"/>
      <c r="G20" s="1067">
        <v>267</v>
      </c>
      <c r="H20" s="1067"/>
      <c r="I20" s="1067">
        <v>182</v>
      </c>
    </row>
    <row r="21" spans="1:9" x14ac:dyDescent="0.25">
      <c r="A21" s="1067" t="s">
        <v>255</v>
      </c>
      <c r="B21" s="1067" t="s">
        <v>247</v>
      </c>
      <c r="C21" s="1067">
        <v>6063</v>
      </c>
      <c r="D21" s="1067"/>
      <c r="E21" s="1067">
        <v>2863</v>
      </c>
      <c r="F21" s="1067"/>
      <c r="G21" s="1067"/>
      <c r="H21" s="1067">
        <v>336</v>
      </c>
      <c r="I21" s="1067">
        <v>2868</v>
      </c>
    </row>
    <row r="22" spans="1:9" x14ac:dyDescent="0.25">
      <c r="A22" s="1067" t="s">
        <v>255</v>
      </c>
      <c r="B22" s="1067" t="s">
        <v>248</v>
      </c>
      <c r="C22" s="1067">
        <v>379</v>
      </c>
      <c r="D22" s="1067"/>
      <c r="E22" s="1067"/>
      <c r="F22" s="1067"/>
      <c r="G22" s="1067"/>
      <c r="H22" s="1067"/>
      <c r="I22" s="1067">
        <v>379</v>
      </c>
    </row>
    <row r="23" spans="1:9" x14ac:dyDescent="0.25">
      <c r="A23" s="1067" t="s">
        <v>255</v>
      </c>
      <c r="B23" s="1067" t="s">
        <v>249</v>
      </c>
      <c r="C23" s="1067">
        <v>725</v>
      </c>
      <c r="D23" s="1067"/>
      <c r="E23" s="1067"/>
      <c r="F23" s="1067"/>
      <c r="G23" s="1067">
        <v>569</v>
      </c>
      <c r="H23" s="1067"/>
      <c r="I23" s="1067">
        <v>156</v>
      </c>
    </row>
    <row r="24" spans="1:9" x14ac:dyDescent="0.25">
      <c r="A24" s="1067" t="s">
        <v>255</v>
      </c>
      <c r="B24" s="1067" t="s">
        <v>250</v>
      </c>
      <c r="C24" s="1067">
        <v>609</v>
      </c>
      <c r="D24" s="1067">
        <v>189</v>
      </c>
      <c r="E24" s="1067"/>
      <c r="F24" s="1067"/>
      <c r="G24" s="1067">
        <v>277</v>
      </c>
      <c r="H24" s="1067"/>
      <c r="I24" s="1067">
        <v>143</v>
      </c>
    </row>
    <row r="25" spans="1:9" x14ac:dyDescent="0.25">
      <c r="A25" s="1067" t="s">
        <v>254</v>
      </c>
      <c r="B25" s="1067" t="s">
        <v>247</v>
      </c>
      <c r="C25" s="1067">
        <v>6211</v>
      </c>
      <c r="D25" s="1067"/>
      <c r="E25" s="1067">
        <v>2935</v>
      </c>
      <c r="F25" s="1067"/>
      <c r="G25" s="1067"/>
      <c r="H25" s="1067">
        <v>321</v>
      </c>
      <c r="I25" s="1067">
        <v>2955</v>
      </c>
    </row>
    <row r="26" spans="1:9" x14ac:dyDescent="0.25">
      <c r="A26" s="1067" t="s">
        <v>254</v>
      </c>
      <c r="B26" s="1067" t="s">
        <v>248</v>
      </c>
      <c r="C26" s="1067">
        <v>405</v>
      </c>
      <c r="D26" s="1067"/>
      <c r="E26" s="1067"/>
      <c r="F26" s="1067">
        <v>18</v>
      </c>
      <c r="G26" s="1067"/>
      <c r="H26" s="1067"/>
      <c r="I26" s="1067">
        <v>387</v>
      </c>
    </row>
    <row r="27" spans="1:9" x14ac:dyDescent="0.25">
      <c r="A27" s="1067" t="s">
        <v>254</v>
      </c>
      <c r="B27" s="1067" t="s">
        <v>249</v>
      </c>
      <c r="C27" s="1067">
        <v>635</v>
      </c>
      <c r="D27" s="1067"/>
      <c r="E27" s="1067"/>
      <c r="F27" s="1067"/>
      <c r="G27" s="1067">
        <v>489</v>
      </c>
      <c r="H27" s="1067"/>
      <c r="I27" s="1067">
        <v>146</v>
      </c>
    </row>
    <row r="28" spans="1:9" x14ac:dyDescent="0.25">
      <c r="A28" s="1067" t="s">
        <v>254</v>
      </c>
      <c r="B28" s="1067" t="s">
        <v>250</v>
      </c>
      <c r="C28" s="1067">
        <v>659</v>
      </c>
      <c r="D28" s="1067">
        <v>207</v>
      </c>
      <c r="E28" s="1067"/>
      <c r="F28" s="1067"/>
      <c r="G28" s="1067">
        <v>303</v>
      </c>
      <c r="H28" s="1067"/>
      <c r="I28" s="1067">
        <v>149</v>
      </c>
    </row>
    <row r="29" spans="1:9" x14ac:dyDescent="0.25">
      <c r="A29" s="1067" t="s">
        <v>851</v>
      </c>
      <c r="B29" s="1067" t="s">
        <v>247</v>
      </c>
      <c r="C29" s="1067">
        <v>6218</v>
      </c>
      <c r="D29" s="1067"/>
      <c r="E29" s="1067">
        <v>2937</v>
      </c>
      <c r="F29" s="1067"/>
      <c r="G29" s="1067"/>
      <c r="H29" s="1067">
        <v>315</v>
      </c>
      <c r="I29" s="1067">
        <v>2966</v>
      </c>
    </row>
    <row r="30" spans="1:9" x14ac:dyDescent="0.25">
      <c r="A30" s="1067" t="s">
        <v>851</v>
      </c>
      <c r="B30" s="1067" t="s">
        <v>248</v>
      </c>
      <c r="C30" s="1067">
        <v>419</v>
      </c>
      <c r="D30" s="1067"/>
      <c r="E30" s="1067"/>
      <c r="F30" s="1067">
        <v>36</v>
      </c>
      <c r="G30" s="1067"/>
      <c r="H30" s="1067"/>
      <c r="I30" s="1067">
        <v>383</v>
      </c>
    </row>
    <row r="31" spans="1:9" x14ac:dyDescent="0.25">
      <c r="A31" s="1067" t="s">
        <v>851</v>
      </c>
      <c r="B31" s="1067" t="s">
        <v>249</v>
      </c>
      <c r="C31" s="1067">
        <v>666</v>
      </c>
      <c r="D31" s="1067"/>
      <c r="E31" s="1067"/>
      <c r="F31" s="1067"/>
      <c r="G31" s="1067">
        <v>469</v>
      </c>
      <c r="H31" s="1067"/>
      <c r="I31" s="1067">
        <v>197</v>
      </c>
    </row>
    <row r="32" spans="1:9" x14ac:dyDescent="0.25">
      <c r="A32" s="1067" t="s">
        <v>851</v>
      </c>
      <c r="B32" s="1067" t="s">
        <v>250</v>
      </c>
      <c r="C32" s="1067">
        <v>627</v>
      </c>
      <c r="D32" s="1067">
        <v>188</v>
      </c>
      <c r="E32" s="1067"/>
      <c r="F32" s="1067"/>
      <c r="G32" s="1067">
        <v>349</v>
      </c>
      <c r="H32" s="1067"/>
      <c r="I32" s="1067">
        <v>90</v>
      </c>
    </row>
  </sheetData>
  <sheetProtection algorithmName="SHA-512" hashValue="ofIzcSN/IQc2M0ZvJoWuB46JGX/WLK6sQ7cBAfTyxu8TFDNzDNyz7WboSBVpubP3eRNgYe6+P/i+SJZu7mZoWg==" saltValue="ai0+2P+Et66LUrhqbLraF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zoomScale="85" zoomScaleNormal="85" workbookViewId="0">
      <pane ySplit="4" topLeftCell="A5" activePane="bottomLeft" state="frozen"/>
      <selection pane="bottomLeft"/>
    </sheetView>
  </sheetViews>
  <sheetFormatPr defaultRowHeight="15" x14ac:dyDescent="0.25"/>
  <sheetData>
    <row r="1" spans="1:10" ht="15.75" x14ac:dyDescent="0.25">
      <c r="A1" s="981" t="s">
        <v>1085</v>
      </c>
    </row>
    <row r="2" spans="1:10" x14ac:dyDescent="0.25">
      <c r="A2" s="1139">
        <v>44071</v>
      </c>
      <c r="B2" s="1140"/>
    </row>
    <row r="4" spans="1:10" x14ac:dyDescent="0.25">
      <c r="A4" s="1066" t="s">
        <v>245</v>
      </c>
      <c r="B4" s="1066" t="s">
        <v>1082</v>
      </c>
      <c r="C4" s="1066" t="s">
        <v>26</v>
      </c>
      <c r="D4" s="1066" t="s">
        <v>18</v>
      </c>
      <c r="E4" s="1066" t="s">
        <v>209</v>
      </c>
      <c r="F4" s="1066" t="s">
        <v>22</v>
      </c>
      <c r="G4" s="1066" t="s">
        <v>23</v>
      </c>
      <c r="H4" s="1066" t="s">
        <v>19</v>
      </c>
      <c r="I4" s="1066" t="s">
        <v>20</v>
      </c>
      <c r="J4" s="1066" t="s">
        <v>21</v>
      </c>
    </row>
    <row r="5" spans="1:10" x14ac:dyDescent="0.25">
      <c r="A5" s="1067" t="s">
        <v>204</v>
      </c>
      <c r="B5" s="1067" t="s">
        <v>247</v>
      </c>
      <c r="C5" s="1067">
        <v>3392</v>
      </c>
      <c r="D5" s="1067"/>
      <c r="E5" s="1067"/>
      <c r="F5" s="1067">
        <v>608</v>
      </c>
      <c r="G5" s="1067">
        <v>2355</v>
      </c>
      <c r="H5" s="1067"/>
      <c r="I5" s="1067">
        <v>13</v>
      </c>
      <c r="J5" s="1067">
        <v>416</v>
      </c>
    </row>
    <row r="6" spans="1:10" x14ac:dyDescent="0.25">
      <c r="A6" s="1067" t="s">
        <v>204</v>
      </c>
      <c r="B6" s="1067" t="s">
        <v>248</v>
      </c>
      <c r="C6" s="1067">
        <v>285</v>
      </c>
      <c r="D6" s="1067">
        <v>17</v>
      </c>
      <c r="E6" s="1067"/>
      <c r="F6" s="1067">
        <v>5</v>
      </c>
      <c r="G6" s="1067">
        <v>15</v>
      </c>
      <c r="H6" s="1067">
        <v>69</v>
      </c>
      <c r="I6" s="1067">
        <v>85</v>
      </c>
      <c r="J6" s="1067">
        <v>94</v>
      </c>
    </row>
    <row r="7" spans="1:10" x14ac:dyDescent="0.25">
      <c r="A7" s="1067" t="s">
        <v>204</v>
      </c>
      <c r="B7" s="1067" t="s">
        <v>249</v>
      </c>
      <c r="C7" s="1067">
        <v>268</v>
      </c>
      <c r="D7" s="1067">
        <v>6</v>
      </c>
      <c r="E7" s="1067">
        <v>3</v>
      </c>
      <c r="F7" s="1067">
        <v>40</v>
      </c>
      <c r="G7" s="1067">
        <v>4</v>
      </c>
      <c r="H7" s="1067">
        <v>24</v>
      </c>
      <c r="I7" s="1067">
        <v>33</v>
      </c>
      <c r="J7" s="1067">
        <v>158</v>
      </c>
    </row>
    <row r="8" spans="1:10" x14ac:dyDescent="0.25">
      <c r="A8" s="1067" t="s">
        <v>204</v>
      </c>
      <c r="B8" s="1067" t="s">
        <v>250</v>
      </c>
      <c r="C8" s="1067">
        <v>56</v>
      </c>
      <c r="D8" s="1067">
        <v>5</v>
      </c>
      <c r="E8" s="1067">
        <v>6</v>
      </c>
      <c r="F8" s="1067">
        <v>7</v>
      </c>
      <c r="G8" s="1067"/>
      <c r="H8" s="1067">
        <v>22</v>
      </c>
      <c r="I8" s="1067">
        <v>5</v>
      </c>
      <c r="J8" s="1067">
        <v>11</v>
      </c>
    </row>
    <row r="9" spans="1:10" x14ac:dyDescent="0.25">
      <c r="A9" s="1067" t="s">
        <v>203</v>
      </c>
      <c r="B9" s="1067" t="s">
        <v>247</v>
      </c>
      <c r="C9" s="1067">
        <v>3285</v>
      </c>
      <c r="D9" s="1067"/>
      <c r="E9" s="1067"/>
      <c r="F9" s="1067">
        <v>592</v>
      </c>
      <c r="G9" s="1067">
        <v>2263</v>
      </c>
      <c r="H9" s="1067"/>
      <c r="I9" s="1067">
        <v>14</v>
      </c>
      <c r="J9" s="1067">
        <v>416</v>
      </c>
    </row>
    <row r="10" spans="1:10" x14ac:dyDescent="0.25">
      <c r="A10" s="1067" t="s">
        <v>203</v>
      </c>
      <c r="B10" s="1067" t="s">
        <v>248</v>
      </c>
      <c r="C10" s="1067">
        <v>270</v>
      </c>
      <c r="D10" s="1067">
        <v>18</v>
      </c>
      <c r="E10" s="1067"/>
      <c r="F10" s="1067">
        <v>4</v>
      </c>
      <c r="G10" s="1067">
        <v>14</v>
      </c>
      <c r="H10" s="1067">
        <v>65</v>
      </c>
      <c r="I10" s="1067">
        <v>79</v>
      </c>
      <c r="J10" s="1067">
        <v>90</v>
      </c>
    </row>
    <row r="11" spans="1:10" x14ac:dyDescent="0.25">
      <c r="A11" s="1067" t="s">
        <v>203</v>
      </c>
      <c r="B11" s="1067" t="s">
        <v>249</v>
      </c>
      <c r="C11" s="1067">
        <v>251</v>
      </c>
      <c r="D11" s="1067">
        <v>4</v>
      </c>
      <c r="E11" s="1067"/>
      <c r="F11" s="1067">
        <v>34</v>
      </c>
      <c r="G11" s="1067">
        <v>7</v>
      </c>
      <c r="H11" s="1067">
        <v>26</v>
      </c>
      <c r="I11" s="1067">
        <v>31</v>
      </c>
      <c r="J11" s="1067">
        <v>147</v>
      </c>
    </row>
    <row r="12" spans="1:10" x14ac:dyDescent="0.25">
      <c r="A12" s="1067" t="s">
        <v>203</v>
      </c>
      <c r="B12" s="1067" t="s">
        <v>250</v>
      </c>
      <c r="C12" s="1067">
        <v>50</v>
      </c>
      <c r="D12" s="1067">
        <v>11</v>
      </c>
      <c r="E12" s="1067">
        <v>7</v>
      </c>
      <c r="F12" s="1067">
        <v>4</v>
      </c>
      <c r="G12" s="1067">
        <v>1</v>
      </c>
      <c r="H12" s="1067">
        <v>12</v>
      </c>
      <c r="I12" s="1067">
        <v>6</v>
      </c>
      <c r="J12" s="1067">
        <v>11</v>
      </c>
    </row>
    <row r="13" spans="1:10" x14ac:dyDescent="0.25">
      <c r="A13" s="1067" t="s">
        <v>202</v>
      </c>
      <c r="B13" s="1067" t="s">
        <v>247</v>
      </c>
      <c r="C13" s="1067">
        <v>3025</v>
      </c>
      <c r="D13" s="1067"/>
      <c r="E13" s="1067"/>
      <c r="F13" s="1067">
        <v>511</v>
      </c>
      <c r="G13" s="1067">
        <v>2207</v>
      </c>
      <c r="H13" s="1067"/>
      <c r="I13" s="1067">
        <v>2</v>
      </c>
      <c r="J13" s="1067">
        <v>305</v>
      </c>
    </row>
    <row r="14" spans="1:10" x14ac:dyDescent="0.25">
      <c r="A14" s="1067" t="s">
        <v>202</v>
      </c>
      <c r="B14" s="1067" t="s">
        <v>248</v>
      </c>
      <c r="C14" s="1067">
        <v>385</v>
      </c>
      <c r="D14" s="1067">
        <v>14</v>
      </c>
      <c r="E14" s="1067"/>
      <c r="F14" s="1067">
        <v>50</v>
      </c>
      <c r="G14" s="1067">
        <v>35</v>
      </c>
      <c r="H14" s="1067">
        <v>62</v>
      </c>
      <c r="I14" s="1067">
        <v>91</v>
      </c>
      <c r="J14" s="1067">
        <v>133</v>
      </c>
    </row>
    <row r="15" spans="1:10" x14ac:dyDescent="0.25">
      <c r="A15" s="1067" t="s">
        <v>202</v>
      </c>
      <c r="B15" s="1067" t="s">
        <v>249</v>
      </c>
      <c r="C15" s="1067">
        <v>85</v>
      </c>
      <c r="D15" s="1067">
        <v>3</v>
      </c>
      <c r="E15" s="1067"/>
      <c r="F15" s="1067">
        <v>13</v>
      </c>
      <c r="G15" s="1067"/>
      <c r="H15" s="1067">
        <v>9</v>
      </c>
      <c r="I15" s="1067">
        <v>14</v>
      </c>
      <c r="J15" s="1067">
        <v>46</v>
      </c>
    </row>
    <row r="16" spans="1:10" x14ac:dyDescent="0.25">
      <c r="A16" s="1067" t="s">
        <v>202</v>
      </c>
      <c r="B16" s="1067" t="s">
        <v>250</v>
      </c>
      <c r="C16" s="1067">
        <v>195</v>
      </c>
      <c r="D16" s="1067">
        <v>18</v>
      </c>
      <c r="E16" s="1067">
        <v>4</v>
      </c>
      <c r="F16" s="1067">
        <v>26</v>
      </c>
      <c r="G16" s="1067">
        <v>16</v>
      </c>
      <c r="H16" s="1067">
        <v>19</v>
      </c>
      <c r="I16" s="1067">
        <v>19</v>
      </c>
      <c r="J16" s="1067">
        <v>93</v>
      </c>
    </row>
    <row r="17" spans="1:10" x14ac:dyDescent="0.25">
      <c r="A17" s="1067" t="s">
        <v>273</v>
      </c>
      <c r="B17" s="1067" t="s">
        <v>247</v>
      </c>
      <c r="C17" s="1067">
        <v>2923</v>
      </c>
      <c r="D17" s="1067"/>
      <c r="E17" s="1067"/>
      <c r="F17" s="1067">
        <v>552</v>
      </c>
      <c r="G17" s="1067">
        <v>2027</v>
      </c>
      <c r="H17" s="1067"/>
      <c r="I17" s="1067">
        <v>1</v>
      </c>
      <c r="J17" s="1067">
        <v>343</v>
      </c>
    </row>
    <row r="18" spans="1:10" x14ac:dyDescent="0.25">
      <c r="A18" s="1067" t="s">
        <v>273</v>
      </c>
      <c r="B18" s="1067" t="s">
        <v>248</v>
      </c>
      <c r="C18" s="1067">
        <v>389</v>
      </c>
      <c r="D18" s="1067">
        <v>16</v>
      </c>
      <c r="E18" s="1067"/>
      <c r="F18" s="1067">
        <v>61</v>
      </c>
      <c r="G18" s="1067">
        <v>30</v>
      </c>
      <c r="H18" s="1067">
        <v>47</v>
      </c>
      <c r="I18" s="1067">
        <v>116</v>
      </c>
      <c r="J18" s="1067">
        <v>119</v>
      </c>
    </row>
    <row r="19" spans="1:10" x14ac:dyDescent="0.25">
      <c r="A19" s="1067" t="s">
        <v>273</v>
      </c>
      <c r="B19" s="1067" t="s">
        <v>249</v>
      </c>
      <c r="C19" s="1067">
        <v>151</v>
      </c>
      <c r="D19" s="1067">
        <v>3</v>
      </c>
      <c r="E19" s="1067"/>
      <c r="F19" s="1067">
        <v>22</v>
      </c>
      <c r="G19" s="1067">
        <v>3</v>
      </c>
      <c r="H19" s="1067">
        <v>12</v>
      </c>
      <c r="I19" s="1067">
        <v>25</v>
      </c>
      <c r="J19" s="1067">
        <v>86</v>
      </c>
    </row>
    <row r="20" spans="1:10" x14ac:dyDescent="0.25">
      <c r="A20" s="1067" t="s">
        <v>273</v>
      </c>
      <c r="B20" s="1067" t="s">
        <v>250</v>
      </c>
      <c r="C20" s="1067">
        <v>182</v>
      </c>
      <c r="D20" s="1067">
        <v>15</v>
      </c>
      <c r="E20" s="1067">
        <v>4</v>
      </c>
      <c r="F20" s="1067"/>
      <c r="G20" s="1067">
        <v>101</v>
      </c>
      <c r="H20" s="1067">
        <v>11</v>
      </c>
      <c r="I20" s="1067">
        <v>9</v>
      </c>
      <c r="J20" s="1067">
        <v>42</v>
      </c>
    </row>
    <row r="21" spans="1:10" x14ac:dyDescent="0.25">
      <c r="A21" s="1067" t="s">
        <v>255</v>
      </c>
      <c r="B21" s="1067" t="s">
        <v>247</v>
      </c>
      <c r="C21" s="1067">
        <v>2868</v>
      </c>
      <c r="D21" s="1067"/>
      <c r="E21" s="1067"/>
      <c r="F21" s="1067">
        <v>588</v>
      </c>
      <c r="G21" s="1067">
        <v>1905</v>
      </c>
      <c r="H21" s="1067"/>
      <c r="I21" s="1067"/>
      <c r="J21" s="1067">
        <v>375</v>
      </c>
    </row>
    <row r="22" spans="1:10" x14ac:dyDescent="0.25">
      <c r="A22" s="1067" t="s">
        <v>255</v>
      </c>
      <c r="B22" s="1067" t="s">
        <v>248</v>
      </c>
      <c r="C22" s="1067">
        <v>379</v>
      </c>
      <c r="D22" s="1067">
        <v>16</v>
      </c>
      <c r="E22" s="1067"/>
      <c r="F22" s="1067">
        <v>63</v>
      </c>
      <c r="G22" s="1067">
        <v>29</v>
      </c>
      <c r="H22" s="1067">
        <v>46</v>
      </c>
      <c r="I22" s="1067">
        <v>115</v>
      </c>
      <c r="J22" s="1067">
        <v>110</v>
      </c>
    </row>
    <row r="23" spans="1:10" x14ac:dyDescent="0.25">
      <c r="A23" s="1067" t="s">
        <v>255</v>
      </c>
      <c r="B23" s="1067" t="s">
        <v>249</v>
      </c>
      <c r="C23" s="1067">
        <v>156</v>
      </c>
      <c r="D23" s="1067">
        <v>3</v>
      </c>
      <c r="E23" s="1067"/>
      <c r="F23" s="1067">
        <v>38</v>
      </c>
      <c r="G23" s="1067"/>
      <c r="H23" s="1067">
        <v>15</v>
      </c>
      <c r="I23" s="1067">
        <v>29</v>
      </c>
      <c r="J23" s="1067">
        <v>71</v>
      </c>
    </row>
    <row r="24" spans="1:10" x14ac:dyDescent="0.25">
      <c r="A24" s="1067" t="s">
        <v>255</v>
      </c>
      <c r="B24" s="1067" t="s">
        <v>250</v>
      </c>
      <c r="C24" s="1067">
        <v>143</v>
      </c>
      <c r="D24" s="1067">
        <v>15</v>
      </c>
      <c r="E24" s="1067">
        <v>4</v>
      </c>
      <c r="F24" s="1067"/>
      <c r="G24" s="1067">
        <v>55</v>
      </c>
      <c r="H24" s="1067">
        <v>13</v>
      </c>
      <c r="I24" s="1067">
        <v>9</v>
      </c>
      <c r="J24" s="1067">
        <v>47</v>
      </c>
    </row>
    <row r="25" spans="1:10" x14ac:dyDescent="0.25">
      <c r="A25" s="1067" t="s">
        <v>254</v>
      </c>
      <c r="B25" s="1067" t="s">
        <v>247</v>
      </c>
      <c r="C25" s="1067">
        <v>2955</v>
      </c>
      <c r="D25" s="1067"/>
      <c r="E25" s="1067"/>
      <c r="F25" s="1067">
        <v>592</v>
      </c>
      <c r="G25" s="1067">
        <v>1986</v>
      </c>
      <c r="H25" s="1067"/>
      <c r="I25" s="1067"/>
      <c r="J25" s="1067">
        <v>377</v>
      </c>
    </row>
    <row r="26" spans="1:10" x14ac:dyDescent="0.25">
      <c r="A26" s="1067" t="s">
        <v>254</v>
      </c>
      <c r="B26" s="1067" t="s">
        <v>248</v>
      </c>
      <c r="C26" s="1067">
        <v>387</v>
      </c>
      <c r="D26" s="1067">
        <v>16</v>
      </c>
      <c r="E26" s="1067"/>
      <c r="F26" s="1067">
        <v>54</v>
      </c>
      <c r="G26" s="1067">
        <v>29</v>
      </c>
      <c r="H26" s="1067">
        <v>49</v>
      </c>
      <c r="I26" s="1067">
        <v>115</v>
      </c>
      <c r="J26" s="1067">
        <v>124</v>
      </c>
    </row>
    <row r="27" spans="1:10" x14ac:dyDescent="0.25">
      <c r="A27" s="1067" t="s">
        <v>254</v>
      </c>
      <c r="B27" s="1067" t="s">
        <v>249</v>
      </c>
      <c r="C27" s="1067">
        <v>146</v>
      </c>
      <c r="D27" s="1067">
        <v>3</v>
      </c>
      <c r="E27" s="1067"/>
      <c r="F27" s="1067">
        <v>41</v>
      </c>
      <c r="G27" s="1067"/>
      <c r="H27" s="1067">
        <v>14</v>
      </c>
      <c r="I27" s="1067">
        <v>24</v>
      </c>
      <c r="J27" s="1067">
        <v>64</v>
      </c>
    </row>
    <row r="28" spans="1:10" x14ac:dyDescent="0.25">
      <c r="A28" s="1067" t="s">
        <v>254</v>
      </c>
      <c r="B28" s="1067" t="s">
        <v>250</v>
      </c>
      <c r="C28" s="1067">
        <v>149</v>
      </c>
      <c r="D28" s="1067">
        <v>14</v>
      </c>
      <c r="E28" s="1067">
        <v>4</v>
      </c>
      <c r="F28" s="1067"/>
      <c r="G28" s="1067">
        <v>60</v>
      </c>
      <c r="H28" s="1067">
        <v>17</v>
      </c>
      <c r="I28" s="1067">
        <v>8</v>
      </c>
      <c r="J28" s="1067">
        <v>46</v>
      </c>
    </row>
    <row r="29" spans="1:10" x14ac:dyDescent="0.25">
      <c r="A29" s="1067" t="s">
        <v>851</v>
      </c>
      <c r="B29" s="1067" t="s">
        <v>247</v>
      </c>
      <c r="C29" s="1067">
        <v>2966</v>
      </c>
      <c r="D29" s="1067"/>
      <c r="E29" s="1067"/>
      <c r="F29" s="1067">
        <v>597</v>
      </c>
      <c r="G29" s="1067">
        <v>1993</v>
      </c>
      <c r="H29" s="1067"/>
      <c r="I29" s="1067"/>
      <c r="J29" s="1067">
        <v>376</v>
      </c>
    </row>
    <row r="30" spans="1:10" x14ac:dyDescent="0.25">
      <c r="A30" s="1067" t="s">
        <v>851</v>
      </c>
      <c r="B30" s="1067" t="s">
        <v>248</v>
      </c>
      <c r="C30" s="1067">
        <v>383</v>
      </c>
      <c r="D30" s="1067">
        <v>16</v>
      </c>
      <c r="E30" s="1067"/>
      <c r="F30" s="1067">
        <v>58</v>
      </c>
      <c r="G30" s="1067">
        <v>28</v>
      </c>
      <c r="H30" s="1067">
        <v>50</v>
      </c>
      <c r="I30" s="1067">
        <v>118</v>
      </c>
      <c r="J30" s="1067">
        <v>113</v>
      </c>
    </row>
    <row r="31" spans="1:10" x14ac:dyDescent="0.25">
      <c r="A31" s="1067" t="s">
        <v>851</v>
      </c>
      <c r="B31" s="1067" t="s">
        <v>249</v>
      </c>
      <c r="C31" s="1067">
        <v>197</v>
      </c>
      <c r="D31" s="1067">
        <v>6</v>
      </c>
      <c r="E31" s="1067"/>
      <c r="F31" s="1067">
        <v>33</v>
      </c>
      <c r="G31" s="1067"/>
      <c r="H31" s="1067">
        <v>17</v>
      </c>
      <c r="I31" s="1067">
        <v>29</v>
      </c>
      <c r="J31" s="1067">
        <v>112</v>
      </c>
    </row>
    <row r="32" spans="1:10" x14ac:dyDescent="0.25">
      <c r="A32" s="1067" t="s">
        <v>851</v>
      </c>
      <c r="B32" s="1067" t="s">
        <v>250</v>
      </c>
      <c r="C32" s="1067">
        <v>90</v>
      </c>
      <c r="D32" s="1067">
        <v>9</v>
      </c>
      <c r="E32" s="1067">
        <v>6</v>
      </c>
      <c r="F32" s="1067"/>
      <c r="G32" s="1067">
        <v>49</v>
      </c>
      <c r="H32" s="1067">
        <v>13</v>
      </c>
      <c r="I32" s="1067">
        <v>6</v>
      </c>
      <c r="J32" s="1067">
        <v>7</v>
      </c>
    </row>
  </sheetData>
  <sheetProtection algorithmName="SHA-512" hashValue="vI92MYdHAmDY31guogMdK2MB+25R+cskbyeGv6GlZpokCT+hNjsN2vTVJaXTAOuMhgzuBDBjK8noi5Lld0GhNQ==" saltValue="hFKiUWfPgTjoxnV9kx67H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zoomScale="85" zoomScaleNormal="85" workbookViewId="0">
      <pane ySplit="4" topLeftCell="A5" activePane="bottomLeft" state="frozen"/>
      <selection pane="bottomLeft"/>
    </sheetView>
  </sheetViews>
  <sheetFormatPr defaultRowHeight="15" x14ac:dyDescent="0.25"/>
  <sheetData>
    <row r="1" spans="1:10" ht="15.75" x14ac:dyDescent="0.25">
      <c r="A1" s="981" t="s">
        <v>1087</v>
      </c>
    </row>
    <row r="2" spans="1:10" x14ac:dyDescent="0.25">
      <c r="A2" s="1139">
        <v>44071</v>
      </c>
      <c r="B2" s="1140"/>
    </row>
    <row r="4" spans="1:10" x14ac:dyDescent="0.25">
      <c r="A4" s="1066" t="s">
        <v>245</v>
      </c>
      <c r="B4" s="1066" t="s">
        <v>1086</v>
      </c>
      <c r="C4" s="1066" t="s">
        <v>26</v>
      </c>
      <c r="D4" s="1066" t="s">
        <v>18</v>
      </c>
      <c r="E4" s="1066" t="s">
        <v>209</v>
      </c>
      <c r="F4" s="1066" t="s">
        <v>22</v>
      </c>
      <c r="G4" s="1066" t="s">
        <v>23</v>
      </c>
      <c r="H4" s="1066" t="s">
        <v>19</v>
      </c>
      <c r="I4" s="1066" t="s">
        <v>20</v>
      </c>
      <c r="J4" s="1066" t="s">
        <v>21</v>
      </c>
    </row>
    <row r="5" spans="1:10" x14ac:dyDescent="0.25">
      <c r="A5" s="1067" t="s">
        <v>204</v>
      </c>
      <c r="B5" s="1067" t="s">
        <v>2</v>
      </c>
      <c r="C5" s="1067">
        <v>223</v>
      </c>
      <c r="D5" s="1067"/>
      <c r="E5" s="1067"/>
      <c r="F5" s="1067">
        <v>52</v>
      </c>
      <c r="G5" s="1067">
        <v>103</v>
      </c>
      <c r="H5" s="1067">
        <v>5</v>
      </c>
      <c r="I5" s="1067">
        <v>11</v>
      </c>
      <c r="J5" s="1067">
        <v>52</v>
      </c>
    </row>
    <row r="6" spans="1:10" x14ac:dyDescent="0.25">
      <c r="A6" s="1067" t="s">
        <v>204</v>
      </c>
      <c r="B6" s="1067" t="s">
        <v>9</v>
      </c>
      <c r="C6" s="1067">
        <v>2940</v>
      </c>
      <c r="D6" s="1067"/>
      <c r="E6" s="1067"/>
      <c r="F6" s="1067">
        <v>535</v>
      </c>
      <c r="G6" s="1067">
        <v>2127</v>
      </c>
      <c r="H6" s="1067"/>
      <c r="I6" s="1067"/>
      <c r="J6" s="1067">
        <v>278</v>
      </c>
    </row>
    <row r="7" spans="1:10" x14ac:dyDescent="0.25">
      <c r="A7" s="1067" t="s">
        <v>204</v>
      </c>
      <c r="B7" s="1067" t="s">
        <v>315</v>
      </c>
      <c r="C7" s="1067">
        <v>359</v>
      </c>
      <c r="D7" s="1067">
        <v>0</v>
      </c>
      <c r="E7" s="1067">
        <v>0</v>
      </c>
      <c r="F7" s="1067">
        <v>73</v>
      </c>
      <c r="G7" s="1067">
        <v>277</v>
      </c>
      <c r="H7" s="1067">
        <v>0</v>
      </c>
      <c r="I7" s="1067">
        <v>0</v>
      </c>
      <c r="J7" s="1067">
        <v>9</v>
      </c>
    </row>
    <row r="8" spans="1:10" x14ac:dyDescent="0.25">
      <c r="A8" s="1067" t="s">
        <v>204</v>
      </c>
      <c r="B8" s="1067" t="s">
        <v>316</v>
      </c>
      <c r="C8" s="1067">
        <v>4001</v>
      </c>
      <c r="D8" s="1067">
        <v>28</v>
      </c>
      <c r="E8" s="1067">
        <v>9</v>
      </c>
      <c r="F8" s="1067">
        <v>660</v>
      </c>
      <c r="G8" s="1067">
        <v>2374</v>
      </c>
      <c r="H8" s="1067">
        <v>115</v>
      </c>
      <c r="I8" s="1067">
        <v>136</v>
      </c>
      <c r="J8" s="1067">
        <v>679</v>
      </c>
    </row>
    <row r="9" spans="1:10" x14ac:dyDescent="0.25">
      <c r="A9" s="1067" t="s">
        <v>203</v>
      </c>
      <c r="B9" s="1067" t="s">
        <v>2</v>
      </c>
      <c r="C9" s="1067">
        <v>230</v>
      </c>
      <c r="D9" s="1067"/>
      <c r="E9" s="1067"/>
      <c r="F9" s="1067">
        <v>52</v>
      </c>
      <c r="G9" s="1067">
        <v>110</v>
      </c>
      <c r="H9" s="1067">
        <v>5</v>
      </c>
      <c r="I9" s="1067">
        <v>13</v>
      </c>
      <c r="J9" s="1067">
        <v>50</v>
      </c>
    </row>
    <row r="10" spans="1:10" x14ac:dyDescent="0.25">
      <c r="A10" s="1067" t="s">
        <v>203</v>
      </c>
      <c r="B10" s="1067" t="s">
        <v>9</v>
      </c>
      <c r="C10" s="1067">
        <v>2950</v>
      </c>
      <c r="D10" s="1067"/>
      <c r="E10" s="1067"/>
      <c r="F10" s="1067">
        <v>546</v>
      </c>
      <c r="G10" s="1067">
        <v>2124</v>
      </c>
      <c r="H10" s="1067"/>
      <c r="I10" s="1067"/>
      <c r="J10" s="1067">
        <v>280</v>
      </c>
    </row>
    <row r="11" spans="1:10" x14ac:dyDescent="0.25">
      <c r="A11" s="1067" t="s">
        <v>203</v>
      </c>
      <c r="B11" s="1067" t="s">
        <v>315</v>
      </c>
      <c r="C11" s="1067">
        <v>378</v>
      </c>
      <c r="D11" s="1067">
        <v>0</v>
      </c>
      <c r="E11" s="1067">
        <v>0</v>
      </c>
      <c r="F11" s="1067">
        <v>44</v>
      </c>
      <c r="G11" s="1067">
        <v>296</v>
      </c>
      <c r="H11" s="1067">
        <v>0</v>
      </c>
      <c r="I11" s="1067">
        <v>0</v>
      </c>
      <c r="J11" s="1067">
        <v>38</v>
      </c>
    </row>
    <row r="12" spans="1:10" x14ac:dyDescent="0.25">
      <c r="A12" s="1067" t="s">
        <v>203</v>
      </c>
      <c r="B12" s="1067" t="s">
        <v>316</v>
      </c>
      <c r="C12" s="1067">
        <v>3856</v>
      </c>
      <c r="D12" s="1067">
        <v>33</v>
      </c>
      <c r="E12" s="1067">
        <v>7</v>
      </c>
      <c r="F12" s="1067">
        <v>634</v>
      </c>
      <c r="G12" s="1067">
        <v>2285</v>
      </c>
      <c r="H12" s="1067">
        <v>103</v>
      </c>
      <c r="I12" s="1067">
        <v>130</v>
      </c>
      <c r="J12" s="1067">
        <v>664</v>
      </c>
    </row>
    <row r="13" spans="1:10" x14ac:dyDescent="0.25">
      <c r="A13" s="1067" t="s">
        <v>202</v>
      </c>
      <c r="B13" s="1067" t="s">
        <v>2</v>
      </c>
      <c r="C13" s="1067">
        <v>203</v>
      </c>
      <c r="D13" s="1067"/>
      <c r="E13" s="1067"/>
      <c r="F13" s="1067">
        <v>44</v>
      </c>
      <c r="G13" s="1067">
        <v>95</v>
      </c>
      <c r="H13" s="1067">
        <v>6</v>
      </c>
      <c r="I13" s="1067">
        <v>7</v>
      </c>
      <c r="J13" s="1067">
        <v>51</v>
      </c>
    </row>
    <row r="14" spans="1:10" x14ac:dyDescent="0.25">
      <c r="A14" s="1067" t="s">
        <v>202</v>
      </c>
      <c r="B14" s="1067" t="s">
        <v>9</v>
      </c>
      <c r="C14" s="1067">
        <v>2870</v>
      </c>
      <c r="D14" s="1067"/>
      <c r="E14" s="1067"/>
      <c r="F14" s="1067">
        <v>543</v>
      </c>
      <c r="G14" s="1067">
        <v>2065</v>
      </c>
      <c r="H14" s="1067"/>
      <c r="I14" s="1067"/>
      <c r="J14" s="1067">
        <v>262</v>
      </c>
    </row>
    <row r="15" spans="1:10" x14ac:dyDescent="0.25">
      <c r="A15" s="1067" t="s">
        <v>202</v>
      </c>
      <c r="B15" s="1067" t="s">
        <v>315</v>
      </c>
      <c r="C15" s="1067">
        <v>342</v>
      </c>
      <c r="D15" s="1067">
        <v>0</v>
      </c>
      <c r="E15" s="1067">
        <v>0</v>
      </c>
      <c r="F15" s="1067">
        <v>46</v>
      </c>
      <c r="G15" s="1067">
        <v>260</v>
      </c>
      <c r="H15" s="1067">
        <v>0</v>
      </c>
      <c r="I15" s="1067">
        <v>0</v>
      </c>
      <c r="J15" s="1067">
        <v>36</v>
      </c>
    </row>
    <row r="16" spans="1:10" x14ac:dyDescent="0.25">
      <c r="A16" s="1067" t="s">
        <v>202</v>
      </c>
      <c r="B16" s="1067" t="s">
        <v>316</v>
      </c>
      <c r="C16" s="1067">
        <v>3690</v>
      </c>
      <c r="D16" s="1067">
        <v>35</v>
      </c>
      <c r="E16" s="1067">
        <v>4</v>
      </c>
      <c r="F16" s="1067">
        <v>600</v>
      </c>
      <c r="G16" s="1067">
        <v>2258</v>
      </c>
      <c r="H16" s="1067">
        <v>90</v>
      </c>
      <c r="I16" s="1067">
        <v>126</v>
      </c>
      <c r="J16" s="1067">
        <v>577</v>
      </c>
    </row>
    <row r="17" spans="1:10" x14ac:dyDescent="0.25">
      <c r="A17" s="1067" t="s">
        <v>273</v>
      </c>
      <c r="B17" s="1067" t="s">
        <v>2</v>
      </c>
      <c r="C17" s="1067">
        <v>165</v>
      </c>
      <c r="D17" s="1067"/>
      <c r="E17" s="1067"/>
      <c r="F17" s="1067">
        <v>31</v>
      </c>
      <c r="G17" s="1067">
        <v>80</v>
      </c>
      <c r="H17" s="1067">
        <v>5</v>
      </c>
      <c r="I17" s="1067">
        <v>8</v>
      </c>
      <c r="J17" s="1067">
        <v>41</v>
      </c>
    </row>
    <row r="18" spans="1:10" x14ac:dyDescent="0.25">
      <c r="A18" s="1067" t="s">
        <v>273</v>
      </c>
      <c r="B18" s="1067" t="s">
        <v>9</v>
      </c>
      <c r="C18" s="1067">
        <v>2870</v>
      </c>
      <c r="D18" s="1067"/>
      <c r="E18" s="1067"/>
      <c r="F18" s="1067">
        <v>549</v>
      </c>
      <c r="G18" s="1067">
        <v>2061</v>
      </c>
      <c r="H18" s="1067"/>
      <c r="I18" s="1067"/>
      <c r="J18" s="1067">
        <v>260</v>
      </c>
    </row>
    <row r="19" spans="1:10" x14ac:dyDescent="0.25">
      <c r="A19" s="1067" t="s">
        <v>273</v>
      </c>
      <c r="B19" s="1067" t="s">
        <v>315</v>
      </c>
      <c r="C19" s="1067">
        <v>320</v>
      </c>
      <c r="D19" s="1067">
        <v>0</v>
      </c>
      <c r="E19" s="1067">
        <v>0</v>
      </c>
      <c r="F19" s="1067">
        <v>43</v>
      </c>
      <c r="G19" s="1067">
        <v>241</v>
      </c>
      <c r="H19" s="1067">
        <v>0</v>
      </c>
      <c r="I19" s="1067">
        <v>0</v>
      </c>
      <c r="J19" s="1067">
        <v>36</v>
      </c>
    </row>
    <row r="20" spans="1:10" x14ac:dyDescent="0.25">
      <c r="A20" s="1067" t="s">
        <v>273</v>
      </c>
      <c r="B20" s="1067" t="s">
        <v>316</v>
      </c>
      <c r="C20" s="1067">
        <v>3645</v>
      </c>
      <c r="D20" s="1067">
        <v>34</v>
      </c>
      <c r="E20" s="1067">
        <v>4</v>
      </c>
      <c r="F20" s="1067">
        <v>635</v>
      </c>
      <c r="G20" s="1067">
        <v>2161</v>
      </c>
      <c r="H20" s="1067">
        <v>70</v>
      </c>
      <c r="I20" s="1067">
        <v>151</v>
      </c>
      <c r="J20" s="1067">
        <v>590</v>
      </c>
    </row>
    <row r="21" spans="1:10" x14ac:dyDescent="0.25">
      <c r="A21" s="1067" t="s">
        <v>255</v>
      </c>
      <c r="B21" s="1067" t="s">
        <v>2</v>
      </c>
      <c r="C21" s="1067">
        <v>189</v>
      </c>
      <c r="D21" s="1067"/>
      <c r="E21" s="1067"/>
      <c r="F21" s="1067">
        <v>27</v>
      </c>
      <c r="G21" s="1067">
        <v>106</v>
      </c>
      <c r="H21" s="1067">
        <v>5</v>
      </c>
      <c r="I21" s="1067">
        <v>8</v>
      </c>
      <c r="J21" s="1067">
        <v>43</v>
      </c>
    </row>
    <row r="22" spans="1:10" x14ac:dyDescent="0.25">
      <c r="A22" s="1067" t="s">
        <v>255</v>
      </c>
      <c r="B22" s="1067" t="s">
        <v>9</v>
      </c>
      <c r="C22" s="1067">
        <v>2863</v>
      </c>
      <c r="D22" s="1067"/>
      <c r="E22" s="1067"/>
      <c r="F22" s="1067">
        <v>525</v>
      </c>
      <c r="G22" s="1067">
        <v>2077</v>
      </c>
      <c r="H22" s="1067"/>
      <c r="I22" s="1067"/>
      <c r="J22" s="1067">
        <v>261</v>
      </c>
    </row>
    <row r="23" spans="1:10" x14ac:dyDescent="0.25">
      <c r="A23" s="1067" t="s">
        <v>255</v>
      </c>
      <c r="B23" s="1067" t="s">
        <v>315</v>
      </c>
      <c r="C23" s="1067">
        <v>332</v>
      </c>
      <c r="D23" s="1067"/>
      <c r="E23" s="1067"/>
      <c r="F23" s="1067">
        <v>39</v>
      </c>
      <c r="G23" s="1067">
        <v>256</v>
      </c>
      <c r="H23" s="1067"/>
      <c r="I23" s="1067"/>
      <c r="J23" s="1067">
        <v>37</v>
      </c>
    </row>
    <row r="24" spans="1:10" x14ac:dyDescent="0.25">
      <c r="A24" s="1067" t="s">
        <v>255</v>
      </c>
      <c r="B24" s="1067" t="s">
        <v>316</v>
      </c>
      <c r="C24" s="1067">
        <v>3546</v>
      </c>
      <c r="D24" s="1067">
        <v>34</v>
      </c>
      <c r="E24" s="1067">
        <v>4</v>
      </c>
      <c r="F24" s="1067">
        <v>689</v>
      </c>
      <c r="G24" s="1067">
        <v>1989</v>
      </c>
      <c r="H24" s="1067">
        <v>74</v>
      </c>
      <c r="I24" s="1067">
        <v>153</v>
      </c>
      <c r="J24" s="1067">
        <v>603</v>
      </c>
    </row>
    <row r="25" spans="1:10" x14ac:dyDescent="0.25">
      <c r="A25" s="1067" t="s">
        <v>254</v>
      </c>
      <c r="B25" s="1067" t="s">
        <v>2</v>
      </c>
      <c r="C25" s="1067">
        <v>207</v>
      </c>
      <c r="D25" s="1067">
        <v>1</v>
      </c>
      <c r="E25" s="1067"/>
      <c r="F25" s="1067">
        <v>27</v>
      </c>
      <c r="G25" s="1067">
        <v>124</v>
      </c>
      <c r="H25" s="1067">
        <v>4</v>
      </c>
      <c r="I25" s="1067">
        <v>9</v>
      </c>
      <c r="J25" s="1067">
        <v>42</v>
      </c>
    </row>
    <row r="26" spans="1:10" x14ac:dyDescent="0.25">
      <c r="A26" s="1067" t="s">
        <v>254</v>
      </c>
      <c r="B26" s="1067" t="s">
        <v>9</v>
      </c>
      <c r="C26" s="1067">
        <v>2935</v>
      </c>
      <c r="D26" s="1067"/>
      <c r="E26" s="1067"/>
      <c r="F26" s="1067">
        <v>533</v>
      </c>
      <c r="G26" s="1067">
        <v>2141</v>
      </c>
      <c r="H26" s="1067"/>
      <c r="I26" s="1067"/>
      <c r="J26" s="1067">
        <v>261</v>
      </c>
    </row>
    <row r="27" spans="1:10" x14ac:dyDescent="0.25">
      <c r="A27" s="1067" t="s">
        <v>254</v>
      </c>
      <c r="B27" s="1067" t="s">
        <v>852</v>
      </c>
      <c r="C27" s="1067">
        <v>18</v>
      </c>
      <c r="D27" s="1067"/>
      <c r="E27" s="1067"/>
      <c r="F27" s="1067"/>
      <c r="G27" s="1067"/>
      <c r="H27" s="1067"/>
      <c r="I27" s="1067"/>
      <c r="J27" s="1067"/>
    </row>
    <row r="28" spans="1:10" x14ac:dyDescent="0.25">
      <c r="A28" s="1067" t="s">
        <v>254</v>
      </c>
      <c r="B28" s="1067" t="s">
        <v>315</v>
      </c>
      <c r="C28" s="1067">
        <v>321</v>
      </c>
      <c r="D28" s="1067"/>
      <c r="E28" s="1067"/>
      <c r="F28" s="1067">
        <v>42</v>
      </c>
      <c r="G28" s="1067">
        <v>241</v>
      </c>
      <c r="H28" s="1067"/>
      <c r="I28" s="1067"/>
      <c r="J28" s="1067">
        <v>38</v>
      </c>
    </row>
    <row r="29" spans="1:10" x14ac:dyDescent="0.25">
      <c r="A29" s="1067" t="s">
        <v>254</v>
      </c>
      <c r="B29" s="1067" t="s">
        <v>316</v>
      </c>
      <c r="C29" s="1067">
        <v>3637</v>
      </c>
      <c r="D29" s="1067">
        <v>33</v>
      </c>
      <c r="E29" s="1067">
        <v>4</v>
      </c>
      <c r="F29" s="1067">
        <v>687</v>
      </c>
      <c r="G29" s="1067">
        <v>2075</v>
      </c>
      <c r="H29" s="1067">
        <v>80</v>
      </c>
      <c r="I29" s="1067">
        <v>147</v>
      </c>
      <c r="J29" s="1067">
        <v>611</v>
      </c>
    </row>
    <row r="30" spans="1:10" x14ac:dyDescent="0.25">
      <c r="A30" s="1067" t="s">
        <v>851</v>
      </c>
      <c r="B30" s="1067" t="s">
        <v>2</v>
      </c>
      <c r="C30" s="1067">
        <v>188</v>
      </c>
      <c r="D30" s="1067">
        <v>1</v>
      </c>
      <c r="E30" s="1067"/>
      <c r="F30" s="1067">
        <v>26</v>
      </c>
      <c r="G30" s="1067">
        <v>104</v>
      </c>
      <c r="H30" s="1067">
        <v>4</v>
      </c>
      <c r="I30" s="1067">
        <v>8</v>
      </c>
      <c r="J30" s="1067">
        <v>45</v>
      </c>
    </row>
    <row r="31" spans="1:10" x14ac:dyDescent="0.25">
      <c r="A31" s="1067" t="s">
        <v>851</v>
      </c>
      <c r="B31" s="1067" t="s">
        <v>9</v>
      </c>
      <c r="C31" s="1067">
        <v>2937</v>
      </c>
      <c r="D31" s="1067"/>
      <c r="E31" s="1067"/>
      <c r="F31" s="1067">
        <v>520</v>
      </c>
      <c r="G31" s="1067">
        <v>2155</v>
      </c>
      <c r="H31" s="1067"/>
      <c r="I31" s="1067"/>
      <c r="J31" s="1067">
        <v>262</v>
      </c>
    </row>
    <row r="32" spans="1:10" x14ac:dyDescent="0.25">
      <c r="A32" s="1067" t="s">
        <v>851</v>
      </c>
      <c r="B32" s="1067" t="s">
        <v>852</v>
      </c>
      <c r="C32" s="1067">
        <v>36</v>
      </c>
      <c r="D32" s="1067"/>
      <c r="E32" s="1067"/>
      <c r="F32" s="1067"/>
      <c r="G32" s="1067"/>
      <c r="H32" s="1067"/>
      <c r="I32" s="1067"/>
      <c r="J32" s="1067">
        <v>36</v>
      </c>
    </row>
    <row r="33" spans="1:10" x14ac:dyDescent="0.25">
      <c r="A33" s="1067" t="s">
        <v>851</v>
      </c>
      <c r="B33" s="1067" t="s">
        <v>315</v>
      </c>
      <c r="C33" s="1067">
        <v>315</v>
      </c>
      <c r="D33" s="1067"/>
      <c r="E33" s="1067"/>
      <c r="F33" s="1067">
        <v>41</v>
      </c>
      <c r="G33" s="1067">
        <v>237</v>
      </c>
      <c r="H33" s="1067"/>
      <c r="I33" s="1067"/>
      <c r="J33" s="1067">
        <v>37</v>
      </c>
    </row>
    <row r="34" spans="1:10" x14ac:dyDescent="0.25">
      <c r="A34" s="1067" t="s">
        <v>851</v>
      </c>
      <c r="B34" s="1067" t="s">
        <v>316</v>
      </c>
      <c r="C34" s="1067">
        <v>3636</v>
      </c>
      <c r="D34" s="1067">
        <v>31</v>
      </c>
      <c r="E34" s="1067">
        <v>6</v>
      </c>
      <c r="F34" s="1067">
        <v>688</v>
      </c>
      <c r="G34" s="1067">
        <v>2070</v>
      </c>
      <c r="H34" s="1067">
        <v>80</v>
      </c>
      <c r="I34" s="1067">
        <v>153</v>
      </c>
      <c r="J34" s="1067">
        <v>608</v>
      </c>
    </row>
  </sheetData>
  <sheetProtection algorithmName="SHA-512" hashValue="3JwLQDphBIwSCsM9vRbLq9bmMahSK3FwBGDTbxGjfnsT4ydTp7UTJ2kmQRfuNbWyvK2Gby2ttG2NzRhGscVmng==" saltValue="WZJwPnaFO9c3ojCP7Vi4+Q=="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E126"/>
  <sheetViews>
    <sheetView zoomScale="85" zoomScaleNormal="85" workbookViewId="0">
      <pane ySplit="4" topLeftCell="A5" activePane="bottomLeft" state="frozen"/>
      <selection pane="bottomLeft"/>
    </sheetView>
  </sheetViews>
  <sheetFormatPr defaultRowHeight="15" x14ac:dyDescent="0.25"/>
  <sheetData>
    <row r="4" spans="1:5" x14ac:dyDescent="0.25">
      <c r="A4" s="1066" t="s">
        <v>329</v>
      </c>
      <c r="B4" s="1066" t="s">
        <v>566</v>
      </c>
      <c r="C4" s="1066" t="s">
        <v>1090</v>
      </c>
      <c r="D4" s="1066" t="s">
        <v>1091</v>
      </c>
      <c r="E4" s="1066" t="s">
        <v>26</v>
      </c>
    </row>
    <row r="5" spans="1:5" x14ac:dyDescent="0.25">
      <c r="A5" s="1067" t="s">
        <v>254</v>
      </c>
      <c r="B5" s="1067" t="s">
        <v>88</v>
      </c>
      <c r="C5" s="1067" t="s">
        <v>1013</v>
      </c>
      <c r="D5" s="1067" t="s">
        <v>316</v>
      </c>
      <c r="E5" s="1067">
        <v>5</v>
      </c>
    </row>
    <row r="6" spans="1:5" x14ac:dyDescent="0.25">
      <c r="A6" s="1067" t="s">
        <v>254</v>
      </c>
      <c r="B6" s="1067" t="s">
        <v>88</v>
      </c>
      <c r="C6" s="1067" t="s">
        <v>1014</v>
      </c>
      <c r="D6" s="1067" t="s">
        <v>316</v>
      </c>
      <c r="E6" s="1067">
        <v>2</v>
      </c>
    </row>
    <row r="7" spans="1:5" x14ac:dyDescent="0.25">
      <c r="A7" s="1067" t="s">
        <v>851</v>
      </c>
      <c r="B7" s="1067" t="s">
        <v>88</v>
      </c>
      <c r="C7" s="1067" t="s">
        <v>1020</v>
      </c>
      <c r="D7" s="1067" t="s">
        <v>2</v>
      </c>
      <c r="E7" s="1067">
        <v>186</v>
      </c>
    </row>
    <row r="8" spans="1:5" x14ac:dyDescent="0.25">
      <c r="A8" s="1067" t="s">
        <v>851</v>
      </c>
      <c r="B8" s="1067" t="s">
        <v>88</v>
      </c>
      <c r="C8" s="1067" t="s">
        <v>1022</v>
      </c>
      <c r="D8" s="1067" t="s">
        <v>852</v>
      </c>
      <c r="E8" s="1067">
        <v>36</v>
      </c>
    </row>
    <row r="9" spans="1:5" x14ac:dyDescent="0.25">
      <c r="A9" s="1067" t="s">
        <v>254</v>
      </c>
      <c r="B9" s="1067" t="s">
        <v>88</v>
      </c>
      <c r="C9" s="1067" t="s">
        <v>1013</v>
      </c>
      <c r="D9" s="1067" t="s">
        <v>3</v>
      </c>
      <c r="E9" s="1067">
        <v>182</v>
      </c>
    </row>
    <row r="10" spans="1:5" x14ac:dyDescent="0.25">
      <c r="A10" s="1067" t="s">
        <v>254</v>
      </c>
      <c r="B10" s="1067" t="s">
        <v>88</v>
      </c>
      <c r="C10" s="1067" t="s">
        <v>1021</v>
      </c>
      <c r="D10" s="1067" t="s">
        <v>316</v>
      </c>
      <c r="E10" s="1067">
        <v>4</v>
      </c>
    </row>
    <row r="11" spans="1:5" x14ac:dyDescent="0.25">
      <c r="A11" s="1067" t="s">
        <v>254</v>
      </c>
      <c r="B11" s="1067" t="s">
        <v>88</v>
      </c>
      <c r="C11" s="1067" t="s">
        <v>1022</v>
      </c>
      <c r="D11" s="1067" t="s">
        <v>315</v>
      </c>
      <c r="E11" s="1067">
        <v>321</v>
      </c>
    </row>
    <row r="12" spans="1:5" x14ac:dyDescent="0.25">
      <c r="A12" s="1067" t="s">
        <v>254</v>
      </c>
      <c r="B12" s="1067" t="s">
        <v>88</v>
      </c>
      <c r="C12" s="1067" t="s">
        <v>1024</v>
      </c>
      <c r="D12" s="1067" t="s">
        <v>316</v>
      </c>
      <c r="E12" s="1067">
        <v>2</v>
      </c>
    </row>
    <row r="13" spans="1:5" x14ac:dyDescent="0.25">
      <c r="A13" s="1067" t="s">
        <v>851</v>
      </c>
      <c r="B13" s="1067" t="s">
        <v>88</v>
      </c>
      <c r="C13" s="1067" t="s">
        <v>862</v>
      </c>
      <c r="D13" s="1067" t="s">
        <v>3</v>
      </c>
      <c r="E13" s="1067">
        <v>2</v>
      </c>
    </row>
    <row r="14" spans="1:5" x14ac:dyDescent="0.25">
      <c r="A14" s="1067" t="s">
        <v>851</v>
      </c>
      <c r="B14" s="1067" t="s">
        <v>88</v>
      </c>
      <c r="C14" s="1067" t="s">
        <v>1025</v>
      </c>
      <c r="D14" s="1067" t="s">
        <v>316</v>
      </c>
      <c r="E14" s="1067">
        <v>98</v>
      </c>
    </row>
    <row r="15" spans="1:5" x14ac:dyDescent="0.25">
      <c r="A15" s="1067" t="s">
        <v>254</v>
      </c>
      <c r="B15" s="1067" t="s">
        <v>88</v>
      </c>
      <c r="C15" s="1067" t="s">
        <v>1088</v>
      </c>
      <c r="D15" s="1067" t="s">
        <v>316</v>
      </c>
      <c r="E15" s="1067">
        <v>2</v>
      </c>
    </row>
    <row r="16" spans="1:5" x14ac:dyDescent="0.25">
      <c r="A16" s="1067" t="s">
        <v>254</v>
      </c>
      <c r="B16" s="1067" t="s">
        <v>88</v>
      </c>
      <c r="C16" s="1067" t="s">
        <v>1017</v>
      </c>
      <c r="D16" s="1067" t="s">
        <v>3</v>
      </c>
      <c r="E16" s="1067">
        <v>77</v>
      </c>
    </row>
    <row r="17" spans="1:5" x14ac:dyDescent="0.25">
      <c r="A17" s="1067" t="s">
        <v>254</v>
      </c>
      <c r="B17" s="1067" t="s">
        <v>88</v>
      </c>
      <c r="C17" s="1067" t="s">
        <v>1019</v>
      </c>
      <c r="D17" s="1067" t="s">
        <v>3</v>
      </c>
      <c r="E17" s="1067">
        <v>82</v>
      </c>
    </row>
    <row r="18" spans="1:5" x14ac:dyDescent="0.25">
      <c r="A18" s="1067" t="s">
        <v>254</v>
      </c>
      <c r="B18" s="1067" t="s">
        <v>88</v>
      </c>
      <c r="C18" s="1067" t="s">
        <v>1022</v>
      </c>
      <c r="D18" s="1067" t="s">
        <v>9</v>
      </c>
      <c r="E18" s="1067">
        <v>2935</v>
      </c>
    </row>
    <row r="19" spans="1:5" x14ac:dyDescent="0.25">
      <c r="A19" s="1067" t="s">
        <v>851</v>
      </c>
      <c r="B19" s="1067" t="s">
        <v>88</v>
      </c>
      <c r="C19" s="1067" t="s">
        <v>1014</v>
      </c>
      <c r="D19" s="1067" t="s">
        <v>316</v>
      </c>
      <c r="E19" s="1067">
        <v>2</v>
      </c>
    </row>
    <row r="20" spans="1:5" x14ac:dyDescent="0.25">
      <c r="A20" s="1067" t="s">
        <v>851</v>
      </c>
      <c r="B20" s="1067" t="s">
        <v>88</v>
      </c>
      <c r="C20" s="1067" t="s">
        <v>1020</v>
      </c>
      <c r="D20" s="1067" t="s">
        <v>316</v>
      </c>
      <c r="E20" s="1067">
        <v>52</v>
      </c>
    </row>
    <row r="21" spans="1:5" x14ac:dyDescent="0.25">
      <c r="A21" s="1067" t="s">
        <v>851</v>
      </c>
      <c r="B21" s="1067" t="s">
        <v>88</v>
      </c>
      <c r="C21" s="1067" t="s">
        <v>1021</v>
      </c>
      <c r="D21" s="1067" t="s">
        <v>3</v>
      </c>
      <c r="E21" s="1067">
        <v>3</v>
      </c>
    </row>
    <row r="22" spans="1:5" x14ac:dyDescent="0.25">
      <c r="A22" s="1067" t="s">
        <v>851</v>
      </c>
      <c r="B22" s="1067" t="s">
        <v>88</v>
      </c>
      <c r="C22" s="1067" t="s">
        <v>1023</v>
      </c>
      <c r="D22" s="1067" t="s">
        <v>3</v>
      </c>
      <c r="E22" s="1067">
        <v>1</v>
      </c>
    </row>
    <row r="23" spans="1:5" x14ac:dyDescent="0.25">
      <c r="A23" s="1067" t="s">
        <v>851</v>
      </c>
      <c r="B23" s="1067" t="s">
        <v>88</v>
      </c>
      <c r="C23" s="1067" t="s">
        <v>1024</v>
      </c>
      <c r="D23" s="1067" t="s">
        <v>316</v>
      </c>
      <c r="E23" s="1067">
        <v>2</v>
      </c>
    </row>
    <row r="24" spans="1:5" x14ac:dyDescent="0.25">
      <c r="A24" s="1067" t="s">
        <v>254</v>
      </c>
      <c r="B24" s="1067" t="s">
        <v>88</v>
      </c>
      <c r="C24" s="1067" t="s">
        <v>1014</v>
      </c>
      <c r="D24" s="1067" t="s">
        <v>3</v>
      </c>
      <c r="E24" s="1067">
        <v>66</v>
      </c>
    </row>
    <row r="25" spans="1:5" x14ac:dyDescent="0.25">
      <c r="A25" s="1067" t="s">
        <v>254</v>
      </c>
      <c r="B25" s="1067" t="s">
        <v>88</v>
      </c>
      <c r="C25" s="1067" t="s">
        <v>1022</v>
      </c>
      <c r="D25" s="1067" t="s">
        <v>316</v>
      </c>
      <c r="E25" s="1067">
        <v>3101</v>
      </c>
    </row>
    <row r="26" spans="1:5" x14ac:dyDescent="0.25">
      <c r="A26" s="1067" t="s">
        <v>254</v>
      </c>
      <c r="B26" s="1067" t="s">
        <v>88</v>
      </c>
      <c r="C26" s="1067" t="s">
        <v>1025</v>
      </c>
      <c r="D26" s="1067" t="s">
        <v>3</v>
      </c>
      <c r="E26" s="1067">
        <v>58</v>
      </c>
    </row>
    <row r="27" spans="1:5" x14ac:dyDescent="0.25">
      <c r="A27" s="1067" t="s">
        <v>851</v>
      </c>
      <c r="B27" s="1067" t="s">
        <v>88</v>
      </c>
      <c r="C27" s="1067" t="s">
        <v>1013</v>
      </c>
      <c r="D27" s="1067" t="s">
        <v>316</v>
      </c>
      <c r="E27" s="1067">
        <v>5</v>
      </c>
    </row>
    <row r="28" spans="1:5" x14ac:dyDescent="0.25">
      <c r="A28" s="1067" t="s">
        <v>851</v>
      </c>
      <c r="B28" s="1067" t="s">
        <v>88</v>
      </c>
      <c r="C28" s="1067" t="s">
        <v>1015</v>
      </c>
      <c r="D28" s="1067" t="s">
        <v>3</v>
      </c>
      <c r="E28" s="1067">
        <v>68</v>
      </c>
    </row>
    <row r="29" spans="1:5" x14ac:dyDescent="0.25">
      <c r="A29" s="1067" t="s">
        <v>851</v>
      </c>
      <c r="B29" s="1067" t="s">
        <v>88</v>
      </c>
      <c r="C29" s="1067" t="s">
        <v>1020</v>
      </c>
      <c r="D29" s="1067" t="s">
        <v>3</v>
      </c>
      <c r="E29" s="1067">
        <v>77</v>
      </c>
    </row>
    <row r="30" spans="1:5" x14ac:dyDescent="0.25">
      <c r="A30" s="1067" t="s">
        <v>851</v>
      </c>
      <c r="B30" s="1067" t="s">
        <v>88</v>
      </c>
      <c r="C30" s="1067" t="s">
        <v>1022</v>
      </c>
      <c r="D30" s="1067" t="s">
        <v>3</v>
      </c>
      <c r="E30" s="1067">
        <v>96</v>
      </c>
    </row>
    <row r="31" spans="1:5" x14ac:dyDescent="0.25">
      <c r="A31" s="1067" t="s">
        <v>851</v>
      </c>
      <c r="B31" s="1067" t="s">
        <v>88</v>
      </c>
      <c r="C31" s="1067" t="s">
        <v>1023</v>
      </c>
      <c r="D31" s="1067" t="s">
        <v>316</v>
      </c>
      <c r="E31" s="1067">
        <v>5</v>
      </c>
    </row>
    <row r="32" spans="1:5" x14ac:dyDescent="0.25">
      <c r="A32" s="1067" t="s">
        <v>851</v>
      </c>
      <c r="B32" s="1067" t="s">
        <v>88</v>
      </c>
      <c r="C32" s="1067" t="s">
        <v>862</v>
      </c>
      <c r="D32" s="1067" t="s">
        <v>316</v>
      </c>
      <c r="E32" s="1067">
        <v>53</v>
      </c>
    </row>
    <row r="33" spans="1:5" x14ac:dyDescent="0.25">
      <c r="A33" s="1067" t="s">
        <v>254</v>
      </c>
      <c r="B33" s="1067" t="s">
        <v>88</v>
      </c>
      <c r="C33" s="1067" t="s">
        <v>1015</v>
      </c>
      <c r="D33" s="1067" t="s">
        <v>3</v>
      </c>
      <c r="E33" s="1067">
        <v>67</v>
      </c>
    </row>
    <row r="34" spans="1:5" x14ac:dyDescent="0.25">
      <c r="A34" s="1067" t="s">
        <v>254</v>
      </c>
      <c r="B34" s="1067" t="s">
        <v>88</v>
      </c>
      <c r="C34" s="1067" t="s">
        <v>1088</v>
      </c>
      <c r="D34" s="1067" t="s">
        <v>3</v>
      </c>
      <c r="E34" s="1067">
        <v>56</v>
      </c>
    </row>
    <row r="35" spans="1:5" x14ac:dyDescent="0.25">
      <c r="A35" s="1067" t="s">
        <v>254</v>
      </c>
      <c r="B35" s="1067" t="s">
        <v>88</v>
      </c>
      <c r="C35" s="1067" t="s">
        <v>1020</v>
      </c>
      <c r="D35" s="1067" t="s">
        <v>2</v>
      </c>
      <c r="E35" s="1067">
        <v>197</v>
      </c>
    </row>
    <row r="36" spans="1:5" x14ac:dyDescent="0.25">
      <c r="A36" s="1067" t="s">
        <v>851</v>
      </c>
      <c r="B36" s="1067" t="s">
        <v>88</v>
      </c>
      <c r="C36" s="1067" t="s">
        <v>1014</v>
      </c>
      <c r="D36" s="1067" t="s">
        <v>3</v>
      </c>
      <c r="E36" s="1067">
        <v>71</v>
      </c>
    </row>
    <row r="37" spans="1:5" x14ac:dyDescent="0.25">
      <c r="A37" s="1067" t="s">
        <v>851</v>
      </c>
      <c r="B37" s="1067" t="s">
        <v>88</v>
      </c>
      <c r="C37" s="1067" t="s">
        <v>1019</v>
      </c>
      <c r="D37" s="1067" t="s">
        <v>316</v>
      </c>
      <c r="E37" s="1067">
        <v>51</v>
      </c>
    </row>
    <row r="38" spans="1:5" x14ac:dyDescent="0.25">
      <c r="A38" s="1067" t="s">
        <v>851</v>
      </c>
      <c r="B38" s="1067" t="s">
        <v>88</v>
      </c>
      <c r="C38" s="1067" t="s">
        <v>1022</v>
      </c>
      <c r="D38" s="1067" t="s">
        <v>9</v>
      </c>
      <c r="E38" s="1067">
        <v>2937</v>
      </c>
    </row>
    <row r="39" spans="1:5" x14ac:dyDescent="0.25">
      <c r="A39" s="1067" t="s">
        <v>851</v>
      </c>
      <c r="B39" s="1067" t="s">
        <v>88</v>
      </c>
      <c r="C39" s="1067" t="s">
        <v>1022</v>
      </c>
      <c r="D39" s="1067" t="s">
        <v>315</v>
      </c>
      <c r="E39" s="1067">
        <v>315</v>
      </c>
    </row>
    <row r="40" spans="1:5" x14ac:dyDescent="0.25">
      <c r="A40" s="1067" t="s">
        <v>851</v>
      </c>
      <c r="B40" s="1067" t="s">
        <v>88</v>
      </c>
      <c r="C40" s="1067" t="s">
        <v>1024</v>
      </c>
      <c r="D40" s="1067" t="s">
        <v>3</v>
      </c>
      <c r="E40" s="1067">
        <v>61</v>
      </c>
    </row>
    <row r="41" spans="1:5" x14ac:dyDescent="0.25">
      <c r="A41" s="1067" t="s">
        <v>254</v>
      </c>
      <c r="B41" s="1067" t="s">
        <v>88</v>
      </c>
      <c r="C41" s="1067" t="s">
        <v>1019</v>
      </c>
      <c r="D41" s="1067" t="s">
        <v>316</v>
      </c>
      <c r="E41" s="1067">
        <v>200</v>
      </c>
    </row>
    <row r="42" spans="1:5" x14ac:dyDescent="0.25">
      <c r="A42" s="1067" t="s">
        <v>254</v>
      </c>
      <c r="B42" s="1067" t="s">
        <v>88</v>
      </c>
      <c r="C42" s="1067" t="s">
        <v>1021</v>
      </c>
      <c r="D42" s="1067" t="s">
        <v>3</v>
      </c>
      <c r="E42" s="1067">
        <v>3</v>
      </c>
    </row>
    <row r="43" spans="1:5" x14ac:dyDescent="0.25">
      <c r="A43" s="1067" t="s">
        <v>254</v>
      </c>
      <c r="B43" s="1067" t="s">
        <v>88</v>
      </c>
      <c r="C43" s="1067" t="s">
        <v>1022</v>
      </c>
      <c r="D43" s="1067" t="s">
        <v>852</v>
      </c>
      <c r="E43" s="1067">
        <v>18</v>
      </c>
    </row>
    <row r="44" spans="1:5" x14ac:dyDescent="0.25">
      <c r="A44" s="1067" t="s">
        <v>254</v>
      </c>
      <c r="B44" s="1067" t="s">
        <v>88</v>
      </c>
      <c r="C44" s="1067" t="s">
        <v>1022</v>
      </c>
      <c r="D44" s="1067" t="s">
        <v>3</v>
      </c>
      <c r="E44" s="1067">
        <v>26</v>
      </c>
    </row>
    <row r="45" spans="1:5" x14ac:dyDescent="0.25">
      <c r="A45" s="1067" t="s">
        <v>254</v>
      </c>
      <c r="B45" s="1067" t="s">
        <v>88</v>
      </c>
      <c r="C45" s="1067" t="s">
        <v>1025</v>
      </c>
      <c r="D45" s="1067" t="s">
        <v>316</v>
      </c>
      <c r="E45" s="1067">
        <v>203</v>
      </c>
    </row>
    <row r="46" spans="1:5" x14ac:dyDescent="0.25">
      <c r="A46" s="1067" t="s">
        <v>851</v>
      </c>
      <c r="B46" s="1067" t="s">
        <v>88</v>
      </c>
      <c r="C46" s="1067" t="s">
        <v>1013</v>
      </c>
      <c r="D46" s="1067" t="s">
        <v>3</v>
      </c>
      <c r="E46" s="1067">
        <v>185</v>
      </c>
    </row>
    <row r="47" spans="1:5" x14ac:dyDescent="0.25">
      <c r="A47" s="1067" t="s">
        <v>851</v>
      </c>
      <c r="B47" s="1067" t="s">
        <v>88</v>
      </c>
      <c r="C47" s="1067" t="s">
        <v>1022</v>
      </c>
      <c r="D47" s="1067" t="s">
        <v>316</v>
      </c>
      <c r="E47" s="1067">
        <v>3358</v>
      </c>
    </row>
    <row r="48" spans="1:5" x14ac:dyDescent="0.25">
      <c r="A48" s="1067" t="s">
        <v>254</v>
      </c>
      <c r="B48" s="1067" t="s">
        <v>88</v>
      </c>
      <c r="C48" s="1067" t="s">
        <v>1089</v>
      </c>
      <c r="D48" s="1067" t="s">
        <v>316</v>
      </c>
      <c r="E48" s="1067">
        <v>3</v>
      </c>
    </row>
    <row r="49" spans="1:5" x14ac:dyDescent="0.25">
      <c r="A49" s="1067" t="s">
        <v>254</v>
      </c>
      <c r="B49" s="1067" t="s">
        <v>88</v>
      </c>
      <c r="C49" s="1067" t="s">
        <v>1020</v>
      </c>
      <c r="D49" s="1067" t="s">
        <v>316</v>
      </c>
      <c r="E49" s="1067">
        <v>45</v>
      </c>
    </row>
    <row r="50" spans="1:5" x14ac:dyDescent="0.25">
      <c r="A50" s="1067" t="s">
        <v>254</v>
      </c>
      <c r="B50" s="1067" t="s">
        <v>88</v>
      </c>
      <c r="C50" s="1067" t="s">
        <v>1023</v>
      </c>
      <c r="D50" s="1067" t="s">
        <v>316</v>
      </c>
      <c r="E50" s="1067">
        <v>5</v>
      </c>
    </row>
    <row r="51" spans="1:5" x14ac:dyDescent="0.25">
      <c r="A51" s="1067" t="s">
        <v>254</v>
      </c>
      <c r="B51" s="1067" t="s">
        <v>88</v>
      </c>
      <c r="C51" s="1067" t="s">
        <v>862</v>
      </c>
      <c r="D51" s="1067" t="s">
        <v>3</v>
      </c>
      <c r="E51" s="1067">
        <v>1</v>
      </c>
    </row>
    <row r="52" spans="1:5" x14ac:dyDescent="0.25">
      <c r="A52" s="1067" t="s">
        <v>254</v>
      </c>
      <c r="B52" s="1067" t="s">
        <v>88</v>
      </c>
      <c r="C52" s="1067" t="s">
        <v>862</v>
      </c>
      <c r="D52" s="1067" t="s">
        <v>316</v>
      </c>
      <c r="E52" s="1067">
        <v>65</v>
      </c>
    </row>
    <row r="53" spans="1:5" x14ac:dyDescent="0.25">
      <c r="A53" s="1067" t="s">
        <v>851</v>
      </c>
      <c r="B53" s="1067" t="s">
        <v>88</v>
      </c>
      <c r="C53" s="1067" t="s">
        <v>1016</v>
      </c>
      <c r="D53" s="1067" t="s">
        <v>3</v>
      </c>
      <c r="E53" s="1067">
        <v>17</v>
      </c>
    </row>
    <row r="54" spans="1:5" x14ac:dyDescent="0.25">
      <c r="A54" s="1067" t="s">
        <v>851</v>
      </c>
      <c r="B54" s="1067" t="s">
        <v>88</v>
      </c>
      <c r="C54" s="1067" t="s">
        <v>1018</v>
      </c>
      <c r="D54" s="1067" t="s">
        <v>3</v>
      </c>
      <c r="E54" s="1067">
        <v>95</v>
      </c>
    </row>
    <row r="55" spans="1:5" x14ac:dyDescent="0.25">
      <c r="A55" s="1067" t="s">
        <v>851</v>
      </c>
      <c r="B55" s="1067" t="s">
        <v>88</v>
      </c>
      <c r="C55" s="1067" t="s">
        <v>862</v>
      </c>
      <c r="D55" s="1067" t="s">
        <v>2</v>
      </c>
      <c r="E55" s="1067">
        <v>2</v>
      </c>
    </row>
    <row r="56" spans="1:5" x14ac:dyDescent="0.25">
      <c r="A56" s="1067" t="s">
        <v>254</v>
      </c>
      <c r="B56" s="1067" t="s">
        <v>88</v>
      </c>
      <c r="C56" s="1067" t="s">
        <v>1089</v>
      </c>
      <c r="D56" s="1067" t="s">
        <v>3</v>
      </c>
      <c r="E56" s="1067">
        <v>46</v>
      </c>
    </row>
    <row r="57" spans="1:5" x14ac:dyDescent="0.25">
      <c r="A57" s="1067" t="s">
        <v>254</v>
      </c>
      <c r="B57" s="1067" t="s">
        <v>88</v>
      </c>
      <c r="C57" s="1067" t="s">
        <v>1020</v>
      </c>
      <c r="D57" s="1067" t="s">
        <v>3</v>
      </c>
      <c r="E57" s="1067">
        <v>73</v>
      </c>
    </row>
    <row r="58" spans="1:5" x14ac:dyDescent="0.25">
      <c r="A58" s="1067" t="s">
        <v>254</v>
      </c>
      <c r="B58" s="1067" t="s">
        <v>88</v>
      </c>
      <c r="C58" s="1067" t="s">
        <v>1024</v>
      </c>
      <c r="D58" s="1067" t="s">
        <v>3</v>
      </c>
      <c r="E58" s="1067">
        <v>55</v>
      </c>
    </row>
    <row r="59" spans="1:5" x14ac:dyDescent="0.25">
      <c r="A59" s="1067" t="s">
        <v>254</v>
      </c>
      <c r="B59" s="1067" t="s">
        <v>88</v>
      </c>
      <c r="C59" s="1067" t="s">
        <v>862</v>
      </c>
      <c r="D59" s="1067" t="s">
        <v>2</v>
      </c>
      <c r="E59" s="1067">
        <v>10</v>
      </c>
    </row>
    <row r="60" spans="1:5" x14ac:dyDescent="0.25">
      <c r="A60" s="1067" t="s">
        <v>851</v>
      </c>
      <c r="B60" s="1067" t="s">
        <v>88</v>
      </c>
      <c r="C60" s="1067" t="s">
        <v>1016</v>
      </c>
      <c r="D60" s="1067" t="s">
        <v>316</v>
      </c>
      <c r="E60" s="1067">
        <v>2</v>
      </c>
    </row>
    <row r="61" spans="1:5" x14ac:dyDescent="0.25">
      <c r="A61" s="1067" t="s">
        <v>851</v>
      </c>
      <c r="B61" s="1067" t="s">
        <v>88</v>
      </c>
      <c r="C61" s="1067" t="s">
        <v>1017</v>
      </c>
      <c r="D61" s="1067" t="s">
        <v>3</v>
      </c>
      <c r="E61" s="1067">
        <v>73</v>
      </c>
    </row>
    <row r="62" spans="1:5" x14ac:dyDescent="0.25">
      <c r="A62" s="1067" t="s">
        <v>851</v>
      </c>
      <c r="B62" s="1067" t="s">
        <v>88</v>
      </c>
      <c r="C62" s="1067" t="s">
        <v>1018</v>
      </c>
      <c r="D62" s="1067" t="s">
        <v>316</v>
      </c>
      <c r="E62" s="1067">
        <v>2</v>
      </c>
    </row>
    <row r="63" spans="1:5" x14ac:dyDescent="0.25">
      <c r="A63" s="1067" t="s">
        <v>851</v>
      </c>
      <c r="B63" s="1067" t="s">
        <v>88</v>
      </c>
      <c r="C63" s="1067" t="s">
        <v>1019</v>
      </c>
      <c r="D63" s="1067" t="s">
        <v>3</v>
      </c>
      <c r="E63" s="1067">
        <v>17</v>
      </c>
    </row>
    <row r="64" spans="1:5" x14ac:dyDescent="0.25">
      <c r="A64" s="1067" t="s">
        <v>851</v>
      </c>
      <c r="B64" s="1067" t="s">
        <v>88</v>
      </c>
      <c r="C64" s="1067" t="s">
        <v>1021</v>
      </c>
      <c r="D64" s="1067" t="s">
        <v>316</v>
      </c>
      <c r="E64" s="1067">
        <v>6</v>
      </c>
    </row>
    <row r="65" spans="1:5" x14ac:dyDescent="0.25">
      <c r="A65" s="1067" t="s">
        <v>851</v>
      </c>
      <c r="B65" s="1067" t="s">
        <v>88</v>
      </c>
      <c r="C65" s="1067" t="s">
        <v>1025</v>
      </c>
      <c r="D65" s="1067" t="s">
        <v>3</v>
      </c>
      <c r="E65" s="1067">
        <v>52</v>
      </c>
    </row>
    <row r="66" spans="1:5" x14ac:dyDescent="0.25">
      <c r="A66" s="1067" t="s">
        <v>254</v>
      </c>
      <c r="B66" s="1067" t="s">
        <v>1012</v>
      </c>
      <c r="C66" s="1067" t="s">
        <v>1013</v>
      </c>
      <c r="D66" s="1067" t="s">
        <v>3</v>
      </c>
      <c r="E66" s="1067">
        <v>178.47000000000003</v>
      </c>
    </row>
    <row r="67" spans="1:5" x14ac:dyDescent="0.25">
      <c r="A67" s="1067" t="s">
        <v>254</v>
      </c>
      <c r="B67" s="1067" t="s">
        <v>1012</v>
      </c>
      <c r="C67" s="1067" t="s">
        <v>1021</v>
      </c>
      <c r="D67" s="1067" t="s">
        <v>316</v>
      </c>
      <c r="E67" s="1067">
        <v>4</v>
      </c>
    </row>
    <row r="68" spans="1:5" x14ac:dyDescent="0.25">
      <c r="A68" s="1067" t="s">
        <v>254</v>
      </c>
      <c r="B68" s="1067" t="s">
        <v>1012</v>
      </c>
      <c r="C68" s="1067" t="s">
        <v>1022</v>
      </c>
      <c r="D68" s="1067" t="s">
        <v>315</v>
      </c>
      <c r="E68" s="1067">
        <v>0</v>
      </c>
    </row>
    <row r="69" spans="1:5" x14ac:dyDescent="0.25">
      <c r="A69" s="1067" t="s">
        <v>254</v>
      </c>
      <c r="B69" s="1067" t="s">
        <v>1012</v>
      </c>
      <c r="C69" s="1067" t="s">
        <v>1024</v>
      </c>
      <c r="D69" s="1067" t="s">
        <v>316</v>
      </c>
      <c r="E69" s="1067">
        <v>2</v>
      </c>
    </row>
    <row r="70" spans="1:5" x14ac:dyDescent="0.25">
      <c r="A70" s="1067" t="s">
        <v>851</v>
      </c>
      <c r="B70" s="1067" t="s">
        <v>1012</v>
      </c>
      <c r="C70" s="1067" t="s">
        <v>862</v>
      </c>
      <c r="D70" s="1067" t="s">
        <v>3</v>
      </c>
      <c r="E70" s="1067">
        <v>2</v>
      </c>
    </row>
    <row r="71" spans="1:5" x14ac:dyDescent="0.25">
      <c r="A71" s="1067" t="s">
        <v>851</v>
      </c>
      <c r="B71" s="1067" t="s">
        <v>1012</v>
      </c>
      <c r="C71" s="1067" t="s">
        <v>1025</v>
      </c>
      <c r="D71" s="1067" t="s">
        <v>316</v>
      </c>
      <c r="E71" s="1067">
        <v>98</v>
      </c>
    </row>
    <row r="72" spans="1:5" x14ac:dyDescent="0.25">
      <c r="A72" s="1067" t="s">
        <v>254</v>
      </c>
      <c r="B72" s="1067" t="s">
        <v>1012</v>
      </c>
      <c r="C72" s="1067" t="s">
        <v>1013</v>
      </c>
      <c r="D72" s="1067" t="s">
        <v>316</v>
      </c>
      <c r="E72" s="1067">
        <v>5</v>
      </c>
    </row>
    <row r="73" spans="1:5" x14ac:dyDescent="0.25">
      <c r="A73" s="1067" t="s">
        <v>254</v>
      </c>
      <c r="B73" s="1067" t="s">
        <v>1012</v>
      </c>
      <c r="C73" s="1067" t="s">
        <v>1014</v>
      </c>
      <c r="D73" s="1067" t="s">
        <v>316</v>
      </c>
      <c r="E73" s="1067">
        <v>2</v>
      </c>
    </row>
    <row r="74" spans="1:5" x14ac:dyDescent="0.25">
      <c r="A74" s="1067" t="s">
        <v>851</v>
      </c>
      <c r="B74" s="1067" t="s">
        <v>1012</v>
      </c>
      <c r="C74" s="1067" t="s">
        <v>1020</v>
      </c>
      <c r="D74" s="1067" t="s">
        <v>2</v>
      </c>
      <c r="E74" s="1067">
        <v>181.83</v>
      </c>
    </row>
    <row r="75" spans="1:5" x14ac:dyDescent="0.25">
      <c r="A75" s="1067" t="s">
        <v>851</v>
      </c>
      <c r="B75" s="1067" t="s">
        <v>1012</v>
      </c>
      <c r="C75" s="1067" t="s">
        <v>1022</v>
      </c>
      <c r="D75" s="1067" t="s">
        <v>852</v>
      </c>
      <c r="E75" s="1067">
        <v>36</v>
      </c>
    </row>
    <row r="76" spans="1:5" x14ac:dyDescent="0.25">
      <c r="A76" s="1067" t="s">
        <v>254</v>
      </c>
      <c r="B76" s="1067" t="s">
        <v>1012</v>
      </c>
      <c r="C76" s="1067" t="s">
        <v>1089</v>
      </c>
      <c r="D76" s="1067" t="s">
        <v>316</v>
      </c>
      <c r="E76" s="1067">
        <v>3</v>
      </c>
    </row>
    <row r="77" spans="1:5" x14ac:dyDescent="0.25">
      <c r="A77" s="1067" t="s">
        <v>254</v>
      </c>
      <c r="B77" s="1067" t="s">
        <v>1012</v>
      </c>
      <c r="C77" s="1067" t="s">
        <v>1020</v>
      </c>
      <c r="D77" s="1067" t="s">
        <v>316</v>
      </c>
      <c r="E77" s="1067">
        <v>45</v>
      </c>
    </row>
    <row r="78" spans="1:5" x14ac:dyDescent="0.25">
      <c r="A78" s="1067" t="s">
        <v>254</v>
      </c>
      <c r="B78" s="1067" t="s">
        <v>1012</v>
      </c>
      <c r="C78" s="1067" t="s">
        <v>1023</v>
      </c>
      <c r="D78" s="1067" t="s">
        <v>316</v>
      </c>
      <c r="E78" s="1067">
        <v>5</v>
      </c>
    </row>
    <row r="79" spans="1:5" x14ac:dyDescent="0.25">
      <c r="A79" s="1067" t="s">
        <v>254</v>
      </c>
      <c r="B79" s="1067" t="s">
        <v>1012</v>
      </c>
      <c r="C79" s="1067" t="s">
        <v>862</v>
      </c>
      <c r="D79" s="1067" t="s">
        <v>3</v>
      </c>
      <c r="E79" s="1067">
        <v>1</v>
      </c>
    </row>
    <row r="80" spans="1:5" x14ac:dyDescent="0.25">
      <c r="A80" s="1067" t="s">
        <v>254</v>
      </c>
      <c r="B80" s="1067" t="s">
        <v>1012</v>
      </c>
      <c r="C80" s="1067" t="s">
        <v>862</v>
      </c>
      <c r="D80" s="1067" t="s">
        <v>316</v>
      </c>
      <c r="E80" s="1067">
        <v>65</v>
      </c>
    </row>
    <row r="81" spans="1:5" x14ac:dyDescent="0.25">
      <c r="A81" s="1067" t="s">
        <v>851</v>
      </c>
      <c r="B81" s="1067" t="s">
        <v>1012</v>
      </c>
      <c r="C81" s="1067" t="s">
        <v>1016</v>
      </c>
      <c r="D81" s="1067" t="s">
        <v>3</v>
      </c>
      <c r="E81" s="1067">
        <v>16.86</v>
      </c>
    </row>
    <row r="82" spans="1:5" x14ac:dyDescent="0.25">
      <c r="A82" s="1067" t="s">
        <v>851</v>
      </c>
      <c r="B82" s="1067" t="s">
        <v>1012</v>
      </c>
      <c r="C82" s="1067" t="s">
        <v>1018</v>
      </c>
      <c r="D82" s="1067" t="s">
        <v>3</v>
      </c>
      <c r="E82" s="1067">
        <v>90.619999999999976</v>
      </c>
    </row>
    <row r="83" spans="1:5" x14ac:dyDescent="0.25">
      <c r="A83" s="1067" t="s">
        <v>851</v>
      </c>
      <c r="B83" s="1067" t="s">
        <v>1012</v>
      </c>
      <c r="C83" s="1067" t="s">
        <v>862</v>
      </c>
      <c r="D83" s="1067" t="s">
        <v>2</v>
      </c>
      <c r="E83" s="1067">
        <v>2</v>
      </c>
    </row>
    <row r="84" spans="1:5" x14ac:dyDescent="0.25">
      <c r="A84" s="1067" t="s">
        <v>254</v>
      </c>
      <c r="B84" s="1067" t="s">
        <v>1012</v>
      </c>
      <c r="C84" s="1067" t="s">
        <v>1019</v>
      </c>
      <c r="D84" s="1067" t="s">
        <v>316</v>
      </c>
      <c r="E84" s="1067">
        <v>198.93</v>
      </c>
    </row>
    <row r="85" spans="1:5" x14ac:dyDescent="0.25">
      <c r="A85" s="1067" t="s">
        <v>254</v>
      </c>
      <c r="B85" s="1067" t="s">
        <v>1012</v>
      </c>
      <c r="C85" s="1067" t="s">
        <v>1021</v>
      </c>
      <c r="D85" s="1067" t="s">
        <v>3</v>
      </c>
      <c r="E85" s="1067">
        <v>3</v>
      </c>
    </row>
    <row r="86" spans="1:5" x14ac:dyDescent="0.25">
      <c r="A86" s="1067" t="s">
        <v>254</v>
      </c>
      <c r="B86" s="1067" t="s">
        <v>1012</v>
      </c>
      <c r="C86" s="1067" t="s">
        <v>1022</v>
      </c>
      <c r="D86" s="1067" t="s">
        <v>852</v>
      </c>
      <c r="E86" s="1067">
        <v>18</v>
      </c>
    </row>
    <row r="87" spans="1:5" x14ac:dyDescent="0.25">
      <c r="A87" s="1067" t="s">
        <v>254</v>
      </c>
      <c r="B87" s="1067" t="s">
        <v>1012</v>
      </c>
      <c r="C87" s="1067" t="s">
        <v>1022</v>
      </c>
      <c r="D87" s="1067" t="s">
        <v>3</v>
      </c>
      <c r="E87" s="1067">
        <v>15.34</v>
      </c>
    </row>
    <row r="88" spans="1:5" x14ac:dyDescent="0.25">
      <c r="A88" s="1067" t="s">
        <v>254</v>
      </c>
      <c r="B88" s="1067" t="s">
        <v>1012</v>
      </c>
      <c r="C88" s="1067" t="s">
        <v>1025</v>
      </c>
      <c r="D88" s="1067" t="s">
        <v>316</v>
      </c>
      <c r="E88" s="1067">
        <v>203</v>
      </c>
    </row>
    <row r="89" spans="1:5" x14ac:dyDescent="0.25">
      <c r="A89" s="1067" t="s">
        <v>851</v>
      </c>
      <c r="B89" s="1067" t="s">
        <v>1012</v>
      </c>
      <c r="C89" s="1067" t="s">
        <v>1013</v>
      </c>
      <c r="D89" s="1067" t="s">
        <v>3</v>
      </c>
      <c r="E89" s="1067">
        <v>182.2</v>
      </c>
    </row>
    <row r="90" spans="1:5" x14ac:dyDescent="0.25">
      <c r="A90" s="1067" t="s">
        <v>851</v>
      </c>
      <c r="B90" s="1067" t="s">
        <v>1012</v>
      </c>
      <c r="C90" s="1067" t="s">
        <v>1022</v>
      </c>
      <c r="D90" s="1067" t="s">
        <v>316</v>
      </c>
      <c r="E90" s="1067">
        <v>3355.93</v>
      </c>
    </row>
    <row r="91" spans="1:5" x14ac:dyDescent="0.25">
      <c r="A91" s="1067" t="s">
        <v>254</v>
      </c>
      <c r="B91" s="1067" t="s">
        <v>1012</v>
      </c>
      <c r="C91" s="1067" t="s">
        <v>1089</v>
      </c>
      <c r="D91" s="1067" t="s">
        <v>3</v>
      </c>
      <c r="E91" s="1067">
        <v>42.75</v>
      </c>
    </row>
    <row r="92" spans="1:5" x14ac:dyDescent="0.25">
      <c r="A92" s="1067" t="s">
        <v>254</v>
      </c>
      <c r="B92" s="1067" t="s">
        <v>1012</v>
      </c>
      <c r="C92" s="1067" t="s">
        <v>1020</v>
      </c>
      <c r="D92" s="1067" t="s">
        <v>3</v>
      </c>
      <c r="E92" s="1067">
        <v>68.5</v>
      </c>
    </row>
    <row r="93" spans="1:5" x14ac:dyDescent="0.25">
      <c r="A93" s="1067" t="s">
        <v>254</v>
      </c>
      <c r="B93" s="1067" t="s">
        <v>1012</v>
      </c>
      <c r="C93" s="1067" t="s">
        <v>1024</v>
      </c>
      <c r="D93" s="1067" t="s">
        <v>3</v>
      </c>
      <c r="E93" s="1067">
        <v>53.45</v>
      </c>
    </row>
    <row r="94" spans="1:5" x14ac:dyDescent="0.25">
      <c r="A94" s="1067" t="s">
        <v>254</v>
      </c>
      <c r="B94" s="1067" t="s">
        <v>1012</v>
      </c>
      <c r="C94" s="1067" t="s">
        <v>862</v>
      </c>
      <c r="D94" s="1067" t="s">
        <v>2</v>
      </c>
      <c r="E94" s="1067">
        <v>10</v>
      </c>
    </row>
    <row r="95" spans="1:5" x14ac:dyDescent="0.25">
      <c r="A95" s="1067" t="s">
        <v>851</v>
      </c>
      <c r="B95" s="1067" t="s">
        <v>1012</v>
      </c>
      <c r="C95" s="1067" t="s">
        <v>1016</v>
      </c>
      <c r="D95" s="1067" t="s">
        <v>316</v>
      </c>
      <c r="E95" s="1067">
        <v>2</v>
      </c>
    </row>
    <row r="96" spans="1:5" x14ac:dyDescent="0.25">
      <c r="A96" s="1067" t="s">
        <v>851</v>
      </c>
      <c r="B96" s="1067" t="s">
        <v>1012</v>
      </c>
      <c r="C96" s="1067" t="s">
        <v>1017</v>
      </c>
      <c r="D96" s="1067" t="s">
        <v>3</v>
      </c>
      <c r="E96" s="1067">
        <v>71.489999999999995</v>
      </c>
    </row>
    <row r="97" spans="1:5" x14ac:dyDescent="0.25">
      <c r="A97" s="1067" t="s">
        <v>851</v>
      </c>
      <c r="B97" s="1067" t="s">
        <v>1012</v>
      </c>
      <c r="C97" s="1067" t="s">
        <v>1018</v>
      </c>
      <c r="D97" s="1067" t="s">
        <v>316</v>
      </c>
      <c r="E97" s="1067">
        <v>2</v>
      </c>
    </row>
    <row r="98" spans="1:5" x14ac:dyDescent="0.25">
      <c r="A98" s="1067" t="s">
        <v>851</v>
      </c>
      <c r="B98" s="1067" t="s">
        <v>1012</v>
      </c>
      <c r="C98" s="1067" t="s">
        <v>1019</v>
      </c>
      <c r="D98" s="1067" t="s">
        <v>3</v>
      </c>
      <c r="E98" s="1067">
        <v>16.689999999999998</v>
      </c>
    </row>
    <row r="99" spans="1:5" x14ac:dyDescent="0.25">
      <c r="A99" s="1067" t="s">
        <v>851</v>
      </c>
      <c r="B99" s="1067" t="s">
        <v>1012</v>
      </c>
      <c r="C99" s="1067" t="s">
        <v>1021</v>
      </c>
      <c r="D99" s="1067" t="s">
        <v>316</v>
      </c>
      <c r="E99" s="1067">
        <v>6</v>
      </c>
    </row>
    <row r="100" spans="1:5" x14ac:dyDescent="0.25">
      <c r="A100" s="1067" t="s">
        <v>851</v>
      </c>
      <c r="B100" s="1067" t="s">
        <v>1012</v>
      </c>
      <c r="C100" s="1067" t="s">
        <v>1025</v>
      </c>
      <c r="D100" s="1067" t="s">
        <v>3</v>
      </c>
      <c r="E100" s="1067">
        <v>46.81</v>
      </c>
    </row>
    <row r="101" spans="1:5" x14ac:dyDescent="0.25">
      <c r="A101" s="1067" t="s">
        <v>254</v>
      </c>
      <c r="B101" s="1067" t="s">
        <v>1012</v>
      </c>
      <c r="C101" s="1067" t="s">
        <v>1014</v>
      </c>
      <c r="D101" s="1067" t="s">
        <v>3</v>
      </c>
      <c r="E101" s="1067">
        <v>58.509999999999991</v>
      </c>
    </row>
    <row r="102" spans="1:5" x14ac:dyDescent="0.25">
      <c r="A102" s="1067" t="s">
        <v>254</v>
      </c>
      <c r="B102" s="1067" t="s">
        <v>1012</v>
      </c>
      <c r="C102" s="1067" t="s">
        <v>1022</v>
      </c>
      <c r="D102" s="1067" t="s">
        <v>316</v>
      </c>
      <c r="E102" s="1067">
        <v>3101</v>
      </c>
    </row>
    <row r="103" spans="1:5" x14ac:dyDescent="0.25">
      <c r="A103" s="1067" t="s">
        <v>254</v>
      </c>
      <c r="B103" s="1067" t="s">
        <v>1012</v>
      </c>
      <c r="C103" s="1067" t="s">
        <v>1025</v>
      </c>
      <c r="D103" s="1067" t="s">
        <v>3</v>
      </c>
      <c r="E103" s="1067">
        <v>53.36</v>
      </c>
    </row>
    <row r="104" spans="1:5" x14ac:dyDescent="0.25">
      <c r="A104" s="1067" t="s">
        <v>851</v>
      </c>
      <c r="B104" s="1067" t="s">
        <v>1012</v>
      </c>
      <c r="C104" s="1067" t="s">
        <v>1013</v>
      </c>
      <c r="D104" s="1067" t="s">
        <v>316</v>
      </c>
      <c r="E104" s="1067">
        <v>5</v>
      </c>
    </row>
    <row r="105" spans="1:5" x14ac:dyDescent="0.25">
      <c r="A105" s="1067" t="s">
        <v>851</v>
      </c>
      <c r="B105" s="1067" t="s">
        <v>1012</v>
      </c>
      <c r="C105" s="1067" t="s">
        <v>1015</v>
      </c>
      <c r="D105" s="1067" t="s">
        <v>3</v>
      </c>
      <c r="E105" s="1067">
        <v>62.3</v>
      </c>
    </row>
    <row r="106" spans="1:5" x14ac:dyDescent="0.25">
      <c r="A106" s="1067" t="s">
        <v>851</v>
      </c>
      <c r="B106" s="1067" t="s">
        <v>1012</v>
      </c>
      <c r="C106" s="1067" t="s">
        <v>1020</v>
      </c>
      <c r="D106" s="1067" t="s">
        <v>3</v>
      </c>
      <c r="E106" s="1067">
        <v>72.069999999999993</v>
      </c>
    </row>
    <row r="107" spans="1:5" x14ac:dyDescent="0.25">
      <c r="A107" s="1067" t="s">
        <v>851</v>
      </c>
      <c r="B107" s="1067" t="s">
        <v>1012</v>
      </c>
      <c r="C107" s="1067" t="s">
        <v>1022</v>
      </c>
      <c r="D107" s="1067" t="s">
        <v>3</v>
      </c>
      <c r="E107" s="1067">
        <v>78.53</v>
      </c>
    </row>
    <row r="108" spans="1:5" x14ac:dyDescent="0.25">
      <c r="A108" s="1067" t="s">
        <v>851</v>
      </c>
      <c r="B108" s="1067" t="s">
        <v>1012</v>
      </c>
      <c r="C108" s="1067" t="s">
        <v>1023</v>
      </c>
      <c r="D108" s="1067" t="s">
        <v>316</v>
      </c>
      <c r="E108" s="1067">
        <v>5</v>
      </c>
    </row>
    <row r="109" spans="1:5" x14ac:dyDescent="0.25">
      <c r="A109" s="1067" t="s">
        <v>851</v>
      </c>
      <c r="B109" s="1067" t="s">
        <v>1012</v>
      </c>
      <c r="C109" s="1067" t="s">
        <v>862</v>
      </c>
      <c r="D109" s="1067" t="s">
        <v>316</v>
      </c>
      <c r="E109" s="1067">
        <v>53</v>
      </c>
    </row>
    <row r="110" spans="1:5" x14ac:dyDescent="0.25">
      <c r="A110" s="1067" t="s">
        <v>254</v>
      </c>
      <c r="B110" s="1067" t="s">
        <v>1012</v>
      </c>
      <c r="C110" s="1067" t="s">
        <v>1015</v>
      </c>
      <c r="D110" s="1067" t="s">
        <v>3</v>
      </c>
      <c r="E110" s="1067">
        <v>63.550000000000004</v>
      </c>
    </row>
    <row r="111" spans="1:5" x14ac:dyDescent="0.25">
      <c r="A111" s="1067" t="s">
        <v>254</v>
      </c>
      <c r="B111" s="1067" t="s">
        <v>1012</v>
      </c>
      <c r="C111" s="1067" t="s">
        <v>1088</v>
      </c>
      <c r="D111" s="1067" t="s">
        <v>3</v>
      </c>
      <c r="E111" s="1067">
        <v>52.920000000000009</v>
      </c>
    </row>
    <row r="112" spans="1:5" x14ac:dyDescent="0.25">
      <c r="A112" s="1067" t="s">
        <v>254</v>
      </c>
      <c r="B112" s="1067" t="s">
        <v>1012</v>
      </c>
      <c r="C112" s="1067" t="s">
        <v>1020</v>
      </c>
      <c r="D112" s="1067" t="s">
        <v>2</v>
      </c>
      <c r="E112" s="1067">
        <v>192.33</v>
      </c>
    </row>
    <row r="113" spans="1:5" x14ac:dyDescent="0.25">
      <c r="A113" s="1067" t="s">
        <v>851</v>
      </c>
      <c r="B113" s="1067" t="s">
        <v>1012</v>
      </c>
      <c r="C113" s="1067" t="s">
        <v>1014</v>
      </c>
      <c r="D113" s="1067" t="s">
        <v>3</v>
      </c>
      <c r="E113" s="1067">
        <v>63.31</v>
      </c>
    </row>
    <row r="114" spans="1:5" x14ac:dyDescent="0.25">
      <c r="A114" s="1067" t="s">
        <v>851</v>
      </c>
      <c r="B114" s="1067" t="s">
        <v>1012</v>
      </c>
      <c r="C114" s="1067" t="s">
        <v>1019</v>
      </c>
      <c r="D114" s="1067" t="s">
        <v>316</v>
      </c>
      <c r="E114" s="1067">
        <v>51</v>
      </c>
    </row>
    <row r="115" spans="1:5" x14ac:dyDescent="0.25">
      <c r="A115" s="1067" t="s">
        <v>851</v>
      </c>
      <c r="B115" s="1067" t="s">
        <v>1012</v>
      </c>
      <c r="C115" s="1067" t="s">
        <v>1022</v>
      </c>
      <c r="D115" s="1067" t="s">
        <v>9</v>
      </c>
      <c r="E115" s="1067">
        <v>2551.73</v>
      </c>
    </row>
    <row r="116" spans="1:5" x14ac:dyDescent="0.25">
      <c r="A116" s="1067" t="s">
        <v>851</v>
      </c>
      <c r="B116" s="1067" t="s">
        <v>1012</v>
      </c>
      <c r="C116" s="1067" t="s">
        <v>1022</v>
      </c>
      <c r="D116" s="1067" t="s">
        <v>315</v>
      </c>
      <c r="E116" s="1067">
        <v>0</v>
      </c>
    </row>
    <row r="117" spans="1:5" x14ac:dyDescent="0.25">
      <c r="A117" s="1067" t="s">
        <v>851</v>
      </c>
      <c r="B117" s="1067" t="s">
        <v>1012</v>
      </c>
      <c r="C117" s="1067" t="s">
        <v>1024</v>
      </c>
      <c r="D117" s="1067" t="s">
        <v>3</v>
      </c>
      <c r="E117" s="1067">
        <v>58.52</v>
      </c>
    </row>
    <row r="118" spans="1:5" x14ac:dyDescent="0.25">
      <c r="A118" s="1067" t="s">
        <v>254</v>
      </c>
      <c r="B118" s="1067" t="s">
        <v>1012</v>
      </c>
      <c r="C118" s="1067" t="s">
        <v>1088</v>
      </c>
      <c r="D118" s="1067" t="s">
        <v>316</v>
      </c>
      <c r="E118" s="1067">
        <v>2</v>
      </c>
    </row>
    <row r="119" spans="1:5" x14ac:dyDescent="0.25">
      <c r="A119" s="1067" t="s">
        <v>254</v>
      </c>
      <c r="B119" s="1067" t="s">
        <v>1012</v>
      </c>
      <c r="C119" s="1067" t="s">
        <v>1017</v>
      </c>
      <c r="D119" s="1067" t="s">
        <v>3</v>
      </c>
      <c r="E119" s="1067">
        <v>76</v>
      </c>
    </row>
    <row r="120" spans="1:5" x14ac:dyDescent="0.25">
      <c r="A120" s="1067" t="s">
        <v>254</v>
      </c>
      <c r="B120" s="1067" t="s">
        <v>1012</v>
      </c>
      <c r="C120" s="1067" t="s">
        <v>1019</v>
      </c>
      <c r="D120" s="1067" t="s">
        <v>3</v>
      </c>
      <c r="E120" s="1067">
        <v>78.709999999999994</v>
      </c>
    </row>
    <row r="121" spans="1:5" x14ac:dyDescent="0.25">
      <c r="A121" s="1067" t="s">
        <v>254</v>
      </c>
      <c r="B121" s="1067" t="s">
        <v>1012</v>
      </c>
      <c r="C121" s="1067" t="s">
        <v>1022</v>
      </c>
      <c r="D121" s="1067" t="s">
        <v>9</v>
      </c>
      <c r="E121" s="1067">
        <v>2583.98</v>
      </c>
    </row>
    <row r="122" spans="1:5" x14ac:dyDescent="0.25">
      <c r="A122" s="1067" t="s">
        <v>851</v>
      </c>
      <c r="B122" s="1067" t="s">
        <v>1012</v>
      </c>
      <c r="C122" s="1067" t="s">
        <v>1014</v>
      </c>
      <c r="D122" s="1067" t="s">
        <v>316</v>
      </c>
      <c r="E122" s="1067">
        <v>2</v>
      </c>
    </row>
    <row r="123" spans="1:5" x14ac:dyDescent="0.25">
      <c r="A123" s="1067" t="s">
        <v>851</v>
      </c>
      <c r="B123" s="1067" t="s">
        <v>1012</v>
      </c>
      <c r="C123" s="1067" t="s">
        <v>1020</v>
      </c>
      <c r="D123" s="1067" t="s">
        <v>316</v>
      </c>
      <c r="E123" s="1067">
        <v>52</v>
      </c>
    </row>
    <row r="124" spans="1:5" x14ac:dyDescent="0.25">
      <c r="A124" s="1067" t="s">
        <v>851</v>
      </c>
      <c r="B124" s="1067" t="s">
        <v>1012</v>
      </c>
      <c r="C124" s="1067" t="s">
        <v>1021</v>
      </c>
      <c r="D124" s="1067" t="s">
        <v>3</v>
      </c>
      <c r="E124" s="1067">
        <v>3</v>
      </c>
    </row>
    <row r="125" spans="1:5" x14ac:dyDescent="0.25">
      <c r="A125" s="1067" t="s">
        <v>851</v>
      </c>
      <c r="B125" s="1067" t="s">
        <v>1012</v>
      </c>
      <c r="C125" s="1067" t="s">
        <v>1023</v>
      </c>
      <c r="D125" s="1067" t="s">
        <v>3</v>
      </c>
      <c r="E125" s="1067">
        <v>1</v>
      </c>
    </row>
    <row r="126" spans="1:5" x14ac:dyDescent="0.25">
      <c r="A126" s="1067" t="s">
        <v>851</v>
      </c>
      <c r="B126" s="1067" t="s">
        <v>1012</v>
      </c>
      <c r="C126" s="1067" t="s">
        <v>1024</v>
      </c>
      <c r="D126" s="1067" t="s">
        <v>316</v>
      </c>
      <c r="E126" s="1067">
        <v>2</v>
      </c>
    </row>
  </sheetData>
  <sheetProtection algorithmName="SHA-512" hashValue="dEunqWmBIuFl4ckEktV8HX3G3Gw6OVPTztOmKeAfUtymUYQ1iTHFbRNiRAw3Kiim6KrX4BCPT1CuB+zSKSuS2A==" saltValue="V4zI8c1DoLcbKJgyPSCzww==" spinCount="100000" sheet="1" scenarios="1" formatCells="0" formatColumns="0" formatRows="0" sort="0" autoFilter="0" pivotTables="0"/>
  <pageMargins left="0.7" right="0.7" top="0.75" bottom="0.75" header="0.3" footer="0.3"/>
  <pageSetup paperSize="9" fitToHeight="5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D88"/>
  <sheetViews>
    <sheetView zoomScale="85" zoomScaleNormal="85" workbookViewId="0">
      <pane ySplit="4" topLeftCell="A5" activePane="bottomLeft" state="frozen"/>
      <selection pane="bottomLeft"/>
    </sheetView>
  </sheetViews>
  <sheetFormatPr defaultRowHeight="15" x14ac:dyDescent="0.25"/>
  <sheetData>
    <row r="4" spans="1:4" x14ac:dyDescent="0.25">
      <c r="A4" s="1066" t="s">
        <v>26</v>
      </c>
      <c r="B4" s="1066" t="s">
        <v>1188</v>
      </c>
      <c r="C4" s="1066" t="s">
        <v>329</v>
      </c>
      <c r="D4" s="1066" t="s">
        <v>1189</v>
      </c>
    </row>
    <row r="5" spans="1:4" x14ac:dyDescent="0.25">
      <c r="A5" s="1067">
        <v>6449</v>
      </c>
      <c r="B5" s="1067" t="s">
        <v>1092</v>
      </c>
      <c r="C5" s="1067" t="s">
        <v>273</v>
      </c>
      <c r="D5" s="1067" t="s">
        <v>1093</v>
      </c>
    </row>
    <row r="6" spans="1:4" x14ac:dyDescent="0.25">
      <c r="A6" s="1067">
        <v>5675</v>
      </c>
      <c r="B6" s="1067" t="s">
        <v>1094</v>
      </c>
      <c r="C6" s="1067" t="s">
        <v>203</v>
      </c>
      <c r="D6" s="1067" t="s">
        <v>1095</v>
      </c>
    </row>
    <row r="7" spans="1:4" x14ac:dyDescent="0.25">
      <c r="A7" s="1067">
        <v>6390</v>
      </c>
      <c r="B7" s="1067" t="s">
        <v>1096</v>
      </c>
      <c r="C7" s="1067" t="s">
        <v>254</v>
      </c>
      <c r="D7" s="1067" t="s">
        <v>1097</v>
      </c>
    </row>
    <row r="8" spans="1:4" x14ac:dyDescent="0.25">
      <c r="A8" s="1067">
        <v>5445</v>
      </c>
      <c r="B8" s="1067" t="s">
        <v>1098</v>
      </c>
      <c r="C8" s="1067" t="s">
        <v>203</v>
      </c>
      <c r="D8" s="1067" t="s">
        <v>1099</v>
      </c>
    </row>
    <row r="9" spans="1:4" x14ac:dyDescent="0.25">
      <c r="A9" s="1067">
        <v>5459</v>
      </c>
      <c r="B9" s="1067" t="s">
        <v>1100</v>
      </c>
      <c r="C9" s="1067" t="s">
        <v>255</v>
      </c>
      <c r="D9" s="1067" t="s">
        <v>1101</v>
      </c>
    </row>
    <row r="10" spans="1:4" x14ac:dyDescent="0.25">
      <c r="A10" s="1067">
        <v>4780</v>
      </c>
      <c r="B10" s="1067" t="s">
        <v>1102</v>
      </c>
      <c r="C10" s="1067" t="s">
        <v>204</v>
      </c>
      <c r="D10" s="1067" t="s">
        <v>1103</v>
      </c>
    </row>
    <row r="11" spans="1:4" x14ac:dyDescent="0.25">
      <c r="A11" s="1067">
        <v>5944</v>
      </c>
      <c r="B11" s="1067" t="s">
        <v>1104</v>
      </c>
      <c r="C11" s="1067" t="s">
        <v>254</v>
      </c>
      <c r="D11" s="1067" t="s">
        <v>1093</v>
      </c>
    </row>
    <row r="12" spans="1:4" x14ac:dyDescent="0.25">
      <c r="A12" s="1067">
        <v>4988</v>
      </c>
      <c r="B12" s="1067" t="s">
        <v>1105</v>
      </c>
      <c r="C12" s="1067" t="s">
        <v>204</v>
      </c>
      <c r="D12" s="1067" t="s">
        <v>1106</v>
      </c>
    </row>
    <row r="13" spans="1:4" x14ac:dyDescent="0.25">
      <c r="A13" s="1067">
        <v>6194</v>
      </c>
      <c r="B13" s="1067" t="s">
        <v>1107</v>
      </c>
      <c r="C13" s="1067" t="s">
        <v>204</v>
      </c>
      <c r="D13" s="1067" t="s">
        <v>1095</v>
      </c>
    </row>
    <row r="14" spans="1:4" x14ac:dyDescent="0.25">
      <c r="A14" s="1067">
        <v>3287</v>
      </c>
      <c r="B14" s="1067" t="s">
        <v>1108</v>
      </c>
      <c r="C14" s="1067" t="s">
        <v>851</v>
      </c>
      <c r="D14" s="1067" t="s">
        <v>1093</v>
      </c>
    </row>
    <row r="15" spans="1:4" x14ac:dyDescent="0.25">
      <c r="A15" s="1067">
        <v>5943</v>
      </c>
      <c r="B15" s="1067" t="s">
        <v>1109</v>
      </c>
      <c r="C15" s="1067" t="s">
        <v>254</v>
      </c>
      <c r="D15" s="1067" t="s">
        <v>1110</v>
      </c>
    </row>
    <row r="16" spans="1:4" x14ac:dyDescent="0.25">
      <c r="A16" s="1067">
        <v>5271</v>
      </c>
      <c r="B16" s="1067" t="s">
        <v>1111</v>
      </c>
      <c r="C16" s="1067" t="s">
        <v>202</v>
      </c>
      <c r="D16" s="1067" t="s">
        <v>1112</v>
      </c>
    </row>
    <row r="17" spans="1:4" x14ac:dyDescent="0.25">
      <c r="A17" s="1067">
        <v>6336</v>
      </c>
      <c r="B17" s="1067" t="s">
        <v>1113</v>
      </c>
      <c r="C17" s="1067" t="s">
        <v>202</v>
      </c>
      <c r="D17" s="1067" t="s">
        <v>1097</v>
      </c>
    </row>
    <row r="18" spans="1:4" x14ac:dyDescent="0.25">
      <c r="A18" s="1067">
        <v>5351</v>
      </c>
      <c r="B18" s="1067" t="s">
        <v>1114</v>
      </c>
      <c r="C18" s="1067" t="s">
        <v>254</v>
      </c>
      <c r="D18" s="1067" t="s">
        <v>1106</v>
      </c>
    </row>
    <row r="19" spans="1:4" x14ac:dyDescent="0.25">
      <c r="A19" s="1067">
        <v>4896</v>
      </c>
      <c r="B19" s="1067" t="s">
        <v>1115</v>
      </c>
      <c r="C19" s="1067" t="s">
        <v>255</v>
      </c>
      <c r="D19" s="1067" t="s">
        <v>1116</v>
      </c>
    </row>
    <row r="20" spans="1:4" x14ac:dyDescent="0.25">
      <c r="A20" s="1067">
        <v>5986</v>
      </c>
      <c r="B20" s="1067" t="s">
        <v>1117</v>
      </c>
      <c r="C20" s="1067" t="s">
        <v>851</v>
      </c>
      <c r="D20" s="1067" t="s">
        <v>1116</v>
      </c>
    </row>
    <row r="21" spans="1:4" x14ac:dyDescent="0.25">
      <c r="A21" s="1067">
        <v>6544</v>
      </c>
      <c r="B21" s="1067" t="s">
        <v>1118</v>
      </c>
      <c r="C21" s="1067" t="s">
        <v>204</v>
      </c>
      <c r="D21" s="1067" t="s">
        <v>1110</v>
      </c>
    </row>
    <row r="22" spans="1:4" x14ac:dyDescent="0.25">
      <c r="A22" s="1067">
        <v>6075</v>
      </c>
      <c r="B22" s="1067" t="s">
        <v>1119</v>
      </c>
      <c r="C22" s="1067" t="s">
        <v>202</v>
      </c>
      <c r="D22" s="1067" t="s">
        <v>1110</v>
      </c>
    </row>
    <row r="23" spans="1:4" x14ac:dyDescent="0.25">
      <c r="A23" s="1067">
        <v>5978</v>
      </c>
      <c r="B23" s="1067" t="s">
        <v>1120</v>
      </c>
      <c r="C23" s="1067" t="s">
        <v>273</v>
      </c>
      <c r="D23" s="1067" t="s">
        <v>1112</v>
      </c>
    </row>
    <row r="24" spans="1:4" x14ac:dyDescent="0.25">
      <c r="A24" s="1067">
        <v>6261</v>
      </c>
      <c r="B24" s="1067" t="s">
        <v>1121</v>
      </c>
      <c r="C24" s="1067" t="s">
        <v>254</v>
      </c>
      <c r="D24" s="1067" t="s">
        <v>1099</v>
      </c>
    </row>
    <row r="25" spans="1:4" x14ac:dyDescent="0.25">
      <c r="A25" s="1067">
        <v>4968</v>
      </c>
      <c r="B25" s="1067" t="s">
        <v>1122</v>
      </c>
      <c r="C25" s="1067" t="s">
        <v>851</v>
      </c>
      <c r="D25" s="1067" t="s">
        <v>1103</v>
      </c>
    </row>
    <row r="26" spans="1:4" x14ac:dyDescent="0.25">
      <c r="A26" s="1067">
        <v>6172</v>
      </c>
      <c r="B26" s="1067" t="s">
        <v>1123</v>
      </c>
      <c r="C26" s="1067" t="s">
        <v>202</v>
      </c>
      <c r="D26" s="1067" t="s">
        <v>1095</v>
      </c>
    </row>
    <row r="27" spans="1:4" x14ac:dyDescent="0.25">
      <c r="A27" s="1067">
        <v>4517</v>
      </c>
      <c r="B27" s="1067" t="s">
        <v>1124</v>
      </c>
      <c r="C27" s="1067" t="s">
        <v>203</v>
      </c>
      <c r="D27" s="1067" t="s">
        <v>1103</v>
      </c>
    </row>
    <row r="28" spans="1:4" x14ac:dyDescent="0.25">
      <c r="A28" s="1067">
        <v>5637</v>
      </c>
      <c r="B28" s="1067" t="s">
        <v>1125</v>
      </c>
      <c r="C28" s="1067" t="s">
        <v>203</v>
      </c>
      <c r="D28" s="1067" t="s">
        <v>1097</v>
      </c>
    </row>
    <row r="29" spans="1:4" x14ac:dyDescent="0.25">
      <c r="A29" s="1067">
        <v>5603</v>
      </c>
      <c r="B29" s="1067" t="s">
        <v>1126</v>
      </c>
      <c r="C29" s="1067" t="s">
        <v>203</v>
      </c>
      <c r="D29" s="1067" t="s">
        <v>1101</v>
      </c>
    </row>
    <row r="30" spans="1:4" x14ac:dyDescent="0.25">
      <c r="A30" s="1067">
        <v>7061</v>
      </c>
      <c r="B30" s="1067" t="s">
        <v>1127</v>
      </c>
      <c r="C30" s="1067" t="s">
        <v>204</v>
      </c>
      <c r="D30" s="1067" t="s">
        <v>1128</v>
      </c>
    </row>
    <row r="31" spans="1:4" x14ac:dyDescent="0.25">
      <c r="A31" s="1067">
        <v>6306</v>
      </c>
      <c r="B31" s="1067" t="s">
        <v>1129</v>
      </c>
      <c r="C31" s="1067" t="s">
        <v>255</v>
      </c>
      <c r="D31" s="1067" t="s">
        <v>1130</v>
      </c>
    </row>
    <row r="32" spans="1:4" x14ac:dyDescent="0.25">
      <c r="A32" s="1067">
        <v>6826</v>
      </c>
      <c r="B32" s="1067" t="s">
        <v>1131</v>
      </c>
      <c r="C32" s="1067" t="s">
        <v>254</v>
      </c>
      <c r="D32" s="1067" t="s">
        <v>1095</v>
      </c>
    </row>
    <row r="33" spans="1:4" x14ac:dyDescent="0.25">
      <c r="A33" s="1067">
        <v>5864</v>
      </c>
      <c r="B33" s="1067" t="s">
        <v>1132</v>
      </c>
      <c r="C33" s="1067" t="s">
        <v>273</v>
      </c>
      <c r="D33" s="1067" t="s">
        <v>1101</v>
      </c>
    </row>
    <row r="34" spans="1:4" x14ac:dyDescent="0.25">
      <c r="A34" s="1067">
        <v>5535</v>
      </c>
      <c r="B34" s="1067" t="s">
        <v>1133</v>
      </c>
      <c r="C34" s="1067" t="s">
        <v>204</v>
      </c>
      <c r="D34" s="1067" t="s">
        <v>1130</v>
      </c>
    </row>
    <row r="35" spans="1:4" x14ac:dyDescent="0.25">
      <c r="A35" s="1067">
        <v>5811</v>
      </c>
      <c r="B35" s="1067" t="s">
        <v>1134</v>
      </c>
      <c r="C35" s="1067" t="s">
        <v>273</v>
      </c>
      <c r="D35" s="1067" t="s">
        <v>1106</v>
      </c>
    </row>
    <row r="36" spans="1:4" x14ac:dyDescent="0.25">
      <c r="A36" s="1067">
        <v>5556</v>
      </c>
      <c r="B36" s="1067" t="s">
        <v>1135</v>
      </c>
      <c r="C36" s="1067" t="s">
        <v>203</v>
      </c>
      <c r="D36" s="1067" t="s">
        <v>1116</v>
      </c>
    </row>
    <row r="37" spans="1:4" x14ac:dyDescent="0.25">
      <c r="A37" s="1067">
        <v>6085</v>
      </c>
      <c r="B37" s="1067" t="s">
        <v>1136</v>
      </c>
      <c r="C37" s="1067" t="s">
        <v>851</v>
      </c>
      <c r="D37" s="1067" t="s">
        <v>1097</v>
      </c>
    </row>
    <row r="38" spans="1:4" x14ac:dyDescent="0.25">
      <c r="A38" s="1067">
        <v>5413</v>
      </c>
      <c r="B38" s="1067" t="s">
        <v>1137</v>
      </c>
      <c r="C38" s="1067" t="s">
        <v>203</v>
      </c>
      <c r="D38" s="1067" t="s">
        <v>1110</v>
      </c>
    </row>
    <row r="39" spans="1:4" x14ac:dyDescent="0.25">
      <c r="A39" s="1067">
        <v>5764</v>
      </c>
      <c r="B39" s="1067" t="s">
        <v>1138</v>
      </c>
      <c r="C39" s="1067" t="s">
        <v>254</v>
      </c>
      <c r="D39" s="1067" t="s">
        <v>1112</v>
      </c>
    </row>
    <row r="40" spans="1:4" x14ac:dyDescent="0.25">
      <c r="A40" s="1067">
        <v>5003</v>
      </c>
      <c r="B40" s="1067" t="s">
        <v>1139</v>
      </c>
      <c r="C40" s="1067" t="s">
        <v>254</v>
      </c>
      <c r="D40" s="1067" t="s">
        <v>1103</v>
      </c>
    </row>
    <row r="41" spans="1:4" x14ac:dyDescent="0.25">
      <c r="A41" s="1067">
        <v>6070</v>
      </c>
      <c r="B41" s="1067" t="s">
        <v>1140</v>
      </c>
      <c r="C41" s="1067" t="s">
        <v>273</v>
      </c>
      <c r="D41" s="1067" t="s">
        <v>1110</v>
      </c>
    </row>
    <row r="42" spans="1:4" x14ac:dyDescent="0.25">
      <c r="A42" s="1067">
        <v>5728</v>
      </c>
      <c r="B42" s="1067" t="s">
        <v>1141</v>
      </c>
      <c r="C42" s="1067" t="s">
        <v>255</v>
      </c>
      <c r="D42" s="1067" t="s">
        <v>1099</v>
      </c>
    </row>
    <row r="43" spans="1:4" x14ac:dyDescent="0.25">
      <c r="A43" s="1067">
        <v>5613</v>
      </c>
      <c r="B43" s="1067" t="s">
        <v>1142</v>
      </c>
      <c r="C43" s="1067" t="s">
        <v>254</v>
      </c>
      <c r="D43" s="1067" t="s">
        <v>1128</v>
      </c>
    </row>
    <row r="44" spans="1:4" x14ac:dyDescent="0.25">
      <c r="A44" s="1067">
        <v>5479</v>
      </c>
      <c r="B44" s="1067" t="s">
        <v>1143</v>
      </c>
      <c r="C44" s="1067" t="s">
        <v>255</v>
      </c>
      <c r="D44" s="1067" t="s">
        <v>1112</v>
      </c>
    </row>
    <row r="45" spans="1:4" x14ac:dyDescent="0.25">
      <c r="A45" s="1067">
        <v>6393</v>
      </c>
      <c r="B45" s="1067" t="s">
        <v>1144</v>
      </c>
      <c r="C45" s="1067" t="s">
        <v>255</v>
      </c>
      <c r="D45" s="1067" t="s">
        <v>1095</v>
      </c>
    </row>
    <row r="46" spans="1:4" x14ac:dyDescent="0.25">
      <c r="A46" s="1067">
        <v>5437</v>
      </c>
      <c r="B46" s="1067" t="s">
        <v>1145</v>
      </c>
      <c r="C46" s="1067" t="s">
        <v>203</v>
      </c>
      <c r="D46" s="1067" t="s">
        <v>1106</v>
      </c>
    </row>
    <row r="47" spans="1:4" x14ac:dyDescent="0.25">
      <c r="A47" s="1067">
        <v>5860</v>
      </c>
      <c r="B47" s="1067" t="s">
        <v>1146</v>
      </c>
      <c r="C47" s="1067" t="s">
        <v>273</v>
      </c>
      <c r="D47" s="1067" t="s">
        <v>1116</v>
      </c>
    </row>
    <row r="48" spans="1:4" x14ac:dyDescent="0.25">
      <c r="A48" s="1067">
        <v>6203</v>
      </c>
      <c r="B48" s="1067" t="s">
        <v>1147</v>
      </c>
      <c r="C48" s="1067" t="s">
        <v>202</v>
      </c>
      <c r="D48" s="1067" t="s">
        <v>1099</v>
      </c>
    </row>
    <row r="49" spans="1:4" x14ac:dyDescent="0.25">
      <c r="A49" s="1067">
        <v>6015</v>
      </c>
      <c r="B49" s="1067" t="s">
        <v>1148</v>
      </c>
      <c r="C49" s="1067" t="s">
        <v>851</v>
      </c>
      <c r="D49" s="1067" t="s">
        <v>1101</v>
      </c>
    </row>
    <row r="50" spans="1:4" x14ac:dyDescent="0.25">
      <c r="A50" s="1067">
        <v>6090</v>
      </c>
      <c r="B50" s="1067" t="s">
        <v>1149</v>
      </c>
      <c r="C50" s="1067" t="s">
        <v>204</v>
      </c>
      <c r="D50" s="1067" t="s">
        <v>1099</v>
      </c>
    </row>
    <row r="51" spans="1:4" x14ac:dyDescent="0.25">
      <c r="A51" s="1067">
        <v>6819</v>
      </c>
      <c r="B51" s="1067" t="s">
        <v>1150</v>
      </c>
      <c r="C51" s="1067" t="s">
        <v>204</v>
      </c>
      <c r="D51" s="1067" t="s">
        <v>1097</v>
      </c>
    </row>
    <row r="52" spans="1:4" x14ac:dyDescent="0.25">
      <c r="A52" s="1067">
        <v>6064</v>
      </c>
      <c r="B52" s="1067" t="s">
        <v>1151</v>
      </c>
      <c r="C52" s="1067" t="s">
        <v>851</v>
      </c>
      <c r="D52" s="1067" t="s">
        <v>1128</v>
      </c>
    </row>
    <row r="53" spans="1:4" x14ac:dyDescent="0.25">
      <c r="A53" s="1067">
        <v>5480</v>
      </c>
      <c r="B53" s="1067" t="s">
        <v>1152</v>
      </c>
      <c r="C53" s="1067" t="s">
        <v>202</v>
      </c>
      <c r="D53" s="1067" t="s">
        <v>1116</v>
      </c>
    </row>
    <row r="54" spans="1:4" x14ac:dyDescent="0.25">
      <c r="A54" s="1067">
        <v>5659</v>
      </c>
      <c r="B54" s="1067" t="s">
        <v>1153</v>
      </c>
      <c r="C54" s="1067" t="s">
        <v>273</v>
      </c>
      <c r="D54" s="1067" t="s">
        <v>1130</v>
      </c>
    </row>
    <row r="55" spans="1:4" x14ac:dyDescent="0.25">
      <c r="A55" s="1067">
        <v>5966</v>
      </c>
      <c r="B55" s="1067" t="s">
        <v>1154</v>
      </c>
      <c r="C55" s="1067" t="s">
        <v>204</v>
      </c>
      <c r="D55" s="1067" t="s">
        <v>1093</v>
      </c>
    </row>
    <row r="56" spans="1:4" x14ac:dyDescent="0.25">
      <c r="A56" s="1067">
        <v>5769</v>
      </c>
      <c r="B56" s="1067" t="s">
        <v>1155</v>
      </c>
      <c r="C56" s="1067" t="s">
        <v>202</v>
      </c>
      <c r="D56" s="1067" t="s">
        <v>1093</v>
      </c>
    </row>
    <row r="57" spans="1:4" x14ac:dyDescent="0.25">
      <c r="A57" s="1067">
        <v>6041</v>
      </c>
      <c r="B57" s="1067" t="s">
        <v>1156</v>
      </c>
      <c r="C57" s="1067" t="s">
        <v>255</v>
      </c>
      <c r="D57" s="1067" t="s">
        <v>1093</v>
      </c>
    </row>
    <row r="58" spans="1:4" x14ac:dyDescent="0.25">
      <c r="A58" s="1067">
        <v>5565</v>
      </c>
      <c r="B58" s="1067" t="s">
        <v>1157</v>
      </c>
      <c r="C58" s="1067" t="s">
        <v>203</v>
      </c>
      <c r="D58" s="1067" t="s">
        <v>1130</v>
      </c>
    </row>
    <row r="59" spans="1:4" x14ac:dyDescent="0.25">
      <c r="A59" s="1067">
        <v>6168</v>
      </c>
      <c r="B59" s="1067" t="s">
        <v>1158</v>
      </c>
      <c r="C59" s="1067" t="s">
        <v>255</v>
      </c>
      <c r="D59" s="1067" t="s">
        <v>1110</v>
      </c>
    </row>
    <row r="60" spans="1:4" x14ac:dyDescent="0.25">
      <c r="A60" s="1067">
        <v>4146</v>
      </c>
      <c r="B60" s="1067" t="s">
        <v>1159</v>
      </c>
      <c r="C60" s="1067" t="s">
        <v>204</v>
      </c>
      <c r="D60" s="1067" t="s">
        <v>1116</v>
      </c>
    </row>
    <row r="61" spans="1:4" x14ac:dyDescent="0.25">
      <c r="A61" s="1067">
        <v>4664</v>
      </c>
      <c r="B61" s="1067" t="s">
        <v>1160</v>
      </c>
      <c r="C61" s="1067" t="s">
        <v>202</v>
      </c>
      <c r="D61" s="1067" t="s">
        <v>1103</v>
      </c>
    </row>
    <row r="62" spans="1:4" x14ac:dyDescent="0.25">
      <c r="A62" s="1067">
        <v>6504</v>
      </c>
      <c r="B62" s="1067" t="s">
        <v>1161</v>
      </c>
      <c r="C62" s="1067" t="s">
        <v>851</v>
      </c>
      <c r="D62" s="1067" t="s">
        <v>1112</v>
      </c>
    </row>
    <row r="63" spans="1:4" x14ac:dyDescent="0.25">
      <c r="A63" s="1067">
        <v>6414</v>
      </c>
      <c r="B63" s="1067" t="s">
        <v>1162</v>
      </c>
      <c r="C63" s="1067" t="s">
        <v>255</v>
      </c>
      <c r="D63" s="1067" t="s">
        <v>1106</v>
      </c>
    </row>
    <row r="64" spans="1:4" x14ac:dyDescent="0.25">
      <c r="A64" s="1067">
        <v>4956</v>
      </c>
      <c r="B64" s="1067" t="s">
        <v>1163</v>
      </c>
      <c r="C64" s="1067" t="s">
        <v>273</v>
      </c>
      <c r="D64" s="1067" t="s">
        <v>1103</v>
      </c>
    </row>
    <row r="65" spans="1:4" x14ac:dyDescent="0.25">
      <c r="A65" s="1067">
        <v>6019</v>
      </c>
      <c r="B65" s="1067" t="s">
        <v>1164</v>
      </c>
      <c r="C65" s="1067" t="s">
        <v>202</v>
      </c>
      <c r="D65" s="1067" t="s">
        <v>1128</v>
      </c>
    </row>
    <row r="66" spans="1:4" x14ac:dyDescent="0.25">
      <c r="A66" s="1067">
        <v>6250</v>
      </c>
      <c r="B66" s="1067" t="s">
        <v>1165</v>
      </c>
      <c r="C66" s="1067" t="s">
        <v>851</v>
      </c>
      <c r="D66" s="1067" t="s">
        <v>1130</v>
      </c>
    </row>
    <row r="67" spans="1:4" x14ac:dyDescent="0.25">
      <c r="A67" s="1067">
        <v>5512</v>
      </c>
      <c r="B67" s="1067" t="s">
        <v>1166</v>
      </c>
      <c r="C67" s="1067" t="s">
        <v>273</v>
      </c>
      <c r="D67" s="1067" t="s">
        <v>1099</v>
      </c>
    </row>
    <row r="68" spans="1:4" x14ac:dyDescent="0.25">
      <c r="A68" s="1067">
        <v>5419</v>
      </c>
      <c r="B68" s="1067" t="s">
        <v>1167</v>
      </c>
      <c r="C68" s="1067" t="s">
        <v>203</v>
      </c>
      <c r="D68" s="1067" t="s">
        <v>1093</v>
      </c>
    </row>
    <row r="69" spans="1:4" x14ac:dyDescent="0.25">
      <c r="A69" s="1067">
        <v>5715</v>
      </c>
      <c r="B69" s="1067" t="s">
        <v>1168</v>
      </c>
      <c r="C69" s="1067" t="s">
        <v>851</v>
      </c>
      <c r="D69" s="1067" t="s">
        <v>1099</v>
      </c>
    </row>
    <row r="70" spans="1:4" x14ac:dyDescent="0.25">
      <c r="A70" s="1067">
        <v>6338</v>
      </c>
      <c r="B70" s="1067" t="s">
        <v>1169</v>
      </c>
      <c r="C70" s="1067" t="s">
        <v>273</v>
      </c>
      <c r="D70" s="1067" t="s">
        <v>1095</v>
      </c>
    </row>
    <row r="71" spans="1:4" x14ac:dyDescent="0.25">
      <c r="A71" s="1067">
        <v>6589</v>
      </c>
      <c r="B71" s="1067" t="s">
        <v>1170</v>
      </c>
      <c r="C71" s="1067" t="s">
        <v>273</v>
      </c>
      <c r="D71" s="1067" t="s">
        <v>1097</v>
      </c>
    </row>
    <row r="72" spans="1:4" x14ac:dyDescent="0.25">
      <c r="A72" s="1067">
        <v>5641</v>
      </c>
      <c r="B72" s="1067" t="s">
        <v>1171</v>
      </c>
      <c r="C72" s="1067" t="s">
        <v>203</v>
      </c>
      <c r="D72" s="1067" t="s">
        <v>1112</v>
      </c>
    </row>
    <row r="73" spans="1:4" x14ac:dyDescent="0.25">
      <c r="A73" s="1067">
        <v>7417</v>
      </c>
      <c r="B73" s="1067" t="s">
        <v>1172</v>
      </c>
      <c r="C73" s="1067" t="s">
        <v>202</v>
      </c>
      <c r="D73" s="1067" t="s">
        <v>1106</v>
      </c>
    </row>
    <row r="74" spans="1:4" x14ac:dyDescent="0.25">
      <c r="A74" s="1067">
        <v>6100</v>
      </c>
      <c r="B74" s="1067" t="s">
        <v>1173</v>
      </c>
      <c r="C74" s="1067" t="s">
        <v>255</v>
      </c>
      <c r="D74" s="1067" t="s">
        <v>1128</v>
      </c>
    </row>
    <row r="75" spans="1:4" x14ac:dyDescent="0.25">
      <c r="A75" s="1067">
        <v>6332</v>
      </c>
      <c r="B75" s="1067" t="s">
        <v>1174</v>
      </c>
      <c r="C75" s="1067" t="s">
        <v>851</v>
      </c>
      <c r="D75" s="1067" t="s">
        <v>1095</v>
      </c>
    </row>
    <row r="76" spans="1:4" x14ac:dyDescent="0.25">
      <c r="A76" s="1067">
        <v>6095</v>
      </c>
      <c r="B76" s="1067" t="s">
        <v>1175</v>
      </c>
      <c r="C76" s="1067" t="s">
        <v>202</v>
      </c>
      <c r="D76" s="1067" t="s">
        <v>1101</v>
      </c>
    </row>
    <row r="77" spans="1:4" x14ac:dyDescent="0.25">
      <c r="A77" s="1067">
        <v>5411</v>
      </c>
      <c r="B77" s="1067" t="s">
        <v>1176</v>
      </c>
      <c r="C77" s="1067" t="s">
        <v>254</v>
      </c>
      <c r="D77" s="1067" t="s">
        <v>1130</v>
      </c>
    </row>
    <row r="78" spans="1:4" x14ac:dyDescent="0.25">
      <c r="A78" s="1067">
        <v>5637</v>
      </c>
      <c r="B78" s="1067" t="s">
        <v>1177</v>
      </c>
      <c r="C78" s="1067" t="s">
        <v>254</v>
      </c>
      <c r="D78" s="1067" t="s">
        <v>1116</v>
      </c>
    </row>
    <row r="79" spans="1:4" x14ac:dyDescent="0.25">
      <c r="A79" s="1067">
        <v>5059</v>
      </c>
      <c r="B79" s="1067" t="s">
        <v>1178</v>
      </c>
      <c r="C79" s="1067" t="s">
        <v>254</v>
      </c>
      <c r="D79" s="1067" t="s">
        <v>1101</v>
      </c>
    </row>
    <row r="80" spans="1:4" x14ac:dyDescent="0.25">
      <c r="A80" s="1067">
        <v>5964</v>
      </c>
      <c r="B80" s="1067" t="s">
        <v>1179</v>
      </c>
      <c r="C80" s="1067" t="s">
        <v>851</v>
      </c>
      <c r="D80" s="1067" t="s">
        <v>1106</v>
      </c>
    </row>
    <row r="81" spans="1:4" x14ac:dyDescent="0.25">
      <c r="A81" s="1067">
        <v>5930</v>
      </c>
      <c r="B81" s="1067" t="s">
        <v>1180</v>
      </c>
      <c r="C81" s="1067" t="s">
        <v>255</v>
      </c>
      <c r="D81" s="1067" t="s">
        <v>1097</v>
      </c>
    </row>
    <row r="82" spans="1:4" x14ac:dyDescent="0.25">
      <c r="A82" s="1067">
        <v>5736</v>
      </c>
      <c r="B82" s="1067" t="s">
        <v>1181</v>
      </c>
      <c r="C82" s="1067" t="s">
        <v>204</v>
      </c>
      <c r="D82" s="1067" t="s">
        <v>1112</v>
      </c>
    </row>
    <row r="83" spans="1:4" x14ac:dyDescent="0.25">
      <c r="A83" s="1067">
        <v>5715</v>
      </c>
      <c r="B83" s="1067" t="s">
        <v>1182</v>
      </c>
      <c r="C83" s="1067" t="s">
        <v>273</v>
      </c>
      <c r="D83" s="1067" t="s">
        <v>1128</v>
      </c>
    </row>
    <row r="84" spans="1:4" x14ac:dyDescent="0.25">
      <c r="A84" s="1067">
        <v>6057</v>
      </c>
      <c r="B84" s="1067" t="s">
        <v>1183</v>
      </c>
      <c r="C84" s="1067" t="s">
        <v>851</v>
      </c>
      <c r="D84" s="1067" t="s">
        <v>1110</v>
      </c>
    </row>
    <row r="85" spans="1:4" x14ac:dyDescent="0.25">
      <c r="A85" s="1067">
        <v>4917</v>
      </c>
      <c r="B85" s="1067" t="s">
        <v>1184</v>
      </c>
      <c r="C85" s="1067" t="s">
        <v>255</v>
      </c>
      <c r="D85" s="1067" t="s">
        <v>1103</v>
      </c>
    </row>
    <row r="86" spans="1:4" x14ac:dyDescent="0.25">
      <c r="A86" s="1067">
        <v>7189</v>
      </c>
      <c r="B86" s="1067" t="s">
        <v>1185</v>
      </c>
      <c r="C86" s="1067" t="s">
        <v>204</v>
      </c>
      <c r="D86" s="1067" t="s">
        <v>1101</v>
      </c>
    </row>
    <row r="87" spans="1:4" x14ac:dyDescent="0.25">
      <c r="A87" s="1067">
        <v>5807</v>
      </c>
      <c r="B87" s="1067" t="s">
        <v>1186</v>
      </c>
      <c r="C87" s="1067" t="s">
        <v>203</v>
      </c>
      <c r="D87" s="1067" t="s">
        <v>1128</v>
      </c>
    </row>
    <row r="88" spans="1:4" x14ac:dyDescent="0.25">
      <c r="A88" s="1067">
        <v>6216</v>
      </c>
      <c r="B88" s="1067" t="s">
        <v>1187</v>
      </c>
      <c r="C88" s="1067" t="s">
        <v>202</v>
      </c>
      <c r="D88" s="1067" t="s">
        <v>1130</v>
      </c>
    </row>
  </sheetData>
  <sheetProtection algorithmName="SHA-512" hashValue="kzzR8xm8b6XspgW5sTzSiWQoIrYvrV+Skaa+a4RxUQIwSzCfTiKwXacrroUXzflHAc8PrFhgMRFWh+rCri/rlA==" saltValue="J5Fn9age1kR7F13B8EhsLA==" spinCount="100000" sheet="1" scenarios="1" formatCells="0" formatColumns="0" formatRows="0" sort="0" autoFilter="0" pivotTables="0"/>
  <pageMargins left="0.7" right="0.7" top="0.75" bottom="0.75" header="0.3" footer="0.3"/>
  <pageSetup paperSize="9" fitToHeight="5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4"/>
  <sheetViews>
    <sheetView zoomScale="85" zoomScaleNormal="85" workbookViewId="0">
      <pane ySplit="4" topLeftCell="A365" activePane="bottomLeft" state="frozen"/>
      <selection pane="bottomLeft"/>
    </sheetView>
  </sheetViews>
  <sheetFormatPr defaultRowHeight="15" x14ac:dyDescent="0.25"/>
  <sheetData>
    <row r="1" spans="1:11" ht="15.75" x14ac:dyDescent="0.25">
      <c r="A1" s="981" t="s">
        <v>1190</v>
      </c>
    </row>
    <row r="2" spans="1:11" x14ac:dyDescent="0.25">
      <c r="A2" s="1139">
        <v>44071</v>
      </c>
      <c r="B2" s="1140"/>
    </row>
    <row r="4" spans="1:11" x14ac:dyDescent="0.25">
      <c r="A4" s="1066" t="s">
        <v>270</v>
      </c>
      <c r="B4" s="1066" t="s">
        <v>1082</v>
      </c>
      <c r="C4" s="1066" t="s">
        <v>257</v>
      </c>
      <c r="D4" s="1066" t="s">
        <v>1083</v>
      </c>
      <c r="E4" s="1066" t="s">
        <v>26</v>
      </c>
      <c r="F4" s="1066" t="s">
        <v>2</v>
      </c>
      <c r="G4" s="1066" t="s">
        <v>9</v>
      </c>
      <c r="H4" s="1066" t="s">
        <v>852</v>
      </c>
      <c r="I4" s="1066" t="s">
        <v>3</v>
      </c>
      <c r="J4" s="1066" t="s">
        <v>315</v>
      </c>
      <c r="K4" s="1066" t="s">
        <v>316</v>
      </c>
    </row>
    <row r="5" spans="1:11" x14ac:dyDescent="0.25">
      <c r="A5" s="1067" t="s">
        <v>204</v>
      </c>
      <c r="B5" s="1067" t="s">
        <v>247</v>
      </c>
      <c r="C5" s="1067" t="s">
        <v>282</v>
      </c>
      <c r="D5" s="1067" t="s">
        <v>35</v>
      </c>
      <c r="E5" s="1067">
        <v>64</v>
      </c>
      <c r="F5" s="1067"/>
      <c r="G5" s="1067">
        <v>21</v>
      </c>
      <c r="H5" s="1067"/>
      <c r="I5" s="1067"/>
      <c r="J5" s="1067">
        <v>0</v>
      </c>
      <c r="K5" s="1067">
        <v>43</v>
      </c>
    </row>
    <row r="6" spans="1:11" x14ac:dyDescent="0.25">
      <c r="A6" s="1067" t="s">
        <v>204</v>
      </c>
      <c r="B6" s="1067" t="s">
        <v>247</v>
      </c>
      <c r="C6" s="1067" t="s">
        <v>283</v>
      </c>
      <c r="D6" s="1067" t="s">
        <v>36</v>
      </c>
      <c r="E6" s="1067">
        <v>271</v>
      </c>
      <c r="F6" s="1067"/>
      <c r="G6" s="1067">
        <v>198</v>
      </c>
      <c r="H6" s="1067"/>
      <c r="I6" s="1067"/>
      <c r="J6" s="1067">
        <v>4</v>
      </c>
      <c r="K6" s="1067">
        <v>69</v>
      </c>
    </row>
    <row r="7" spans="1:11" x14ac:dyDescent="0.25">
      <c r="A7" s="1067" t="s">
        <v>204</v>
      </c>
      <c r="B7" s="1067" t="s">
        <v>247</v>
      </c>
      <c r="C7" s="1067" t="s">
        <v>284</v>
      </c>
      <c r="D7" s="1067" t="s">
        <v>38</v>
      </c>
      <c r="E7" s="1067">
        <v>136</v>
      </c>
      <c r="F7" s="1067"/>
      <c r="G7" s="1067">
        <v>77</v>
      </c>
      <c r="H7" s="1067"/>
      <c r="I7" s="1067"/>
      <c r="J7" s="1067">
        <v>0</v>
      </c>
      <c r="K7" s="1067">
        <v>59</v>
      </c>
    </row>
    <row r="8" spans="1:11" x14ac:dyDescent="0.25">
      <c r="A8" s="1067" t="s">
        <v>204</v>
      </c>
      <c r="B8" s="1067" t="s">
        <v>247</v>
      </c>
      <c r="C8" s="1067" t="s">
        <v>285</v>
      </c>
      <c r="D8" s="1067" t="s">
        <v>40</v>
      </c>
      <c r="E8" s="1067">
        <v>81</v>
      </c>
      <c r="F8" s="1067"/>
      <c r="G8" s="1067">
        <v>52</v>
      </c>
      <c r="H8" s="1067"/>
      <c r="I8" s="1067"/>
      <c r="J8" s="1067">
        <v>0</v>
      </c>
      <c r="K8" s="1067">
        <v>29</v>
      </c>
    </row>
    <row r="9" spans="1:11" x14ac:dyDescent="0.25">
      <c r="A9" s="1067" t="s">
        <v>204</v>
      </c>
      <c r="B9" s="1067" t="s">
        <v>247</v>
      </c>
      <c r="C9" s="1067" t="s">
        <v>286</v>
      </c>
      <c r="D9" s="1067" t="s">
        <v>41</v>
      </c>
      <c r="E9" s="1067">
        <v>59</v>
      </c>
      <c r="F9" s="1067"/>
      <c r="G9" s="1067">
        <v>0</v>
      </c>
      <c r="H9" s="1067"/>
      <c r="I9" s="1067"/>
      <c r="J9" s="1067">
        <v>0</v>
      </c>
      <c r="K9" s="1067">
        <v>59</v>
      </c>
    </row>
    <row r="10" spans="1:11" x14ac:dyDescent="0.25">
      <c r="A10" s="1067" t="s">
        <v>204</v>
      </c>
      <c r="B10" s="1067" t="s">
        <v>247</v>
      </c>
      <c r="C10" s="1067" t="s">
        <v>287</v>
      </c>
      <c r="D10" s="1067" t="s">
        <v>48</v>
      </c>
      <c r="E10" s="1067">
        <v>132</v>
      </c>
      <c r="F10" s="1067"/>
      <c r="G10" s="1067">
        <v>132</v>
      </c>
      <c r="H10" s="1067"/>
      <c r="I10" s="1067"/>
      <c r="J10" s="1067">
        <v>0</v>
      </c>
      <c r="K10" s="1067">
        <v>0</v>
      </c>
    </row>
    <row r="11" spans="1:11" x14ac:dyDescent="0.25">
      <c r="A11" s="1067" t="s">
        <v>204</v>
      </c>
      <c r="B11" s="1067" t="s">
        <v>247</v>
      </c>
      <c r="C11" s="1067" t="s">
        <v>288</v>
      </c>
      <c r="D11" s="1067" t="s">
        <v>42</v>
      </c>
      <c r="E11" s="1067">
        <v>161</v>
      </c>
      <c r="F11" s="1067"/>
      <c r="G11" s="1067">
        <v>65</v>
      </c>
      <c r="H11" s="1067"/>
      <c r="I11" s="1067"/>
      <c r="J11" s="1067">
        <v>0</v>
      </c>
      <c r="K11" s="1067">
        <v>96</v>
      </c>
    </row>
    <row r="12" spans="1:11" x14ac:dyDescent="0.25">
      <c r="A12" s="1067" t="s">
        <v>204</v>
      </c>
      <c r="B12" s="1067" t="s">
        <v>247</v>
      </c>
      <c r="C12" s="1067" t="s">
        <v>289</v>
      </c>
      <c r="D12" s="1067" t="s">
        <v>44</v>
      </c>
      <c r="E12" s="1067">
        <v>717</v>
      </c>
      <c r="F12" s="1067"/>
      <c r="G12" s="1067">
        <v>564</v>
      </c>
      <c r="H12" s="1067"/>
      <c r="I12" s="1067"/>
      <c r="J12" s="1067">
        <v>72</v>
      </c>
      <c r="K12" s="1067">
        <v>81</v>
      </c>
    </row>
    <row r="13" spans="1:11" x14ac:dyDescent="0.25">
      <c r="A13" s="1067" t="s">
        <v>204</v>
      </c>
      <c r="B13" s="1067" t="s">
        <v>247</v>
      </c>
      <c r="C13" s="1067" t="s">
        <v>290</v>
      </c>
      <c r="D13" s="1067" t="s">
        <v>45</v>
      </c>
      <c r="E13" s="1067">
        <v>120</v>
      </c>
      <c r="F13" s="1067"/>
      <c r="G13" s="1067">
        <v>42</v>
      </c>
      <c r="H13" s="1067"/>
      <c r="I13" s="1067"/>
      <c r="J13" s="1067">
        <v>0</v>
      </c>
      <c r="K13" s="1067">
        <v>78</v>
      </c>
    </row>
    <row r="14" spans="1:11" x14ac:dyDescent="0.25">
      <c r="A14" s="1067" t="s">
        <v>204</v>
      </c>
      <c r="B14" s="1067" t="s">
        <v>247</v>
      </c>
      <c r="C14" s="1067" t="s">
        <v>291</v>
      </c>
      <c r="D14" s="1067" t="s">
        <v>46</v>
      </c>
      <c r="E14" s="1067">
        <v>45</v>
      </c>
      <c r="F14" s="1067"/>
      <c r="G14" s="1067">
        <v>10</v>
      </c>
      <c r="H14" s="1067"/>
      <c r="I14" s="1067"/>
      <c r="J14" s="1067">
        <v>0</v>
      </c>
      <c r="K14" s="1067">
        <v>35</v>
      </c>
    </row>
    <row r="15" spans="1:11" x14ac:dyDescent="0.25">
      <c r="A15" s="1067" t="s">
        <v>204</v>
      </c>
      <c r="B15" s="1067" t="s">
        <v>247</v>
      </c>
      <c r="C15" s="1067" t="s">
        <v>292</v>
      </c>
      <c r="D15" s="1067" t="s">
        <v>47</v>
      </c>
      <c r="E15" s="1067">
        <v>156</v>
      </c>
      <c r="F15" s="1067"/>
      <c r="G15" s="1067">
        <v>104</v>
      </c>
      <c r="H15" s="1067"/>
      <c r="I15" s="1067"/>
      <c r="J15" s="1067">
        <v>32</v>
      </c>
      <c r="K15" s="1067">
        <v>20</v>
      </c>
    </row>
    <row r="16" spans="1:11" x14ac:dyDescent="0.25">
      <c r="A16" s="1067" t="s">
        <v>204</v>
      </c>
      <c r="B16" s="1067" t="s">
        <v>247</v>
      </c>
      <c r="C16" s="1067" t="s">
        <v>293</v>
      </c>
      <c r="D16" s="1067" t="s">
        <v>49</v>
      </c>
      <c r="E16" s="1067">
        <v>191</v>
      </c>
      <c r="F16" s="1067"/>
      <c r="G16" s="1067">
        <v>94</v>
      </c>
      <c r="H16" s="1067"/>
      <c r="I16" s="1067"/>
      <c r="J16" s="1067">
        <v>21</v>
      </c>
      <c r="K16" s="1067">
        <v>76</v>
      </c>
    </row>
    <row r="17" spans="1:11" x14ac:dyDescent="0.25">
      <c r="A17" s="1067" t="s">
        <v>204</v>
      </c>
      <c r="B17" s="1067" t="s">
        <v>247</v>
      </c>
      <c r="C17" s="1067" t="s">
        <v>294</v>
      </c>
      <c r="D17" s="1067" t="s">
        <v>51</v>
      </c>
      <c r="E17" s="1067">
        <v>113</v>
      </c>
      <c r="F17" s="1067"/>
      <c r="G17" s="1067">
        <v>113</v>
      </c>
      <c r="H17" s="1067"/>
      <c r="I17" s="1067"/>
      <c r="J17" s="1067">
        <v>0</v>
      </c>
      <c r="K17" s="1067">
        <v>0</v>
      </c>
    </row>
    <row r="18" spans="1:11" x14ac:dyDescent="0.25">
      <c r="A18" s="1067" t="s">
        <v>204</v>
      </c>
      <c r="B18" s="1067" t="s">
        <v>247</v>
      </c>
      <c r="C18" s="1067" t="s">
        <v>295</v>
      </c>
      <c r="D18" s="1067" t="s">
        <v>52</v>
      </c>
      <c r="E18" s="1067">
        <v>253</v>
      </c>
      <c r="F18" s="1067"/>
      <c r="G18" s="1067">
        <v>140</v>
      </c>
      <c r="H18" s="1067"/>
      <c r="I18" s="1067"/>
      <c r="J18" s="1067">
        <v>25</v>
      </c>
      <c r="K18" s="1067">
        <v>88</v>
      </c>
    </row>
    <row r="19" spans="1:11" x14ac:dyDescent="0.25">
      <c r="A19" s="1067" t="s">
        <v>204</v>
      </c>
      <c r="B19" s="1067" t="s">
        <v>247</v>
      </c>
      <c r="C19" s="1067" t="s">
        <v>296</v>
      </c>
      <c r="D19" s="1067" t="s">
        <v>54</v>
      </c>
      <c r="E19" s="1067">
        <v>209</v>
      </c>
      <c r="F19" s="1067"/>
      <c r="G19" s="1067">
        <v>134</v>
      </c>
      <c r="H19" s="1067"/>
      <c r="I19" s="1067"/>
      <c r="J19" s="1067">
        <v>0</v>
      </c>
      <c r="K19" s="1067">
        <v>75</v>
      </c>
    </row>
    <row r="20" spans="1:11" x14ac:dyDescent="0.25">
      <c r="A20" s="1067" t="s">
        <v>204</v>
      </c>
      <c r="B20" s="1067" t="s">
        <v>247</v>
      </c>
      <c r="C20" s="1067" t="s">
        <v>297</v>
      </c>
      <c r="D20" s="1067" t="s">
        <v>55</v>
      </c>
      <c r="E20" s="1067">
        <v>134</v>
      </c>
      <c r="F20" s="1067"/>
      <c r="G20" s="1067">
        <v>134</v>
      </c>
      <c r="H20" s="1067"/>
      <c r="I20" s="1067"/>
      <c r="J20" s="1067">
        <v>0</v>
      </c>
      <c r="K20" s="1067">
        <v>0</v>
      </c>
    </row>
    <row r="21" spans="1:11" x14ac:dyDescent="0.25">
      <c r="A21" s="1067" t="s">
        <v>204</v>
      </c>
      <c r="B21" s="1067" t="s">
        <v>247</v>
      </c>
      <c r="C21" s="1067" t="s">
        <v>298</v>
      </c>
      <c r="D21" s="1067" t="s">
        <v>56</v>
      </c>
      <c r="E21" s="1067">
        <v>119</v>
      </c>
      <c r="F21" s="1067"/>
      <c r="G21" s="1067">
        <v>54</v>
      </c>
      <c r="H21" s="1067"/>
      <c r="I21" s="1067"/>
      <c r="J21" s="1067">
        <v>0</v>
      </c>
      <c r="K21" s="1067">
        <v>65</v>
      </c>
    </row>
    <row r="22" spans="1:11" x14ac:dyDescent="0.25">
      <c r="A22" s="1067" t="s">
        <v>204</v>
      </c>
      <c r="B22" s="1067" t="s">
        <v>247</v>
      </c>
      <c r="C22" s="1067" t="s">
        <v>299</v>
      </c>
      <c r="D22" s="1067" t="s">
        <v>57</v>
      </c>
      <c r="E22" s="1067">
        <v>276</v>
      </c>
      <c r="F22" s="1067"/>
      <c r="G22" s="1067">
        <v>84</v>
      </c>
      <c r="H22" s="1067"/>
      <c r="I22" s="1067"/>
      <c r="J22" s="1067">
        <v>2</v>
      </c>
      <c r="K22" s="1067">
        <v>190</v>
      </c>
    </row>
    <row r="23" spans="1:11" x14ac:dyDescent="0.25">
      <c r="A23" s="1067" t="s">
        <v>204</v>
      </c>
      <c r="B23" s="1067" t="s">
        <v>247</v>
      </c>
      <c r="C23" s="1067" t="s">
        <v>300</v>
      </c>
      <c r="D23" s="1067" t="s">
        <v>58</v>
      </c>
      <c r="E23" s="1067">
        <v>136</v>
      </c>
      <c r="F23" s="1067"/>
      <c r="G23" s="1067">
        <v>74</v>
      </c>
      <c r="H23" s="1067"/>
      <c r="I23" s="1067"/>
      <c r="J23" s="1067">
        <v>0</v>
      </c>
      <c r="K23" s="1067">
        <v>62</v>
      </c>
    </row>
    <row r="24" spans="1:11" x14ac:dyDescent="0.25">
      <c r="A24" s="1067" t="s">
        <v>204</v>
      </c>
      <c r="B24" s="1067" t="s">
        <v>247</v>
      </c>
      <c r="C24" s="1067" t="s">
        <v>301</v>
      </c>
      <c r="D24" s="1067" t="s">
        <v>31</v>
      </c>
      <c r="E24" s="1067">
        <v>182</v>
      </c>
      <c r="F24" s="1067"/>
      <c r="G24" s="1067">
        <v>8</v>
      </c>
      <c r="H24" s="1067"/>
      <c r="I24" s="1067"/>
      <c r="J24" s="1067">
        <v>0</v>
      </c>
      <c r="K24" s="1067">
        <v>174</v>
      </c>
    </row>
    <row r="25" spans="1:11" x14ac:dyDescent="0.25">
      <c r="A25" s="1067" t="s">
        <v>204</v>
      </c>
      <c r="B25" s="1067" t="s">
        <v>247</v>
      </c>
      <c r="C25" s="1067" t="s">
        <v>302</v>
      </c>
      <c r="D25" s="1067" t="s">
        <v>32</v>
      </c>
      <c r="E25" s="1067">
        <v>320</v>
      </c>
      <c r="F25" s="1067"/>
      <c r="G25" s="1067">
        <v>297</v>
      </c>
      <c r="H25" s="1067"/>
      <c r="I25" s="1067"/>
      <c r="J25" s="1067">
        <v>0</v>
      </c>
      <c r="K25" s="1067">
        <v>23</v>
      </c>
    </row>
    <row r="26" spans="1:11" x14ac:dyDescent="0.25">
      <c r="A26" s="1067" t="s">
        <v>204</v>
      </c>
      <c r="B26" s="1067" t="s">
        <v>247</v>
      </c>
      <c r="C26" s="1067" t="s">
        <v>303</v>
      </c>
      <c r="D26" s="1067" t="s">
        <v>34</v>
      </c>
      <c r="E26" s="1067">
        <v>448</v>
      </c>
      <c r="F26" s="1067"/>
      <c r="G26" s="1067">
        <v>187</v>
      </c>
      <c r="H26" s="1067"/>
      <c r="I26" s="1067"/>
      <c r="J26" s="1067">
        <v>203</v>
      </c>
      <c r="K26" s="1067">
        <v>58</v>
      </c>
    </row>
    <row r="27" spans="1:11" x14ac:dyDescent="0.25">
      <c r="A27" s="1067" t="s">
        <v>204</v>
      </c>
      <c r="B27" s="1067" t="s">
        <v>247</v>
      </c>
      <c r="C27" s="1067" t="s">
        <v>304</v>
      </c>
      <c r="D27" s="1067" t="s">
        <v>258</v>
      </c>
      <c r="E27" s="1067">
        <v>382</v>
      </c>
      <c r="F27" s="1067"/>
      <c r="G27" s="1067">
        <v>12</v>
      </c>
      <c r="H27" s="1067"/>
      <c r="I27" s="1067"/>
      <c r="J27" s="1067">
        <v>0</v>
      </c>
      <c r="K27" s="1067">
        <v>370</v>
      </c>
    </row>
    <row r="28" spans="1:11" x14ac:dyDescent="0.25">
      <c r="A28" s="1067" t="s">
        <v>204</v>
      </c>
      <c r="B28" s="1067" t="s">
        <v>247</v>
      </c>
      <c r="C28" s="1067" t="s">
        <v>305</v>
      </c>
      <c r="D28" s="1067" t="s">
        <v>53</v>
      </c>
      <c r="E28" s="1067">
        <v>130</v>
      </c>
      <c r="F28" s="1067"/>
      <c r="G28" s="1067">
        <v>14</v>
      </c>
      <c r="H28" s="1067"/>
      <c r="I28" s="1067"/>
      <c r="J28" s="1067">
        <v>0</v>
      </c>
      <c r="K28" s="1067">
        <v>116</v>
      </c>
    </row>
    <row r="29" spans="1:11" x14ac:dyDescent="0.25">
      <c r="A29" s="1067" t="s">
        <v>204</v>
      </c>
      <c r="B29" s="1067" t="s">
        <v>247</v>
      </c>
      <c r="C29" s="1067" t="s">
        <v>306</v>
      </c>
      <c r="D29" s="1067" t="s">
        <v>59</v>
      </c>
      <c r="E29" s="1067">
        <v>98</v>
      </c>
      <c r="F29" s="1067"/>
      <c r="G29" s="1067">
        <v>18</v>
      </c>
      <c r="H29" s="1067"/>
      <c r="I29" s="1067"/>
      <c r="J29" s="1067">
        <v>0</v>
      </c>
      <c r="K29" s="1067">
        <v>80</v>
      </c>
    </row>
    <row r="30" spans="1:11" x14ac:dyDescent="0.25">
      <c r="A30" s="1067" t="s">
        <v>204</v>
      </c>
      <c r="B30" s="1067" t="s">
        <v>247</v>
      </c>
      <c r="C30" s="1067" t="s">
        <v>307</v>
      </c>
      <c r="D30" s="1067" t="s">
        <v>60</v>
      </c>
      <c r="E30" s="1067">
        <v>143</v>
      </c>
      <c r="F30" s="1067"/>
      <c r="G30" s="1067">
        <v>58</v>
      </c>
      <c r="H30" s="1067"/>
      <c r="I30" s="1067"/>
      <c r="J30" s="1067">
        <v>0</v>
      </c>
      <c r="K30" s="1067">
        <v>85</v>
      </c>
    </row>
    <row r="31" spans="1:11" x14ac:dyDescent="0.25">
      <c r="A31" s="1067" t="s">
        <v>204</v>
      </c>
      <c r="B31" s="1067" t="s">
        <v>247</v>
      </c>
      <c r="C31" s="1067" t="s">
        <v>308</v>
      </c>
      <c r="D31" s="1067" t="s">
        <v>33</v>
      </c>
      <c r="E31" s="1067">
        <v>134</v>
      </c>
      <c r="F31" s="1067"/>
      <c r="G31" s="1067">
        <v>99</v>
      </c>
      <c r="H31" s="1067"/>
      <c r="I31" s="1067"/>
      <c r="J31" s="1067">
        <v>0</v>
      </c>
      <c r="K31" s="1067">
        <v>35</v>
      </c>
    </row>
    <row r="32" spans="1:11" x14ac:dyDescent="0.25">
      <c r="A32" s="1067" t="s">
        <v>204</v>
      </c>
      <c r="B32" s="1067" t="s">
        <v>247</v>
      </c>
      <c r="C32" s="1067" t="s">
        <v>309</v>
      </c>
      <c r="D32" s="1067" t="s">
        <v>37</v>
      </c>
      <c r="E32" s="1067">
        <v>229</v>
      </c>
      <c r="F32" s="1067"/>
      <c r="G32" s="1067">
        <v>14</v>
      </c>
      <c r="H32" s="1067"/>
      <c r="I32" s="1067"/>
      <c r="J32" s="1067">
        <v>0</v>
      </c>
      <c r="K32" s="1067">
        <v>215</v>
      </c>
    </row>
    <row r="33" spans="1:11" x14ac:dyDescent="0.25">
      <c r="A33" s="1067" t="s">
        <v>204</v>
      </c>
      <c r="B33" s="1067" t="s">
        <v>247</v>
      </c>
      <c r="C33" s="1067" t="s">
        <v>310</v>
      </c>
      <c r="D33" s="1067" t="s">
        <v>50</v>
      </c>
      <c r="E33" s="1067">
        <v>216</v>
      </c>
      <c r="F33" s="1067"/>
      <c r="G33" s="1067">
        <v>28</v>
      </c>
      <c r="H33" s="1067"/>
      <c r="I33" s="1067"/>
      <c r="J33" s="1067">
        <v>0</v>
      </c>
      <c r="K33" s="1067">
        <v>188</v>
      </c>
    </row>
    <row r="34" spans="1:11" x14ac:dyDescent="0.25">
      <c r="A34" s="1067" t="s">
        <v>204</v>
      </c>
      <c r="B34" s="1067" t="s">
        <v>247</v>
      </c>
      <c r="C34" s="1067" t="s">
        <v>311</v>
      </c>
      <c r="D34" s="1067" t="s">
        <v>39</v>
      </c>
      <c r="E34" s="1067">
        <v>74</v>
      </c>
      <c r="F34" s="1067"/>
      <c r="G34" s="1067">
        <v>0</v>
      </c>
      <c r="H34" s="1067"/>
      <c r="I34" s="1067"/>
      <c r="J34" s="1067">
        <v>0</v>
      </c>
      <c r="K34" s="1067">
        <v>74</v>
      </c>
    </row>
    <row r="35" spans="1:11" x14ac:dyDescent="0.25">
      <c r="A35" s="1067" t="s">
        <v>204</v>
      </c>
      <c r="B35" s="1067" t="s">
        <v>247</v>
      </c>
      <c r="C35" s="1067" t="s">
        <v>312</v>
      </c>
      <c r="D35" s="1067" t="s">
        <v>121</v>
      </c>
      <c r="E35" s="1067">
        <v>562</v>
      </c>
      <c r="F35" s="1067"/>
      <c r="G35" s="1067">
        <v>2</v>
      </c>
      <c r="H35" s="1067"/>
      <c r="I35" s="1067"/>
      <c r="J35" s="1067">
        <v>0</v>
      </c>
      <c r="K35" s="1067">
        <v>560</v>
      </c>
    </row>
    <row r="36" spans="1:11" x14ac:dyDescent="0.25">
      <c r="A36" s="1067" t="s">
        <v>204</v>
      </c>
      <c r="B36" s="1067" t="s">
        <v>247</v>
      </c>
      <c r="C36" s="1067" t="s">
        <v>313</v>
      </c>
      <c r="D36" s="1067" t="s">
        <v>43</v>
      </c>
      <c r="E36" s="1067">
        <v>400</v>
      </c>
      <c r="F36" s="1067"/>
      <c r="G36" s="1067">
        <v>111</v>
      </c>
      <c r="H36" s="1067"/>
      <c r="I36" s="1067"/>
      <c r="J36" s="1067">
        <v>0</v>
      </c>
      <c r="K36" s="1067">
        <v>289</v>
      </c>
    </row>
    <row r="37" spans="1:11" x14ac:dyDescent="0.25">
      <c r="A37" s="1067" t="s">
        <v>204</v>
      </c>
      <c r="B37" s="1067" t="s">
        <v>248</v>
      </c>
      <c r="C37" s="1067" t="s">
        <v>369</v>
      </c>
      <c r="D37" s="1067" t="s">
        <v>31</v>
      </c>
      <c r="E37" s="1067">
        <v>15</v>
      </c>
      <c r="F37" s="1067"/>
      <c r="G37" s="1067"/>
      <c r="H37" s="1067"/>
      <c r="I37" s="1067"/>
      <c r="J37" s="1067"/>
      <c r="K37" s="1067">
        <v>15</v>
      </c>
    </row>
    <row r="38" spans="1:11" x14ac:dyDescent="0.25">
      <c r="A38" s="1067" t="s">
        <v>204</v>
      </c>
      <c r="B38" s="1067" t="s">
        <v>248</v>
      </c>
      <c r="C38" s="1067" t="s">
        <v>370</v>
      </c>
      <c r="D38" s="1067" t="s">
        <v>63</v>
      </c>
      <c r="E38" s="1067">
        <v>22</v>
      </c>
      <c r="F38" s="1067"/>
      <c r="G38" s="1067"/>
      <c r="H38" s="1067"/>
      <c r="I38" s="1067"/>
      <c r="J38" s="1067"/>
      <c r="K38" s="1067">
        <v>22</v>
      </c>
    </row>
    <row r="39" spans="1:11" x14ac:dyDescent="0.25">
      <c r="A39" s="1067" t="s">
        <v>204</v>
      </c>
      <c r="B39" s="1067" t="s">
        <v>248</v>
      </c>
      <c r="C39" s="1067" t="s">
        <v>372</v>
      </c>
      <c r="D39" s="1067" t="s">
        <v>64</v>
      </c>
      <c r="E39" s="1067">
        <v>23</v>
      </c>
      <c r="F39" s="1067"/>
      <c r="G39" s="1067"/>
      <c r="H39" s="1067"/>
      <c r="I39" s="1067"/>
      <c r="J39" s="1067"/>
      <c r="K39" s="1067">
        <v>23</v>
      </c>
    </row>
    <row r="40" spans="1:11" x14ac:dyDescent="0.25">
      <c r="A40" s="1067" t="s">
        <v>204</v>
      </c>
      <c r="B40" s="1067" t="s">
        <v>248</v>
      </c>
      <c r="C40" s="1067" t="s">
        <v>373</v>
      </c>
      <c r="D40" s="1067" t="s">
        <v>36</v>
      </c>
      <c r="E40" s="1067">
        <v>16</v>
      </c>
      <c r="F40" s="1067"/>
      <c r="G40" s="1067"/>
      <c r="H40" s="1067"/>
      <c r="I40" s="1067"/>
      <c r="J40" s="1067"/>
      <c r="K40" s="1067">
        <v>16</v>
      </c>
    </row>
    <row r="41" spans="1:11" x14ac:dyDescent="0.25">
      <c r="A41" s="1067" t="s">
        <v>204</v>
      </c>
      <c r="B41" s="1067" t="s">
        <v>248</v>
      </c>
      <c r="C41" s="1067" t="s">
        <v>374</v>
      </c>
      <c r="D41" s="1067" t="s">
        <v>66</v>
      </c>
      <c r="E41" s="1067">
        <v>23</v>
      </c>
      <c r="F41" s="1067"/>
      <c r="G41" s="1067"/>
      <c r="H41" s="1067"/>
      <c r="I41" s="1067"/>
      <c r="J41" s="1067"/>
      <c r="K41" s="1067">
        <v>23</v>
      </c>
    </row>
    <row r="42" spans="1:11" x14ac:dyDescent="0.25">
      <c r="A42" s="1067" t="s">
        <v>204</v>
      </c>
      <c r="B42" s="1067" t="s">
        <v>248</v>
      </c>
      <c r="C42" s="1067" t="s">
        <v>375</v>
      </c>
      <c r="D42" s="1067" t="s">
        <v>67</v>
      </c>
      <c r="E42" s="1067">
        <v>21</v>
      </c>
      <c r="F42" s="1067"/>
      <c r="G42" s="1067"/>
      <c r="H42" s="1067"/>
      <c r="I42" s="1067"/>
      <c r="J42" s="1067"/>
      <c r="K42" s="1067">
        <v>21</v>
      </c>
    </row>
    <row r="43" spans="1:11" x14ac:dyDescent="0.25">
      <c r="A43" s="1067" t="s">
        <v>204</v>
      </c>
      <c r="B43" s="1067" t="s">
        <v>248</v>
      </c>
      <c r="C43" s="1067" t="s">
        <v>376</v>
      </c>
      <c r="D43" s="1067" t="s">
        <v>68</v>
      </c>
      <c r="E43" s="1067">
        <v>12</v>
      </c>
      <c r="F43" s="1067"/>
      <c r="G43" s="1067"/>
      <c r="H43" s="1067"/>
      <c r="I43" s="1067"/>
      <c r="J43" s="1067"/>
      <c r="K43" s="1067">
        <v>12</v>
      </c>
    </row>
    <row r="44" spans="1:11" x14ac:dyDescent="0.25">
      <c r="A44" s="1067" t="s">
        <v>204</v>
      </c>
      <c r="B44" s="1067" t="s">
        <v>248</v>
      </c>
      <c r="C44" s="1067" t="s">
        <v>377</v>
      </c>
      <c r="D44" s="1067" t="s">
        <v>175</v>
      </c>
      <c r="E44" s="1067">
        <v>26</v>
      </c>
      <c r="F44" s="1067"/>
      <c r="G44" s="1067"/>
      <c r="H44" s="1067"/>
      <c r="I44" s="1067"/>
      <c r="J44" s="1067"/>
      <c r="K44" s="1067">
        <v>26</v>
      </c>
    </row>
    <row r="45" spans="1:11" x14ac:dyDescent="0.25">
      <c r="A45" s="1067" t="s">
        <v>204</v>
      </c>
      <c r="B45" s="1067" t="s">
        <v>248</v>
      </c>
      <c r="C45" s="1067" t="s">
        <v>378</v>
      </c>
      <c r="D45" s="1067" t="s">
        <v>69</v>
      </c>
      <c r="E45" s="1067">
        <v>13</v>
      </c>
      <c r="F45" s="1067"/>
      <c r="G45" s="1067"/>
      <c r="H45" s="1067"/>
      <c r="I45" s="1067"/>
      <c r="J45" s="1067"/>
      <c r="K45" s="1067">
        <v>13</v>
      </c>
    </row>
    <row r="46" spans="1:11" x14ac:dyDescent="0.25">
      <c r="A46" s="1067" t="s">
        <v>204</v>
      </c>
      <c r="B46" s="1067" t="s">
        <v>248</v>
      </c>
      <c r="C46" s="1067" t="s">
        <v>1074</v>
      </c>
      <c r="D46" s="1067" t="s">
        <v>121</v>
      </c>
      <c r="E46" s="1067">
        <v>28</v>
      </c>
      <c r="F46" s="1067"/>
      <c r="G46" s="1067"/>
      <c r="H46" s="1067"/>
      <c r="I46" s="1067"/>
      <c r="J46" s="1067"/>
      <c r="K46" s="1067">
        <v>28</v>
      </c>
    </row>
    <row r="47" spans="1:11" x14ac:dyDescent="0.25">
      <c r="A47" s="1067" t="s">
        <v>204</v>
      </c>
      <c r="B47" s="1067" t="s">
        <v>248</v>
      </c>
      <c r="C47" s="1067" t="s">
        <v>379</v>
      </c>
      <c r="D47" s="1067" t="s">
        <v>70</v>
      </c>
      <c r="E47" s="1067">
        <v>13</v>
      </c>
      <c r="F47" s="1067"/>
      <c r="G47" s="1067"/>
      <c r="H47" s="1067"/>
      <c r="I47" s="1067"/>
      <c r="J47" s="1067"/>
      <c r="K47" s="1067">
        <v>13</v>
      </c>
    </row>
    <row r="48" spans="1:11" x14ac:dyDescent="0.25">
      <c r="A48" s="1067" t="s">
        <v>204</v>
      </c>
      <c r="B48" s="1067" t="s">
        <v>248</v>
      </c>
      <c r="C48" s="1067" t="s">
        <v>1075</v>
      </c>
      <c r="D48" s="1067" t="s">
        <v>50</v>
      </c>
      <c r="E48" s="1067">
        <v>14</v>
      </c>
      <c r="F48" s="1067"/>
      <c r="G48" s="1067"/>
      <c r="H48" s="1067"/>
      <c r="I48" s="1067"/>
      <c r="J48" s="1067"/>
      <c r="K48" s="1067">
        <v>14</v>
      </c>
    </row>
    <row r="49" spans="1:11" x14ac:dyDescent="0.25">
      <c r="A49" s="1067" t="s">
        <v>204</v>
      </c>
      <c r="B49" s="1067" t="s">
        <v>248</v>
      </c>
      <c r="C49" s="1067" t="s">
        <v>380</v>
      </c>
      <c r="D49" s="1067" t="s">
        <v>57</v>
      </c>
      <c r="E49" s="1067">
        <v>10</v>
      </c>
      <c r="F49" s="1067"/>
      <c r="G49" s="1067"/>
      <c r="H49" s="1067"/>
      <c r="I49" s="1067"/>
      <c r="J49" s="1067"/>
      <c r="K49" s="1067">
        <v>10</v>
      </c>
    </row>
    <row r="50" spans="1:11" x14ac:dyDescent="0.25">
      <c r="A50" s="1067" t="s">
        <v>204</v>
      </c>
      <c r="B50" s="1067" t="s">
        <v>248</v>
      </c>
      <c r="C50" s="1067" t="s">
        <v>1072</v>
      </c>
      <c r="D50" s="1067" t="s">
        <v>1071</v>
      </c>
      <c r="E50" s="1067">
        <v>8</v>
      </c>
      <c r="F50" s="1067"/>
      <c r="G50" s="1067"/>
      <c r="H50" s="1067"/>
      <c r="I50" s="1067"/>
      <c r="J50" s="1067"/>
      <c r="K50" s="1067">
        <v>8</v>
      </c>
    </row>
    <row r="51" spans="1:11" x14ac:dyDescent="0.25">
      <c r="A51" s="1067" t="s">
        <v>204</v>
      </c>
      <c r="B51" s="1067" t="s">
        <v>248</v>
      </c>
      <c r="C51" s="1067" t="s">
        <v>381</v>
      </c>
      <c r="D51" s="1067" t="s">
        <v>71</v>
      </c>
      <c r="E51" s="1067">
        <v>9</v>
      </c>
      <c r="F51" s="1067"/>
      <c r="G51" s="1067"/>
      <c r="H51" s="1067"/>
      <c r="I51" s="1067"/>
      <c r="J51" s="1067"/>
      <c r="K51" s="1067">
        <v>9</v>
      </c>
    </row>
    <row r="52" spans="1:11" x14ac:dyDescent="0.25">
      <c r="A52" s="1067" t="s">
        <v>204</v>
      </c>
      <c r="B52" s="1067" t="s">
        <v>248</v>
      </c>
      <c r="C52" s="1067" t="s">
        <v>371</v>
      </c>
      <c r="D52" s="1067" t="s">
        <v>65</v>
      </c>
      <c r="E52" s="1067">
        <v>11</v>
      </c>
      <c r="F52" s="1067"/>
      <c r="G52" s="1067"/>
      <c r="H52" s="1067"/>
      <c r="I52" s="1067"/>
      <c r="J52" s="1067"/>
      <c r="K52" s="1067">
        <v>11</v>
      </c>
    </row>
    <row r="53" spans="1:11" x14ac:dyDescent="0.25">
      <c r="A53" s="1067" t="s">
        <v>204</v>
      </c>
      <c r="B53" s="1067" t="s">
        <v>248</v>
      </c>
      <c r="C53" s="1067" t="s">
        <v>1073</v>
      </c>
      <c r="D53" s="1067" t="s">
        <v>43</v>
      </c>
      <c r="E53" s="1067">
        <v>21</v>
      </c>
      <c r="F53" s="1067"/>
      <c r="G53" s="1067"/>
      <c r="H53" s="1067"/>
      <c r="I53" s="1067"/>
      <c r="J53" s="1067"/>
      <c r="K53" s="1067">
        <v>21</v>
      </c>
    </row>
    <row r="54" spans="1:11" x14ac:dyDescent="0.25">
      <c r="A54" s="1067" t="s">
        <v>204</v>
      </c>
      <c r="B54" s="1067" t="s">
        <v>249</v>
      </c>
      <c r="C54" s="1067" t="s">
        <v>403</v>
      </c>
      <c r="D54" s="1067" t="s">
        <v>173</v>
      </c>
      <c r="E54" s="1067">
        <v>527</v>
      </c>
      <c r="F54" s="1067"/>
      <c r="G54" s="1067"/>
      <c r="H54" s="1067"/>
      <c r="I54" s="1067">
        <v>416</v>
      </c>
      <c r="J54" s="1067"/>
      <c r="K54" s="1067">
        <v>111</v>
      </c>
    </row>
    <row r="55" spans="1:11" x14ac:dyDescent="0.25">
      <c r="A55" s="1067" t="s">
        <v>204</v>
      </c>
      <c r="B55" s="1067" t="s">
        <v>249</v>
      </c>
      <c r="C55" s="1067" t="s">
        <v>402</v>
      </c>
      <c r="D55" s="1067" t="s">
        <v>174</v>
      </c>
      <c r="E55" s="1067">
        <v>255</v>
      </c>
      <c r="F55" s="1067"/>
      <c r="G55" s="1067"/>
      <c r="H55" s="1067"/>
      <c r="I55" s="1067">
        <v>175</v>
      </c>
      <c r="J55" s="1067"/>
      <c r="K55" s="1067">
        <v>80</v>
      </c>
    </row>
    <row r="56" spans="1:11" x14ac:dyDescent="0.25">
      <c r="A56" s="1067" t="s">
        <v>204</v>
      </c>
      <c r="B56" s="1067" t="s">
        <v>249</v>
      </c>
      <c r="C56" s="1067" t="s">
        <v>404</v>
      </c>
      <c r="D56" s="1067" t="s">
        <v>172</v>
      </c>
      <c r="E56" s="1067">
        <v>210</v>
      </c>
      <c r="F56" s="1067"/>
      <c r="G56" s="1067"/>
      <c r="H56" s="1067"/>
      <c r="I56" s="1067">
        <v>133</v>
      </c>
      <c r="J56" s="1067"/>
      <c r="K56" s="1067">
        <v>77</v>
      </c>
    </row>
    <row r="57" spans="1:11" x14ac:dyDescent="0.25">
      <c r="A57" s="1067" t="s">
        <v>204</v>
      </c>
      <c r="B57" s="1067" t="s">
        <v>250</v>
      </c>
      <c r="C57" s="1067" t="s">
        <v>382</v>
      </c>
      <c r="D57" s="1067" t="s">
        <v>259</v>
      </c>
      <c r="E57" s="1067">
        <v>516</v>
      </c>
      <c r="F57" s="1067">
        <v>223</v>
      </c>
      <c r="G57" s="1067"/>
      <c r="H57" s="1067"/>
      <c r="I57" s="1067">
        <v>237</v>
      </c>
      <c r="J57" s="1067"/>
      <c r="K57" s="1067">
        <v>56</v>
      </c>
    </row>
    <row r="58" spans="1:11" x14ac:dyDescent="0.25">
      <c r="A58" s="1067" t="s">
        <v>203</v>
      </c>
      <c r="B58" s="1067" t="s">
        <v>247</v>
      </c>
      <c r="C58" s="1067" t="s">
        <v>282</v>
      </c>
      <c r="D58" s="1067" t="s">
        <v>35</v>
      </c>
      <c r="E58" s="1067">
        <v>60</v>
      </c>
      <c r="F58" s="1067"/>
      <c r="G58" s="1067">
        <v>23</v>
      </c>
      <c r="H58" s="1067"/>
      <c r="I58" s="1067"/>
      <c r="J58" s="1067">
        <v>0</v>
      </c>
      <c r="K58" s="1067">
        <v>37</v>
      </c>
    </row>
    <row r="59" spans="1:11" x14ac:dyDescent="0.25">
      <c r="A59" s="1067" t="s">
        <v>203</v>
      </c>
      <c r="B59" s="1067" t="s">
        <v>247</v>
      </c>
      <c r="C59" s="1067" t="s">
        <v>283</v>
      </c>
      <c r="D59" s="1067" t="s">
        <v>36</v>
      </c>
      <c r="E59" s="1067">
        <v>278</v>
      </c>
      <c r="F59" s="1067"/>
      <c r="G59" s="1067">
        <v>206</v>
      </c>
      <c r="H59" s="1067"/>
      <c r="I59" s="1067"/>
      <c r="J59" s="1067">
        <v>3</v>
      </c>
      <c r="K59" s="1067">
        <v>69</v>
      </c>
    </row>
    <row r="60" spans="1:11" x14ac:dyDescent="0.25">
      <c r="A60" s="1067" t="s">
        <v>203</v>
      </c>
      <c r="B60" s="1067" t="s">
        <v>247</v>
      </c>
      <c r="C60" s="1067" t="s">
        <v>284</v>
      </c>
      <c r="D60" s="1067" t="s">
        <v>38</v>
      </c>
      <c r="E60" s="1067">
        <v>136</v>
      </c>
      <c r="F60" s="1067"/>
      <c r="G60" s="1067">
        <v>80</v>
      </c>
      <c r="H60" s="1067"/>
      <c r="I60" s="1067"/>
      <c r="J60" s="1067">
        <v>0</v>
      </c>
      <c r="K60" s="1067">
        <v>56</v>
      </c>
    </row>
    <row r="61" spans="1:11" x14ac:dyDescent="0.25">
      <c r="A61" s="1067" t="s">
        <v>203</v>
      </c>
      <c r="B61" s="1067" t="s">
        <v>247</v>
      </c>
      <c r="C61" s="1067" t="s">
        <v>285</v>
      </c>
      <c r="D61" s="1067" t="s">
        <v>40</v>
      </c>
      <c r="E61" s="1067">
        <v>88</v>
      </c>
      <c r="F61" s="1067"/>
      <c r="G61" s="1067">
        <v>60</v>
      </c>
      <c r="H61" s="1067"/>
      <c r="I61" s="1067"/>
      <c r="J61" s="1067">
        <v>0</v>
      </c>
      <c r="K61" s="1067">
        <v>28</v>
      </c>
    </row>
    <row r="62" spans="1:11" x14ac:dyDescent="0.25">
      <c r="A62" s="1067" t="s">
        <v>203</v>
      </c>
      <c r="B62" s="1067" t="s">
        <v>247</v>
      </c>
      <c r="C62" s="1067" t="s">
        <v>286</v>
      </c>
      <c r="D62" s="1067" t="s">
        <v>41</v>
      </c>
      <c r="E62" s="1067">
        <v>57</v>
      </c>
      <c r="F62" s="1067"/>
      <c r="G62" s="1067">
        <v>0</v>
      </c>
      <c r="H62" s="1067"/>
      <c r="I62" s="1067"/>
      <c r="J62" s="1067">
        <v>0</v>
      </c>
      <c r="K62" s="1067">
        <v>57</v>
      </c>
    </row>
    <row r="63" spans="1:11" x14ac:dyDescent="0.25">
      <c r="A63" s="1067" t="s">
        <v>203</v>
      </c>
      <c r="B63" s="1067" t="s">
        <v>247</v>
      </c>
      <c r="C63" s="1067" t="s">
        <v>287</v>
      </c>
      <c r="D63" s="1067" t="s">
        <v>48</v>
      </c>
      <c r="E63" s="1067">
        <v>147</v>
      </c>
      <c r="F63" s="1067"/>
      <c r="G63" s="1067">
        <v>147</v>
      </c>
      <c r="H63" s="1067"/>
      <c r="I63" s="1067"/>
      <c r="J63" s="1067">
        <v>0</v>
      </c>
      <c r="K63" s="1067">
        <v>0</v>
      </c>
    </row>
    <row r="64" spans="1:11" x14ac:dyDescent="0.25">
      <c r="A64" s="1067" t="s">
        <v>203</v>
      </c>
      <c r="B64" s="1067" t="s">
        <v>247</v>
      </c>
      <c r="C64" s="1067" t="s">
        <v>288</v>
      </c>
      <c r="D64" s="1067" t="s">
        <v>42</v>
      </c>
      <c r="E64" s="1067">
        <v>162</v>
      </c>
      <c r="F64" s="1067"/>
      <c r="G64" s="1067">
        <v>68</v>
      </c>
      <c r="H64" s="1067"/>
      <c r="I64" s="1067"/>
      <c r="J64" s="1067">
        <v>0</v>
      </c>
      <c r="K64" s="1067">
        <v>94</v>
      </c>
    </row>
    <row r="65" spans="1:11" x14ac:dyDescent="0.25">
      <c r="A65" s="1067" t="s">
        <v>203</v>
      </c>
      <c r="B65" s="1067" t="s">
        <v>247</v>
      </c>
      <c r="C65" s="1067" t="s">
        <v>289</v>
      </c>
      <c r="D65" s="1067" t="s">
        <v>44</v>
      </c>
      <c r="E65" s="1067">
        <v>698</v>
      </c>
      <c r="F65" s="1067"/>
      <c r="G65" s="1067">
        <v>548</v>
      </c>
      <c r="H65" s="1067"/>
      <c r="I65" s="1067"/>
      <c r="J65" s="1067">
        <v>69</v>
      </c>
      <c r="K65" s="1067">
        <v>81</v>
      </c>
    </row>
    <row r="66" spans="1:11" x14ac:dyDescent="0.25">
      <c r="A66" s="1067" t="s">
        <v>203</v>
      </c>
      <c r="B66" s="1067" t="s">
        <v>247</v>
      </c>
      <c r="C66" s="1067" t="s">
        <v>290</v>
      </c>
      <c r="D66" s="1067" t="s">
        <v>45</v>
      </c>
      <c r="E66" s="1067">
        <v>117</v>
      </c>
      <c r="F66" s="1067"/>
      <c r="G66" s="1067">
        <v>40</v>
      </c>
      <c r="H66" s="1067"/>
      <c r="I66" s="1067"/>
      <c r="J66" s="1067">
        <v>0</v>
      </c>
      <c r="K66" s="1067">
        <v>77</v>
      </c>
    </row>
    <row r="67" spans="1:11" x14ac:dyDescent="0.25">
      <c r="A67" s="1067" t="s">
        <v>203</v>
      </c>
      <c r="B67" s="1067" t="s">
        <v>247</v>
      </c>
      <c r="C67" s="1067" t="s">
        <v>291</v>
      </c>
      <c r="D67" s="1067" t="s">
        <v>46</v>
      </c>
      <c r="E67" s="1067">
        <v>49</v>
      </c>
      <c r="F67" s="1067"/>
      <c r="G67" s="1067">
        <v>14</v>
      </c>
      <c r="H67" s="1067"/>
      <c r="I67" s="1067"/>
      <c r="J67" s="1067">
        <v>0</v>
      </c>
      <c r="K67" s="1067">
        <v>35</v>
      </c>
    </row>
    <row r="68" spans="1:11" x14ac:dyDescent="0.25">
      <c r="A68" s="1067" t="s">
        <v>203</v>
      </c>
      <c r="B68" s="1067" t="s">
        <v>247</v>
      </c>
      <c r="C68" s="1067" t="s">
        <v>292</v>
      </c>
      <c r="D68" s="1067" t="s">
        <v>47</v>
      </c>
      <c r="E68" s="1067">
        <v>167</v>
      </c>
      <c r="F68" s="1067"/>
      <c r="G68" s="1067">
        <v>121</v>
      </c>
      <c r="H68" s="1067"/>
      <c r="I68" s="1067"/>
      <c r="J68" s="1067">
        <v>25</v>
      </c>
      <c r="K68" s="1067">
        <v>21</v>
      </c>
    </row>
    <row r="69" spans="1:11" x14ac:dyDescent="0.25">
      <c r="A69" s="1067" t="s">
        <v>203</v>
      </c>
      <c r="B69" s="1067" t="s">
        <v>247</v>
      </c>
      <c r="C69" s="1067" t="s">
        <v>293</v>
      </c>
      <c r="D69" s="1067" t="s">
        <v>49</v>
      </c>
      <c r="E69" s="1067">
        <v>194</v>
      </c>
      <c r="F69" s="1067"/>
      <c r="G69" s="1067">
        <v>90</v>
      </c>
      <c r="H69" s="1067"/>
      <c r="I69" s="1067"/>
      <c r="J69" s="1067">
        <v>26</v>
      </c>
      <c r="K69" s="1067">
        <v>78</v>
      </c>
    </row>
    <row r="70" spans="1:11" x14ac:dyDescent="0.25">
      <c r="A70" s="1067" t="s">
        <v>203</v>
      </c>
      <c r="B70" s="1067" t="s">
        <v>247</v>
      </c>
      <c r="C70" s="1067" t="s">
        <v>294</v>
      </c>
      <c r="D70" s="1067" t="s">
        <v>51</v>
      </c>
      <c r="E70" s="1067">
        <v>110</v>
      </c>
      <c r="F70" s="1067"/>
      <c r="G70" s="1067">
        <v>109</v>
      </c>
      <c r="H70" s="1067"/>
      <c r="I70" s="1067"/>
      <c r="J70" s="1067">
        <v>1</v>
      </c>
      <c r="K70" s="1067">
        <v>0</v>
      </c>
    </row>
    <row r="71" spans="1:11" x14ac:dyDescent="0.25">
      <c r="A71" s="1067" t="s">
        <v>203</v>
      </c>
      <c r="B71" s="1067" t="s">
        <v>247</v>
      </c>
      <c r="C71" s="1067" t="s">
        <v>295</v>
      </c>
      <c r="D71" s="1067" t="s">
        <v>52</v>
      </c>
      <c r="E71" s="1067">
        <v>238</v>
      </c>
      <c r="F71" s="1067"/>
      <c r="G71" s="1067">
        <v>128</v>
      </c>
      <c r="H71" s="1067"/>
      <c r="I71" s="1067"/>
      <c r="J71" s="1067">
        <v>24</v>
      </c>
      <c r="K71" s="1067">
        <v>86</v>
      </c>
    </row>
    <row r="72" spans="1:11" x14ac:dyDescent="0.25">
      <c r="A72" s="1067" t="s">
        <v>203</v>
      </c>
      <c r="B72" s="1067" t="s">
        <v>247</v>
      </c>
      <c r="C72" s="1067" t="s">
        <v>296</v>
      </c>
      <c r="D72" s="1067" t="s">
        <v>54</v>
      </c>
      <c r="E72" s="1067">
        <v>224</v>
      </c>
      <c r="F72" s="1067"/>
      <c r="G72" s="1067">
        <v>151</v>
      </c>
      <c r="H72" s="1067"/>
      <c r="I72" s="1067"/>
      <c r="J72" s="1067">
        <v>0</v>
      </c>
      <c r="K72" s="1067">
        <v>73</v>
      </c>
    </row>
    <row r="73" spans="1:11" x14ac:dyDescent="0.25">
      <c r="A73" s="1067" t="s">
        <v>203</v>
      </c>
      <c r="B73" s="1067" t="s">
        <v>247</v>
      </c>
      <c r="C73" s="1067" t="s">
        <v>297</v>
      </c>
      <c r="D73" s="1067" t="s">
        <v>55</v>
      </c>
      <c r="E73" s="1067">
        <v>128</v>
      </c>
      <c r="F73" s="1067"/>
      <c r="G73" s="1067">
        <v>127</v>
      </c>
      <c r="H73" s="1067"/>
      <c r="I73" s="1067"/>
      <c r="J73" s="1067">
        <v>1</v>
      </c>
      <c r="K73" s="1067">
        <v>0</v>
      </c>
    </row>
    <row r="74" spans="1:11" x14ac:dyDescent="0.25">
      <c r="A74" s="1067" t="s">
        <v>203</v>
      </c>
      <c r="B74" s="1067" t="s">
        <v>247</v>
      </c>
      <c r="C74" s="1067" t="s">
        <v>298</v>
      </c>
      <c r="D74" s="1067" t="s">
        <v>56</v>
      </c>
      <c r="E74" s="1067">
        <v>114</v>
      </c>
      <c r="F74" s="1067"/>
      <c r="G74" s="1067">
        <v>54</v>
      </c>
      <c r="H74" s="1067"/>
      <c r="I74" s="1067"/>
      <c r="J74" s="1067">
        <v>0</v>
      </c>
      <c r="K74" s="1067">
        <v>60</v>
      </c>
    </row>
    <row r="75" spans="1:11" x14ac:dyDescent="0.25">
      <c r="A75" s="1067" t="s">
        <v>203</v>
      </c>
      <c r="B75" s="1067" t="s">
        <v>247</v>
      </c>
      <c r="C75" s="1067" t="s">
        <v>299</v>
      </c>
      <c r="D75" s="1067" t="s">
        <v>57</v>
      </c>
      <c r="E75" s="1067">
        <v>273</v>
      </c>
      <c r="F75" s="1067"/>
      <c r="G75" s="1067">
        <v>82</v>
      </c>
      <c r="H75" s="1067"/>
      <c r="I75" s="1067"/>
      <c r="J75" s="1067">
        <v>4</v>
      </c>
      <c r="K75" s="1067">
        <v>187</v>
      </c>
    </row>
    <row r="76" spans="1:11" x14ac:dyDescent="0.25">
      <c r="A76" s="1067" t="s">
        <v>203</v>
      </c>
      <c r="B76" s="1067" t="s">
        <v>247</v>
      </c>
      <c r="C76" s="1067" t="s">
        <v>300</v>
      </c>
      <c r="D76" s="1067" t="s">
        <v>58</v>
      </c>
      <c r="E76" s="1067">
        <v>130</v>
      </c>
      <c r="F76" s="1067"/>
      <c r="G76" s="1067">
        <v>75</v>
      </c>
      <c r="H76" s="1067"/>
      <c r="I76" s="1067"/>
      <c r="J76" s="1067">
        <v>0</v>
      </c>
      <c r="K76" s="1067">
        <v>55</v>
      </c>
    </row>
    <row r="77" spans="1:11" x14ac:dyDescent="0.25">
      <c r="A77" s="1067" t="s">
        <v>203</v>
      </c>
      <c r="B77" s="1067" t="s">
        <v>247</v>
      </c>
      <c r="C77" s="1067" t="s">
        <v>301</v>
      </c>
      <c r="D77" s="1067" t="s">
        <v>31</v>
      </c>
      <c r="E77" s="1067">
        <v>181</v>
      </c>
      <c r="F77" s="1067"/>
      <c r="G77" s="1067">
        <v>8</v>
      </c>
      <c r="H77" s="1067"/>
      <c r="I77" s="1067"/>
      <c r="J77" s="1067">
        <v>0</v>
      </c>
      <c r="K77" s="1067">
        <v>173</v>
      </c>
    </row>
    <row r="78" spans="1:11" x14ac:dyDescent="0.25">
      <c r="A78" s="1067" t="s">
        <v>203</v>
      </c>
      <c r="B78" s="1067" t="s">
        <v>247</v>
      </c>
      <c r="C78" s="1067" t="s">
        <v>302</v>
      </c>
      <c r="D78" s="1067" t="s">
        <v>32</v>
      </c>
      <c r="E78" s="1067">
        <v>303</v>
      </c>
      <c r="F78" s="1067"/>
      <c r="G78" s="1067">
        <v>280</v>
      </c>
      <c r="H78" s="1067"/>
      <c r="I78" s="1067"/>
      <c r="J78" s="1067">
        <v>0</v>
      </c>
      <c r="K78" s="1067">
        <v>23</v>
      </c>
    </row>
    <row r="79" spans="1:11" x14ac:dyDescent="0.25">
      <c r="A79" s="1067" t="s">
        <v>203</v>
      </c>
      <c r="B79" s="1067" t="s">
        <v>247</v>
      </c>
      <c r="C79" s="1067" t="s">
        <v>303</v>
      </c>
      <c r="D79" s="1067" t="s">
        <v>34</v>
      </c>
      <c r="E79" s="1067">
        <v>454</v>
      </c>
      <c r="F79" s="1067"/>
      <c r="G79" s="1067">
        <v>175</v>
      </c>
      <c r="H79" s="1067"/>
      <c r="I79" s="1067"/>
      <c r="J79" s="1067">
        <v>225</v>
      </c>
      <c r="K79" s="1067">
        <v>54</v>
      </c>
    </row>
    <row r="80" spans="1:11" x14ac:dyDescent="0.25">
      <c r="A80" s="1067" t="s">
        <v>203</v>
      </c>
      <c r="B80" s="1067" t="s">
        <v>247</v>
      </c>
      <c r="C80" s="1067" t="s">
        <v>304</v>
      </c>
      <c r="D80" s="1067" t="s">
        <v>258</v>
      </c>
      <c r="E80" s="1067">
        <v>361</v>
      </c>
      <c r="F80" s="1067"/>
      <c r="G80" s="1067">
        <v>13</v>
      </c>
      <c r="H80" s="1067"/>
      <c r="I80" s="1067"/>
      <c r="J80" s="1067">
        <v>0</v>
      </c>
      <c r="K80" s="1067">
        <v>348</v>
      </c>
    </row>
    <row r="81" spans="1:11" x14ac:dyDescent="0.25">
      <c r="A81" s="1067" t="s">
        <v>203</v>
      </c>
      <c r="B81" s="1067" t="s">
        <v>247</v>
      </c>
      <c r="C81" s="1067" t="s">
        <v>305</v>
      </c>
      <c r="D81" s="1067" t="s">
        <v>53</v>
      </c>
      <c r="E81" s="1067">
        <v>129</v>
      </c>
      <c r="F81" s="1067"/>
      <c r="G81" s="1067">
        <v>14</v>
      </c>
      <c r="H81" s="1067"/>
      <c r="I81" s="1067"/>
      <c r="J81" s="1067">
        <v>0</v>
      </c>
      <c r="K81" s="1067">
        <v>115</v>
      </c>
    </row>
    <row r="82" spans="1:11" x14ac:dyDescent="0.25">
      <c r="A82" s="1067" t="s">
        <v>203</v>
      </c>
      <c r="B82" s="1067" t="s">
        <v>247</v>
      </c>
      <c r="C82" s="1067" t="s">
        <v>306</v>
      </c>
      <c r="D82" s="1067" t="s">
        <v>59</v>
      </c>
      <c r="E82" s="1067">
        <v>95</v>
      </c>
      <c r="F82" s="1067"/>
      <c r="G82" s="1067">
        <v>21</v>
      </c>
      <c r="H82" s="1067"/>
      <c r="I82" s="1067"/>
      <c r="J82" s="1067">
        <v>0</v>
      </c>
      <c r="K82" s="1067">
        <v>74</v>
      </c>
    </row>
    <row r="83" spans="1:11" x14ac:dyDescent="0.25">
      <c r="A83" s="1067" t="s">
        <v>203</v>
      </c>
      <c r="B83" s="1067" t="s">
        <v>247</v>
      </c>
      <c r="C83" s="1067" t="s">
        <v>307</v>
      </c>
      <c r="D83" s="1067" t="s">
        <v>60</v>
      </c>
      <c r="E83" s="1067">
        <v>144</v>
      </c>
      <c r="F83" s="1067"/>
      <c r="G83" s="1067">
        <v>65</v>
      </c>
      <c r="H83" s="1067"/>
      <c r="I83" s="1067"/>
      <c r="J83" s="1067">
        <v>0</v>
      </c>
      <c r="K83" s="1067">
        <v>79</v>
      </c>
    </row>
    <row r="84" spans="1:11" x14ac:dyDescent="0.25">
      <c r="A84" s="1067" t="s">
        <v>203</v>
      </c>
      <c r="B84" s="1067" t="s">
        <v>247</v>
      </c>
      <c r="C84" s="1067" t="s">
        <v>308</v>
      </c>
      <c r="D84" s="1067" t="s">
        <v>33</v>
      </c>
      <c r="E84" s="1067">
        <v>122</v>
      </c>
      <c r="F84" s="1067"/>
      <c r="G84" s="1067">
        <v>95</v>
      </c>
      <c r="H84" s="1067"/>
      <c r="I84" s="1067"/>
      <c r="J84" s="1067">
        <v>0</v>
      </c>
      <c r="K84" s="1067">
        <v>27</v>
      </c>
    </row>
    <row r="85" spans="1:11" x14ac:dyDescent="0.25">
      <c r="A85" s="1067" t="s">
        <v>203</v>
      </c>
      <c r="B85" s="1067" t="s">
        <v>247</v>
      </c>
      <c r="C85" s="1067" t="s">
        <v>309</v>
      </c>
      <c r="D85" s="1067" t="s">
        <v>37</v>
      </c>
      <c r="E85" s="1067">
        <v>221</v>
      </c>
      <c r="F85" s="1067"/>
      <c r="G85" s="1067">
        <v>14</v>
      </c>
      <c r="H85" s="1067"/>
      <c r="I85" s="1067"/>
      <c r="J85" s="1067">
        <v>0</v>
      </c>
      <c r="K85" s="1067">
        <v>207</v>
      </c>
    </row>
    <row r="86" spans="1:11" x14ac:dyDescent="0.25">
      <c r="A86" s="1067" t="s">
        <v>203</v>
      </c>
      <c r="B86" s="1067" t="s">
        <v>247</v>
      </c>
      <c r="C86" s="1067" t="s">
        <v>310</v>
      </c>
      <c r="D86" s="1067" t="s">
        <v>50</v>
      </c>
      <c r="E86" s="1067">
        <v>217</v>
      </c>
      <c r="F86" s="1067"/>
      <c r="G86" s="1067">
        <v>30</v>
      </c>
      <c r="H86" s="1067"/>
      <c r="I86" s="1067"/>
      <c r="J86" s="1067">
        <v>0</v>
      </c>
      <c r="K86" s="1067">
        <v>187</v>
      </c>
    </row>
    <row r="87" spans="1:11" x14ac:dyDescent="0.25">
      <c r="A87" s="1067" t="s">
        <v>203</v>
      </c>
      <c r="B87" s="1067" t="s">
        <v>247</v>
      </c>
      <c r="C87" s="1067" t="s">
        <v>311</v>
      </c>
      <c r="D87" s="1067" t="s">
        <v>39</v>
      </c>
      <c r="E87" s="1067">
        <v>72</v>
      </c>
      <c r="F87" s="1067"/>
      <c r="G87" s="1067">
        <v>0</v>
      </c>
      <c r="H87" s="1067"/>
      <c r="I87" s="1067"/>
      <c r="J87" s="1067">
        <v>0</v>
      </c>
      <c r="K87" s="1067">
        <v>72</v>
      </c>
    </row>
    <row r="88" spans="1:11" x14ac:dyDescent="0.25">
      <c r="A88" s="1067" t="s">
        <v>203</v>
      </c>
      <c r="B88" s="1067" t="s">
        <v>247</v>
      </c>
      <c r="C88" s="1067" t="s">
        <v>312</v>
      </c>
      <c r="D88" s="1067" t="s">
        <v>121</v>
      </c>
      <c r="E88" s="1067">
        <v>544</v>
      </c>
      <c r="F88" s="1067"/>
      <c r="G88" s="1067">
        <v>0</v>
      </c>
      <c r="H88" s="1067"/>
      <c r="I88" s="1067"/>
      <c r="J88" s="1067">
        <v>0</v>
      </c>
      <c r="K88" s="1067">
        <v>544</v>
      </c>
    </row>
    <row r="89" spans="1:11" x14ac:dyDescent="0.25">
      <c r="A89" s="1067" t="s">
        <v>203</v>
      </c>
      <c r="B89" s="1067" t="s">
        <v>247</v>
      </c>
      <c r="C89" s="1067" t="s">
        <v>313</v>
      </c>
      <c r="D89" s="1067" t="s">
        <v>43</v>
      </c>
      <c r="E89" s="1067">
        <v>400</v>
      </c>
      <c r="F89" s="1067"/>
      <c r="G89" s="1067">
        <v>112</v>
      </c>
      <c r="H89" s="1067"/>
      <c r="I89" s="1067"/>
      <c r="J89" s="1067">
        <v>0</v>
      </c>
      <c r="K89" s="1067">
        <v>288</v>
      </c>
    </row>
    <row r="90" spans="1:11" x14ac:dyDescent="0.25">
      <c r="A90" s="1067" t="s">
        <v>203</v>
      </c>
      <c r="B90" s="1067" t="s">
        <v>248</v>
      </c>
      <c r="C90" s="1067" t="s">
        <v>369</v>
      </c>
      <c r="D90" s="1067" t="s">
        <v>31</v>
      </c>
      <c r="E90" s="1067">
        <v>18</v>
      </c>
      <c r="F90" s="1067"/>
      <c r="G90" s="1067"/>
      <c r="H90" s="1067"/>
      <c r="I90" s="1067"/>
      <c r="J90" s="1067"/>
      <c r="K90" s="1067">
        <v>18</v>
      </c>
    </row>
    <row r="91" spans="1:11" x14ac:dyDescent="0.25">
      <c r="A91" s="1067" t="s">
        <v>203</v>
      </c>
      <c r="B91" s="1067" t="s">
        <v>248</v>
      </c>
      <c r="C91" s="1067" t="s">
        <v>370</v>
      </c>
      <c r="D91" s="1067" t="s">
        <v>63</v>
      </c>
      <c r="E91" s="1067">
        <v>18</v>
      </c>
      <c r="F91" s="1067"/>
      <c r="G91" s="1067"/>
      <c r="H91" s="1067"/>
      <c r="I91" s="1067"/>
      <c r="J91" s="1067"/>
      <c r="K91" s="1067">
        <v>18</v>
      </c>
    </row>
    <row r="92" spans="1:11" x14ac:dyDescent="0.25">
      <c r="A92" s="1067" t="s">
        <v>203</v>
      </c>
      <c r="B92" s="1067" t="s">
        <v>248</v>
      </c>
      <c r="C92" s="1067" t="s">
        <v>372</v>
      </c>
      <c r="D92" s="1067" t="s">
        <v>64</v>
      </c>
      <c r="E92" s="1067">
        <v>21</v>
      </c>
      <c r="F92" s="1067"/>
      <c r="G92" s="1067"/>
      <c r="H92" s="1067"/>
      <c r="I92" s="1067"/>
      <c r="J92" s="1067"/>
      <c r="K92" s="1067">
        <v>21</v>
      </c>
    </row>
    <row r="93" spans="1:11" x14ac:dyDescent="0.25">
      <c r="A93" s="1067" t="s">
        <v>203</v>
      </c>
      <c r="B93" s="1067" t="s">
        <v>248</v>
      </c>
      <c r="C93" s="1067" t="s">
        <v>373</v>
      </c>
      <c r="D93" s="1067" t="s">
        <v>36</v>
      </c>
      <c r="E93" s="1067">
        <v>18</v>
      </c>
      <c r="F93" s="1067"/>
      <c r="G93" s="1067"/>
      <c r="H93" s="1067"/>
      <c r="I93" s="1067"/>
      <c r="J93" s="1067"/>
      <c r="K93" s="1067">
        <v>18</v>
      </c>
    </row>
    <row r="94" spans="1:11" x14ac:dyDescent="0.25">
      <c r="A94" s="1067" t="s">
        <v>203</v>
      </c>
      <c r="B94" s="1067" t="s">
        <v>248</v>
      </c>
      <c r="C94" s="1067" t="s">
        <v>374</v>
      </c>
      <c r="D94" s="1067" t="s">
        <v>66</v>
      </c>
      <c r="E94" s="1067">
        <v>20</v>
      </c>
      <c r="F94" s="1067"/>
      <c r="G94" s="1067"/>
      <c r="H94" s="1067"/>
      <c r="I94" s="1067"/>
      <c r="J94" s="1067"/>
      <c r="K94" s="1067">
        <v>20</v>
      </c>
    </row>
    <row r="95" spans="1:11" x14ac:dyDescent="0.25">
      <c r="A95" s="1067" t="s">
        <v>203</v>
      </c>
      <c r="B95" s="1067" t="s">
        <v>248</v>
      </c>
      <c r="C95" s="1067" t="s">
        <v>375</v>
      </c>
      <c r="D95" s="1067" t="s">
        <v>67</v>
      </c>
      <c r="E95" s="1067">
        <v>17</v>
      </c>
      <c r="F95" s="1067"/>
      <c r="G95" s="1067"/>
      <c r="H95" s="1067"/>
      <c r="I95" s="1067"/>
      <c r="J95" s="1067"/>
      <c r="K95" s="1067">
        <v>17</v>
      </c>
    </row>
    <row r="96" spans="1:11" x14ac:dyDescent="0.25">
      <c r="A96" s="1067" t="s">
        <v>203</v>
      </c>
      <c r="B96" s="1067" t="s">
        <v>248</v>
      </c>
      <c r="C96" s="1067" t="s">
        <v>376</v>
      </c>
      <c r="D96" s="1067" t="s">
        <v>68</v>
      </c>
      <c r="E96" s="1067">
        <v>12</v>
      </c>
      <c r="F96" s="1067"/>
      <c r="G96" s="1067"/>
      <c r="H96" s="1067"/>
      <c r="I96" s="1067"/>
      <c r="J96" s="1067"/>
      <c r="K96" s="1067">
        <v>12</v>
      </c>
    </row>
    <row r="97" spans="1:11" x14ac:dyDescent="0.25">
      <c r="A97" s="1067" t="s">
        <v>203</v>
      </c>
      <c r="B97" s="1067" t="s">
        <v>248</v>
      </c>
      <c r="C97" s="1067" t="s">
        <v>377</v>
      </c>
      <c r="D97" s="1067" t="s">
        <v>175</v>
      </c>
      <c r="E97" s="1067">
        <v>24</v>
      </c>
      <c r="F97" s="1067"/>
      <c r="G97" s="1067"/>
      <c r="H97" s="1067"/>
      <c r="I97" s="1067"/>
      <c r="J97" s="1067"/>
      <c r="K97" s="1067">
        <v>24</v>
      </c>
    </row>
    <row r="98" spans="1:11" x14ac:dyDescent="0.25">
      <c r="A98" s="1067" t="s">
        <v>203</v>
      </c>
      <c r="B98" s="1067" t="s">
        <v>248</v>
      </c>
      <c r="C98" s="1067" t="s">
        <v>378</v>
      </c>
      <c r="D98" s="1067" t="s">
        <v>69</v>
      </c>
      <c r="E98" s="1067">
        <v>13</v>
      </c>
      <c r="F98" s="1067"/>
      <c r="G98" s="1067"/>
      <c r="H98" s="1067"/>
      <c r="I98" s="1067"/>
      <c r="J98" s="1067"/>
      <c r="K98" s="1067">
        <v>13</v>
      </c>
    </row>
    <row r="99" spans="1:11" x14ac:dyDescent="0.25">
      <c r="A99" s="1067" t="s">
        <v>203</v>
      </c>
      <c r="B99" s="1067" t="s">
        <v>248</v>
      </c>
      <c r="C99" s="1067" t="s">
        <v>1074</v>
      </c>
      <c r="D99" s="1067" t="s">
        <v>121</v>
      </c>
      <c r="E99" s="1067">
        <v>25</v>
      </c>
      <c r="F99" s="1067"/>
      <c r="G99" s="1067"/>
      <c r="H99" s="1067"/>
      <c r="I99" s="1067"/>
      <c r="J99" s="1067"/>
      <c r="K99" s="1067">
        <v>25</v>
      </c>
    </row>
    <row r="100" spans="1:11" x14ac:dyDescent="0.25">
      <c r="A100" s="1067" t="s">
        <v>203</v>
      </c>
      <c r="B100" s="1067" t="s">
        <v>248</v>
      </c>
      <c r="C100" s="1067" t="s">
        <v>379</v>
      </c>
      <c r="D100" s="1067" t="s">
        <v>70</v>
      </c>
      <c r="E100" s="1067">
        <v>13</v>
      </c>
      <c r="F100" s="1067"/>
      <c r="G100" s="1067"/>
      <c r="H100" s="1067"/>
      <c r="I100" s="1067"/>
      <c r="J100" s="1067"/>
      <c r="K100" s="1067">
        <v>13</v>
      </c>
    </row>
    <row r="101" spans="1:11" x14ac:dyDescent="0.25">
      <c r="A101" s="1067" t="s">
        <v>203</v>
      </c>
      <c r="B101" s="1067" t="s">
        <v>248</v>
      </c>
      <c r="C101" s="1067" t="s">
        <v>1075</v>
      </c>
      <c r="D101" s="1067" t="s">
        <v>50</v>
      </c>
      <c r="E101" s="1067">
        <v>16</v>
      </c>
      <c r="F101" s="1067"/>
      <c r="G101" s="1067"/>
      <c r="H101" s="1067"/>
      <c r="I101" s="1067"/>
      <c r="J101" s="1067"/>
      <c r="K101" s="1067">
        <v>16</v>
      </c>
    </row>
    <row r="102" spans="1:11" x14ac:dyDescent="0.25">
      <c r="A102" s="1067" t="s">
        <v>203</v>
      </c>
      <c r="B102" s="1067" t="s">
        <v>248</v>
      </c>
      <c r="C102" s="1067" t="s">
        <v>380</v>
      </c>
      <c r="D102" s="1067" t="s">
        <v>57</v>
      </c>
      <c r="E102" s="1067">
        <v>10</v>
      </c>
      <c r="F102" s="1067"/>
      <c r="G102" s="1067"/>
      <c r="H102" s="1067"/>
      <c r="I102" s="1067"/>
      <c r="J102" s="1067"/>
      <c r="K102" s="1067">
        <v>10</v>
      </c>
    </row>
    <row r="103" spans="1:11" x14ac:dyDescent="0.25">
      <c r="A103" s="1067" t="s">
        <v>203</v>
      </c>
      <c r="B103" s="1067" t="s">
        <v>248</v>
      </c>
      <c r="C103" s="1067" t="s">
        <v>1072</v>
      </c>
      <c r="D103" s="1067" t="s">
        <v>1071</v>
      </c>
      <c r="E103" s="1067">
        <v>5</v>
      </c>
      <c r="F103" s="1067"/>
      <c r="G103" s="1067"/>
      <c r="H103" s="1067"/>
      <c r="I103" s="1067"/>
      <c r="J103" s="1067"/>
      <c r="K103" s="1067">
        <v>5</v>
      </c>
    </row>
    <row r="104" spans="1:11" x14ac:dyDescent="0.25">
      <c r="A104" s="1067" t="s">
        <v>203</v>
      </c>
      <c r="B104" s="1067" t="s">
        <v>248</v>
      </c>
      <c r="C104" s="1067" t="s">
        <v>381</v>
      </c>
      <c r="D104" s="1067" t="s">
        <v>71</v>
      </c>
      <c r="E104" s="1067">
        <v>7</v>
      </c>
      <c r="F104" s="1067"/>
      <c r="G104" s="1067"/>
      <c r="H104" s="1067"/>
      <c r="I104" s="1067"/>
      <c r="J104" s="1067"/>
      <c r="K104" s="1067">
        <v>7</v>
      </c>
    </row>
    <row r="105" spans="1:11" x14ac:dyDescent="0.25">
      <c r="A105" s="1067" t="s">
        <v>203</v>
      </c>
      <c r="B105" s="1067" t="s">
        <v>248</v>
      </c>
      <c r="C105" s="1067" t="s">
        <v>371</v>
      </c>
      <c r="D105" s="1067" t="s">
        <v>65</v>
      </c>
      <c r="E105" s="1067">
        <v>12</v>
      </c>
      <c r="F105" s="1067"/>
      <c r="G105" s="1067"/>
      <c r="H105" s="1067"/>
      <c r="I105" s="1067"/>
      <c r="J105" s="1067"/>
      <c r="K105" s="1067">
        <v>12</v>
      </c>
    </row>
    <row r="106" spans="1:11" x14ac:dyDescent="0.25">
      <c r="A106" s="1067" t="s">
        <v>203</v>
      </c>
      <c r="B106" s="1067" t="s">
        <v>248</v>
      </c>
      <c r="C106" s="1067" t="s">
        <v>1073</v>
      </c>
      <c r="D106" s="1067" t="s">
        <v>43</v>
      </c>
      <c r="E106" s="1067">
        <v>21</v>
      </c>
      <c r="F106" s="1067"/>
      <c r="G106" s="1067"/>
      <c r="H106" s="1067"/>
      <c r="I106" s="1067"/>
      <c r="J106" s="1067"/>
      <c r="K106" s="1067">
        <v>21</v>
      </c>
    </row>
    <row r="107" spans="1:11" x14ac:dyDescent="0.25">
      <c r="A107" s="1067" t="s">
        <v>203</v>
      </c>
      <c r="B107" s="1067" t="s">
        <v>249</v>
      </c>
      <c r="C107" s="1067" t="s">
        <v>403</v>
      </c>
      <c r="D107" s="1067" t="s">
        <v>173</v>
      </c>
      <c r="E107" s="1067">
        <v>445</v>
      </c>
      <c r="F107" s="1067"/>
      <c r="G107" s="1067"/>
      <c r="H107" s="1067"/>
      <c r="I107" s="1067">
        <v>340</v>
      </c>
      <c r="J107" s="1067"/>
      <c r="K107" s="1067">
        <v>105</v>
      </c>
    </row>
    <row r="108" spans="1:11" x14ac:dyDescent="0.25">
      <c r="A108" s="1067" t="s">
        <v>203</v>
      </c>
      <c r="B108" s="1067" t="s">
        <v>249</v>
      </c>
      <c r="C108" s="1067" t="s">
        <v>402</v>
      </c>
      <c r="D108" s="1067" t="s">
        <v>174</v>
      </c>
      <c r="E108" s="1067">
        <v>242</v>
      </c>
      <c r="F108" s="1067"/>
      <c r="G108" s="1067"/>
      <c r="H108" s="1067"/>
      <c r="I108" s="1067">
        <v>163</v>
      </c>
      <c r="J108" s="1067"/>
      <c r="K108" s="1067">
        <v>79</v>
      </c>
    </row>
    <row r="109" spans="1:11" x14ac:dyDescent="0.25">
      <c r="A109" s="1067" t="s">
        <v>203</v>
      </c>
      <c r="B109" s="1067" t="s">
        <v>249</v>
      </c>
      <c r="C109" s="1067" t="s">
        <v>404</v>
      </c>
      <c r="D109" s="1067" t="s">
        <v>172</v>
      </c>
      <c r="E109" s="1067">
        <v>193</v>
      </c>
      <c r="F109" s="1067"/>
      <c r="G109" s="1067"/>
      <c r="H109" s="1067"/>
      <c r="I109" s="1067">
        <v>126</v>
      </c>
      <c r="J109" s="1067"/>
      <c r="K109" s="1067">
        <v>67</v>
      </c>
    </row>
    <row r="110" spans="1:11" x14ac:dyDescent="0.25">
      <c r="A110" s="1067" t="s">
        <v>203</v>
      </c>
      <c r="B110" s="1067" t="s">
        <v>250</v>
      </c>
      <c r="C110" s="1067" t="s">
        <v>382</v>
      </c>
      <c r="D110" s="1067" t="s">
        <v>259</v>
      </c>
      <c r="E110" s="1067">
        <v>518</v>
      </c>
      <c r="F110" s="1067">
        <v>230</v>
      </c>
      <c r="G110" s="1067"/>
      <c r="H110" s="1067"/>
      <c r="I110" s="1067">
        <v>238</v>
      </c>
      <c r="J110" s="1067"/>
      <c r="K110" s="1067">
        <v>50</v>
      </c>
    </row>
    <row r="111" spans="1:11" x14ac:dyDescent="0.25">
      <c r="A111" s="1067" t="s">
        <v>202</v>
      </c>
      <c r="B111" s="1067" t="s">
        <v>247</v>
      </c>
      <c r="C111" s="1067" t="s">
        <v>282</v>
      </c>
      <c r="D111" s="1067" t="s">
        <v>35</v>
      </c>
      <c r="E111" s="1067">
        <v>47</v>
      </c>
      <c r="F111" s="1067"/>
      <c r="G111" s="1067">
        <v>21</v>
      </c>
      <c r="H111" s="1067"/>
      <c r="I111" s="1067"/>
      <c r="J111" s="1067">
        <v>0</v>
      </c>
      <c r="K111" s="1067">
        <v>26</v>
      </c>
    </row>
    <row r="112" spans="1:11" x14ac:dyDescent="0.25">
      <c r="A112" s="1067" t="s">
        <v>202</v>
      </c>
      <c r="B112" s="1067" t="s">
        <v>247</v>
      </c>
      <c r="C112" s="1067" t="s">
        <v>283</v>
      </c>
      <c r="D112" s="1067" t="s">
        <v>36</v>
      </c>
      <c r="E112" s="1067">
        <v>260</v>
      </c>
      <c r="F112" s="1067"/>
      <c r="G112" s="1067">
        <v>190</v>
      </c>
      <c r="H112" s="1067"/>
      <c r="I112" s="1067"/>
      <c r="J112" s="1067">
        <v>5</v>
      </c>
      <c r="K112" s="1067">
        <v>65</v>
      </c>
    </row>
    <row r="113" spans="1:11" x14ac:dyDescent="0.25">
      <c r="A113" s="1067" t="s">
        <v>202</v>
      </c>
      <c r="B113" s="1067" t="s">
        <v>247</v>
      </c>
      <c r="C113" s="1067" t="s">
        <v>284</v>
      </c>
      <c r="D113" s="1067" t="s">
        <v>38</v>
      </c>
      <c r="E113" s="1067">
        <v>136</v>
      </c>
      <c r="F113" s="1067"/>
      <c r="G113" s="1067">
        <v>83</v>
      </c>
      <c r="H113" s="1067"/>
      <c r="I113" s="1067"/>
      <c r="J113" s="1067">
        <v>0</v>
      </c>
      <c r="K113" s="1067">
        <v>53</v>
      </c>
    </row>
    <row r="114" spans="1:11" x14ac:dyDescent="0.25">
      <c r="A114" s="1067" t="s">
        <v>202</v>
      </c>
      <c r="B114" s="1067" t="s">
        <v>247</v>
      </c>
      <c r="C114" s="1067" t="s">
        <v>285</v>
      </c>
      <c r="D114" s="1067" t="s">
        <v>40</v>
      </c>
      <c r="E114" s="1067">
        <v>82</v>
      </c>
      <c r="F114" s="1067"/>
      <c r="G114" s="1067">
        <v>55</v>
      </c>
      <c r="H114" s="1067"/>
      <c r="I114" s="1067"/>
      <c r="J114" s="1067">
        <v>0</v>
      </c>
      <c r="K114" s="1067">
        <v>27</v>
      </c>
    </row>
    <row r="115" spans="1:11" x14ac:dyDescent="0.25">
      <c r="A115" s="1067" t="s">
        <v>202</v>
      </c>
      <c r="B115" s="1067" t="s">
        <v>247</v>
      </c>
      <c r="C115" s="1067" t="s">
        <v>286</v>
      </c>
      <c r="D115" s="1067" t="s">
        <v>41</v>
      </c>
      <c r="E115" s="1067">
        <v>55</v>
      </c>
      <c r="F115" s="1067"/>
      <c r="G115" s="1067">
        <v>2</v>
      </c>
      <c r="H115" s="1067"/>
      <c r="I115" s="1067"/>
      <c r="J115" s="1067">
        <v>0</v>
      </c>
      <c r="K115" s="1067">
        <v>53</v>
      </c>
    </row>
    <row r="116" spans="1:11" x14ac:dyDescent="0.25">
      <c r="A116" s="1067" t="s">
        <v>202</v>
      </c>
      <c r="B116" s="1067" t="s">
        <v>247</v>
      </c>
      <c r="C116" s="1067" t="s">
        <v>287</v>
      </c>
      <c r="D116" s="1067" t="s">
        <v>48</v>
      </c>
      <c r="E116" s="1067">
        <v>140</v>
      </c>
      <c r="F116" s="1067"/>
      <c r="G116" s="1067">
        <v>140</v>
      </c>
      <c r="H116" s="1067"/>
      <c r="I116" s="1067"/>
      <c r="J116" s="1067">
        <v>0</v>
      </c>
      <c r="K116" s="1067">
        <v>0</v>
      </c>
    </row>
    <row r="117" spans="1:11" x14ac:dyDescent="0.25">
      <c r="A117" s="1067" t="s">
        <v>202</v>
      </c>
      <c r="B117" s="1067" t="s">
        <v>247</v>
      </c>
      <c r="C117" s="1067" t="s">
        <v>288</v>
      </c>
      <c r="D117" s="1067" t="s">
        <v>42</v>
      </c>
      <c r="E117" s="1067">
        <v>148</v>
      </c>
      <c r="F117" s="1067"/>
      <c r="G117" s="1067">
        <v>53</v>
      </c>
      <c r="H117" s="1067"/>
      <c r="I117" s="1067"/>
      <c r="J117" s="1067">
        <v>0</v>
      </c>
      <c r="K117" s="1067">
        <v>95</v>
      </c>
    </row>
    <row r="118" spans="1:11" x14ac:dyDescent="0.25">
      <c r="A118" s="1067" t="s">
        <v>202</v>
      </c>
      <c r="B118" s="1067" t="s">
        <v>247</v>
      </c>
      <c r="C118" s="1067" t="s">
        <v>289</v>
      </c>
      <c r="D118" s="1067" t="s">
        <v>44</v>
      </c>
      <c r="E118" s="1067">
        <v>661</v>
      </c>
      <c r="F118" s="1067"/>
      <c r="G118" s="1067">
        <v>525</v>
      </c>
      <c r="H118" s="1067"/>
      <c r="I118" s="1067"/>
      <c r="J118" s="1067">
        <v>68</v>
      </c>
      <c r="K118" s="1067">
        <v>68</v>
      </c>
    </row>
    <row r="119" spans="1:11" x14ac:dyDescent="0.25">
      <c r="A119" s="1067" t="s">
        <v>202</v>
      </c>
      <c r="B119" s="1067" t="s">
        <v>247</v>
      </c>
      <c r="C119" s="1067" t="s">
        <v>290</v>
      </c>
      <c r="D119" s="1067" t="s">
        <v>45</v>
      </c>
      <c r="E119" s="1067">
        <v>111</v>
      </c>
      <c r="F119" s="1067"/>
      <c r="G119" s="1067">
        <v>41</v>
      </c>
      <c r="H119" s="1067"/>
      <c r="I119" s="1067"/>
      <c r="J119" s="1067">
        <v>0</v>
      </c>
      <c r="K119" s="1067">
        <v>70</v>
      </c>
    </row>
    <row r="120" spans="1:11" x14ac:dyDescent="0.25">
      <c r="A120" s="1067" t="s">
        <v>202</v>
      </c>
      <c r="B120" s="1067" t="s">
        <v>247</v>
      </c>
      <c r="C120" s="1067" t="s">
        <v>291</v>
      </c>
      <c r="D120" s="1067" t="s">
        <v>46</v>
      </c>
      <c r="E120" s="1067">
        <v>34</v>
      </c>
      <c r="F120" s="1067"/>
      <c r="G120" s="1067">
        <v>11</v>
      </c>
      <c r="H120" s="1067"/>
      <c r="I120" s="1067"/>
      <c r="J120" s="1067">
        <v>0</v>
      </c>
      <c r="K120" s="1067">
        <v>23</v>
      </c>
    </row>
    <row r="121" spans="1:11" x14ac:dyDescent="0.25">
      <c r="A121" s="1067" t="s">
        <v>202</v>
      </c>
      <c r="B121" s="1067" t="s">
        <v>247</v>
      </c>
      <c r="C121" s="1067" t="s">
        <v>292</v>
      </c>
      <c r="D121" s="1067" t="s">
        <v>47</v>
      </c>
      <c r="E121" s="1067">
        <v>161</v>
      </c>
      <c r="F121" s="1067"/>
      <c r="G121" s="1067">
        <v>110</v>
      </c>
      <c r="H121" s="1067"/>
      <c r="I121" s="1067"/>
      <c r="J121" s="1067">
        <v>20</v>
      </c>
      <c r="K121" s="1067">
        <v>31</v>
      </c>
    </row>
    <row r="122" spans="1:11" x14ac:dyDescent="0.25">
      <c r="A122" s="1067" t="s">
        <v>202</v>
      </c>
      <c r="B122" s="1067" t="s">
        <v>247</v>
      </c>
      <c r="C122" s="1067" t="s">
        <v>293</v>
      </c>
      <c r="D122" s="1067" t="s">
        <v>49</v>
      </c>
      <c r="E122" s="1067">
        <v>208</v>
      </c>
      <c r="F122" s="1067"/>
      <c r="G122" s="1067">
        <v>108</v>
      </c>
      <c r="H122" s="1067"/>
      <c r="I122" s="1067"/>
      <c r="J122" s="1067">
        <v>22</v>
      </c>
      <c r="K122" s="1067">
        <v>78</v>
      </c>
    </row>
    <row r="123" spans="1:11" x14ac:dyDescent="0.25">
      <c r="A123" s="1067" t="s">
        <v>202</v>
      </c>
      <c r="B123" s="1067" t="s">
        <v>247</v>
      </c>
      <c r="C123" s="1067" t="s">
        <v>294</v>
      </c>
      <c r="D123" s="1067" t="s">
        <v>51</v>
      </c>
      <c r="E123" s="1067">
        <v>98</v>
      </c>
      <c r="F123" s="1067"/>
      <c r="G123" s="1067">
        <v>98</v>
      </c>
      <c r="H123" s="1067"/>
      <c r="I123" s="1067"/>
      <c r="J123" s="1067">
        <v>0</v>
      </c>
      <c r="K123" s="1067">
        <v>0</v>
      </c>
    </row>
    <row r="124" spans="1:11" x14ac:dyDescent="0.25">
      <c r="A124" s="1067" t="s">
        <v>202</v>
      </c>
      <c r="B124" s="1067" t="s">
        <v>247</v>
      </c>
      <c r="C124" s="1067" t="s">
        <v>295</v>
      </c>
      <c r="D124" s="1067" t="s">
        <v>52</v>
      </c>
      <c r="E124" s="1067">
        <v>222</v>
      </c>
      <c r="F124" s="1067"/>
      <c r="G124" s="1067">
        <v>126</v>
      </c>
      <c r="H124" s="1067"/>
      <c r="I124" s="1067"/>
      <c r="J124" s="1067">
        <v>23</v>
      </c>
      <c r="K124" s="1067">
        <v>73</v>
      </c>
    </row>
    <row r="125" spans="1:11" x14ac:dyDescent="0.25">
      <c r="A125" s="1067" t="s">
        <v>202</v>
      </c>
      <c r="B125" s="1067" t="s">
        <v>247</v>
      </c>
      <c r="C125" s="1067" t="s">
        <v>296</v>
      </c>
      <c r="D125" s="1067" t="s">
        <v>54</v>
      </c>
      <c r="E125" s="1067">
        <v>218</v>
      </c>
      <c r="F125" s="1067"/>
      <c r="G125" s="1067">
        <v>147</v>
      </c>
      <c r="H125" s="1067"/>
      <c r="I125" s="1067"/>
      <c r="J125" s="1067">
        <v>0</v>
      </c>
      <c r="K125" s="1067">
        <v>71</v>
      </c>
    </row>
    <row r="126" spans="1:11" x14ac:dyDescent="0.25">
      <c r="A126" s="1067" t="s">
        <v>202</v>
      </c>
      <c r="B126" s="1067" t="s">
        <v>247</v>
      </c>
      <c r="C126" s="1067" t="s">
        <v>297</v>
      </c>
      <c r="D126" s="1067" t="s">
        <v>55</v>
      </c>
      <c r="E126" s="1067">
        <v>126</v>
      </c>
      <c r="F126" s="1067"/>
      <c r="G126" s="1067">
        <v>126</v>
      </c>
      <c r="H126" s="1067"/>
      <c r="I126" s="1067"/>
      <c r="J126" s="1067">
        <v>0</v>
      </c>
      <c r="K126" s="1067">
        <v>0</v>
      </c>
    </row>
    <row r="127" spans="1:11" x14ac:dyDescent="0.25">
      <c r="A127" s="1067" t="s">
        <v>202</v>
      </c>
      <c r="B127" s="1067" t="s">
        <v>247</v>
      </c>
      <c r="C127" s="1067" t="s">
        <v>298</v>
      </c>
      <c r="D127" s="1067" t="s">
        <v>56</v>
      </c>
      <c r="E127" s="1067">
        <v>108</v>
      </c>
      <c r="F127" s="1067"/>
      <c r="G127" s="1067">
        <v>53</v>
      </c>
      <c r="H127" s="1067"/>
      <c r="I127" s="1067"/>
      <c r="J127" s="1067">
        <v>0</v>
      </c>
      <c r="K127" s="1067">
        <v>55</v>
      </c>
    </row>
    <row r="128" spans="1:11" x14ac:dyDescent="0.25">
      <c r="A128" s="1067" t="s">
        <v>202</v>
      </c>
      <c r="B128" s="1067" t="s">
        <v>247</v>
      </c>
      <c r="C128" s="1067" t="s">
        <v>299</v>
      </c>
      <c r="D128" s="1067" t="s">
        <v>57</v>
      </c>
      <c r="E128" s="1067">
        <v>252</v>
      </c>
      <c r="F128" s="1067"/>
      <c r="G128" s="1067">
        <v>71</v>
      </c>
      <c r="H128" s="1067"/>
      <c r="I128" s="1067"/>
      <c r="J128" s="1067">
        <v>3</v>
      </c>
      <c r="K128" s="1067">
        <v>178</v>
      </c>
    </row>
    <row r="129" spans="1:11" x14ac:dyDescent="0.25">
      <c r="A129" s="1067" t="s">
        <v>202</v>
      </c>
      <c r="B129" s="1067" t="s">
        <v>247</v>
      </c>
      <c r="C129" s="1067" t="s">
        <v>300</v>
      </c>
      <c r="D129" s="1067" t="s">
        <v>58</v>
      </c>
      <c r="E129" s="1067">
        <v>124</v>
      </c>
      <c r="F129" s="1067"/>
      <c r="G129" s="1067">
        <v>73</v>
      </c>
      <c r="H129" s="1067"/>
      <c r="I129" s="1067"/>
      <c r="J129" s="1067">
        <v>0</v>
      </c>
      <c r="K129" s="1067">
        <v>51</v>
      </c>
    </row>
    <row r="130" spans="1:11" x14ac:dyDescent="0.25">
      <c r="A130" s="1067" t="s">
        <v>202</v>
      </c>
      <c r="B130" s="1067" t="s">
        <v>247</v>
      </c>
      <c r="C130" s="1067" t="s">
        <v>301</v>
      </c>
      <c r="D130" s="1067" t="s">
        <v>31</v>
      </c>
      <c r="E130" s="1067">
        <v>167</v>
      </c>
      <c r="F130" s="1067"/>
      <c r="G130" s="1067">
        <v>23</v>
      </c>
      <c r="H130" s="1067"/>
      <c r="I130" s="1067"/>
      <c r="J130" s="1067">
        <v>0</v>
      </c>
      <c r="K130" s="1067">
        <v>144</v>
      </c>
    </row>
    <row r="131" spans="1:11" x14ac:dyDescent="0.25">
      <c r="A131" s="1067" t="s">
        <v>202</v>
      </c>
      <c r="B131" s="1067" t="s">
        <v>247</v>
      </c>
      <c r="C131" s="1067" t="s">
        <v>302</v>
      </c>
      <c r="D131" s="1067" t="s">
        <v>32</v>
      </c>
      <c r="E131" s="1067">
        <v>303</v>
      </c>
      <c r="F131" s="1067"/>
      <c r="G131" s="1067">
        <v>271</v>
      </c>
      <c r="H131" s="1067"/>
      <c r="I131" s="1067"/>
      <c r="J131" s="1067">
        <v>0</v>
      </c>
      <c r="K131" s="1067">
        <v>32</v>
      </c>
    </row>
    <row r="132" spans="1:11" x14ac:dyDescent="0.25">
      <c r="A132" s="1067" t="s">
        <v>202</v>
      </c>
      <c r="B132" s="1067" t="s">
        <v>247</v>
      </c>
      <c r="C132" s="1067" t="s">
        <v>303</v>
      </c>
      <c r="D132" s="1067" t="s">
        <v>34</v>
      </c>
      <c r="E132" s="1067">
        <v>438</v>
      </c>
      <c r="F132" s="1067"/>
      <c r="G132" s="1067">
        <v>182</v>
      </c>
      <c r="H132" s="1067"/>
      <c r="I132" s="1067"/>
      <c r="J132" s="1067">
        <v>201</v>
      </c>
      <c r="K132" s="1067">
        <v>55</v>
      </c>
    </row>
    <row r="133" spans="1:11" x14ac:dyDescent="0.25">
      <c r="A133" s="1067" t="s">
        <v>202</v>
      </c>
      <c r="B133" s="1067" t="s">
        <v>247</v>
      </c>
      <c r="C133" s="1067" t="s">
        <v>304</v>
      </c>
      <c r="D133" s="1067" t="s">
        <v>258</v>
      </c>
      <c r="E133" s="1067">
        <v>327</v>
      </c>
      <c r="F133" s="1067"/>
      <c r="G133" s="1067">
        <v>12</v>
      </c>
      <c r="H133" s="1067"/>
      <c r="I133" s="1067"/>
      <c r="J133" s="1067">
        <v>0</v>
      </c>
      <c r="K133" s="1067">
        <v>315</v>
      </c>
    </row>
    <row r="134" spans="1:11" x14ac:dyDescent="0.25">
      <c r="A134" s="1067" t="s">
        <v>202</v>
      </c>
      <c r="B134" s="1067" t="s">
        <v>247</v>
      </c>
      <c r="C134" s="1067" t="s">
        <v>305</v>
      </c>
      <c r="D134" s="1067" t="s">
        <v>53</v>
      </c>
      <c r="E134" s="1067">
        <v>105</v>
      </c>
      <c r="F134" s="1067"/>
      <c r="G134" s="1067">
        <v>13</v>
      </c>
      <c r="H134" s="1067"/>
      <c r="I134" s="1067"/>
      <c r="J134" s="1067">
        <v>0</v>
      </c>
      <c r="K134" s="1067">
        <v>92</v>
      </c>
    </row>
    <row r="135" spans="1:11" x14ac:dyDescent="0.25">
      <c r="A135" s="1067" t="s">
        <v>202</v>
      </c>
      <c r="B135" s="1067" t="s">
        <v>247</v>
      </c>
      <c r="C135" s="1067" t="s">
        <v>306</v>
      </c>
      <c r="D135" s="1067" t="s">
        <v>59</v>
      </c>
      <c r="E135" s="1067">
        <v>89</v>
      </c>
      <c r="F135" s="1067"/>
      <c r="G135" s="1067">
        <v>19</v>
      </c>
      <c r="H135" s="1067"/>
      <c r="I135" s="1067"/>
      <c r="J135" s="1067">
        <v>0</v>
      </c>
      <c r="K135" s="1067">
        <v>70</v>
      </c>
    </row>
    <row r="136" spans="1:11" x14ac:dyDescent="0.25">
      <c r="A136" s="1067" t="s">
        <v>202</v>
      </c>
      <c r="B136" s="1067" t="s">
        <v>247</v>
      </c>
      <c r="C136" s="1067" t="s">
        <v>307</v>
      </c>
      <c r="D136" s="1067" t="s">
        <v>60</v>
      </c>
      <c r="E136" s="1067">
        <v>116</v>
      </c>
      <c r="F136" s="1067"/>
      <c r="G136" s="1067">
        <v>55</v>
      </c>
      <c r="H136" s="1067"/>
      <c r="I136" s="1067"/>
      <c r="J136" s="1067">
        <v>0</v>
      </c>
      <c r="K136" s="1067">
        <v>61</v>
      </c>
    </row>
    <row r="137" spans="1:11" x14ac:dyDescent="0.25">
      <c r="A137" s="1067" t="s">
        <v>202</v>
      </c>
      <c r="B137" s="1067" t="s">
        <v>247</v>
      </c>
      <c r="C137" s="1067" t="s">
        <v>308</v>
      </c>
      <c r="D137" s="1067" t="s">
        <v>33</v>
      </c>
      <c r="E137" s="1067">
        <v>134</v>
      </c>
      <c r="F137" s="1067"/>
      <c r="G137" s="1067">
        <v>98</v>
      </c>
      <c r="H137" s="1067"/>
      <c r="I137" s="1067"/>
      <c r="J137" s="1067">
        <v>0</v>
      </c>
      <c r="K137" s="1067">
        <v>36</v>
      </c>
    </row>
    <row r="138" spans="1:11" x14ac:dyDescent="0.25">
      <c r="A138" s="1067" t="s">
        <v>202</v>
      </c>
      <c r="B138" s="1067" t="s">
        <v>247</v>
      </c>
      <c r="C138" s="1067" t="s">
        <v>309</v>
      </c>
      <c r="D138" s="1067" t="s">
        <v>37</v>
      </c>
      <c r="E138" s="1067">
        <v>187</v>
      </c>
      <c r="F138" s="1067"/>
      <c r="G138" s="1067">
        <v>11</v>
      </c>
      <c r="H138" s="1067"/>
      <c r="I138" s="1067"/>
      <c r="J138" s="1067">
        <v>0</v>
      </c>
      <c r="K138" s="1067">
        <v>176</v>
      </c>
    </row>
    <row r="139" spans="1:11" x14ac:dyDescent="0.25">
      <c r="A139" s="1067" t="s">
        <v>202</v>
      </c>
      <c r="B139" s="1067" t="s">
        <v>247</v>
      </c>
      <c r="C139" s="1067" t="s">
        <v>310</v>
      </c>
      <c r="D139" s="1067" t="s">
        <v>50</v>
      </c>
      <c r="E139" s="1067">
        <v>214</v>
      </c>
      <c r="F139" s="1067"/>
      <c r="G139" s="1067">
        <v>34</v>
      </c>
      <c r="H139" s="1067"/>
      <c r="I139" s="1067"/>
      <c r="J139" s="1067">
        <v>0</v>
      </c>
      <c r="K139" s="1067">
        <v>180</v>
      </c>
    </row>
    <row r="140" spans="1:11" x14ac:dyDescent="0.25">
      <c r="A140" s="1067" t="s">
        <v>202</v>
      </c>
      <c r="B140" s="1067" t="s">
        <v>247</v>
      </c>
      <c r="C140" s="1067" t="s">
        <v>311</v>
      </c>
      <c r="D140" s="1067" t="s">
        <v>39</v>
      </c>
      <c r="E140" s="1067">
        <v>71</v>
      </c>
      <c r="F140" s="1067"/>
      <c r="G140" s="1067">
        <v>1</v>
      </c>
      <c r="H140" s="1067"/>
      <c r="I140" s="1067"/>
      <c r="J140" s="1067">
        <v>0</v>
      </c>
      <c r="K140" s="1067">
        <v>70</v>
      </c>
    </row>
    <row r="141" spans="1:11" x14ac:dyDescent="0.25">
      <c r="A141" s="1067" t="s">
        <v>202</v>
      </c>
      <c r="B141" s="1067" t="s">
        <v>247</v>
      </c>
      <c r="C141" s="1067" t="s">
        <v>312</v>
      </c>
      <c r="D141" s="1067" t="s">
        <v>121</v>
      </c>
      <c r="E141" s="1067">
        <v>505</v>
      </c>
      <c r="F141" s="1067"/>
      <c r="G141" s="1067">
        <v>6</v>
      </c>
      <c r="H141" s="1067"/>
      <c r="I141" s="1067"/>
      <c r="J141" s="1067">
        <v>0</v>
      </c>
      <c r="K141" s="1067">
        <v>499</v>
      </c>
    </row>
    <row r="142" spans="1:11" x14ac:dyDescent="0.25">
      <c r="A142" s="1067" t="s">
        <v>202</v>
      </c>
      <c r="B142" s="1067" t="s">
        <v>247</v>
      </c>
      <c r="C142" s="1067" t="s">
        <v>313</v>
      </c>
      <c r="D142" s="1067" t="s">
        <v>43</v>
      </c>
      <c r="E142" s="1067">
        <v>390</v>
      </c>
      <c r="F142" s="1067"/>
      <c r="G142" s="1067">
        <v>112</v>
      </c>
      <c r="H142" s="1067"/>
      <c r="I142" s="1067"/>
      <c r="J142" s="1067">
        <v>0</v>
      </c>
      <c r="K142" s="1067">
        <v>278</v>
      </c>
    </row>
    <row r="143" spans="1:11" x14ac:dyDescent="0.25">
      <c r="A143" s="1067" t="s">
        <v>202</v>
      </c>
      <c r="B143" s="1067" t="s">
        <v>248</v>
      </c>
      <c r="C143" s="1067" t="s">
        <v>369</v>
      </c>
      <c r="D143" s="1067" t="s">
        <v>31</v>
      </c>
      <c r="E143" s="1067">
        <v>16</v>
      </c>
      <c r="F143" s="1067"/>
      <c r="G143" s="1067"/>
      <c r="H143" s="1067"/>
      <c r="I143" s="1067"/>
      <c r="J143" s="1067"/>
      <c r="K143" s="1067">
        <v>16</v>
      </c>
    </row>
    <row r="144" spans="1:11" x14ac:dyDescent="0.25">
      <c r="A144" s="1067" t="s">
        <v>202</v>
      </c>
      <c r="B144" s="1067" t="s">
        <v>248</v>
      </c>
      <c r="C144" s="1067" t="s">
        <v>370</v>
      </c>
      <c r="D144" s="1067" t="s">
        <v>63</v>
      </c>
      <c r="E144" s="1067">
        <v>27</v>
      </c>
      <c r="F144" s="1067"/>
      <c r="G144" s="1067"/>
      <c r="H144" s="1067"/>
      <c r="I144" s="1067"/>
      <c r="J144" s="1067"/>
      <c r="K144" s="1067">
        <v>27</v>
      </c>
    </row>
    <row r="145" spans="1:11" x14ac:dyDescent="0.25">
      <c r="A145" s="1067" t="s">
        <v>202</v>
      </c>
      <c r="B145" s="1067" t="s">
        <v>248</v>
      </c>
      <c r="C145" s="1067" t="s">
        <v>372</v>
      </c>
      <c r="D145" s="1067" t="s">
        <v>64</v>
      </c>
      <c r="E145" s="1067">
        <v>25</v>
      </c>
      <c r="F145" s="1067"/>
      <c r="G145" s="1067"/>
      <c r="H145" s="1067"/>
      <c r="I145" s="1067"/>
      <c r="J145" s="1067"/>
      <c r="K145" s="1067">
        <v>25</v>
      </c>
    </row>
    <row r="146" spans="1:11" x14ac:dyDescent="0.25">
      <c r="A146" s="1067" t="s">
        <v>202</v>
      </c>
      <c r="B146" s="1067" t="s">
        <v>248</v>
      </c>
      <c r="C146" s="1067" t="s">
        <v>373</v>
      </c>
      <c r="D146" s="1067" t="s">
        <v>36</v>
      </c>
      <c r="E146" s="1067">
        <v>19</v>
      </c>
      <c r="F146" s="1067"/>
      <c r="G146" s="1067"/>
      <c r="H146" s="1067"/>
      <c r="I146" s="1067"/>
      <c r="J146" s="1067"/>
      <c r="K146" s="1067">
        <v>19</v>
      </c>
    </row>
    <row r="147" spans="1:11" x14ac:dyDescent="0.25">
      <c r="A147" s="1067" t="s">
        <v>202</v>
      </c>
      <c r="B147" s="1067" t="s">
        <v>248</v>
      </c>
      <c r="C147" s="1067" t="s">
        <v>374</v>
      </c>
      <c r="D147" s="1067" t="s">
        <v>66</v>
      </c>
      <c r="E147" s="1067">
        <v>29</v>
      </c>
      <c r="F147" s="1067"/>
      <c r="G147" s="1067"/>
      <c r="H147" s="1067"/>
      <c r="I147" s="1067"/>
      <c r="J147" s="1067"/>
      <c r="K147" s="1067">
        <v>29</v>
      </c>
    </row>
    <row r="148" spans="1:11" x14ac:dyDescent="0.25">
      <c r="A148" s="1067" t="s">
        <v>202</v>
      </c>
      <c r="B148" s="1067" t="s">
        <v>248</v>
      </c>
      <c r="C148" s="1067" t="s">
        <v>375</v>
      </c>
      <c r="D148" s="1067" t="s">
        <v>67</v>
      </c>
      <c r="E148" s="1067">
        <v>38</v>
      </c>
      <c r="F148" s="1067"/>
      <c r="G148" s="1067"/>
      <c r="H148" s="1067"/>
      <c r="I148" s="1067"/>
      <c r="J148" s="1067"/>
      <c r="K148" s="1067">
        <v>38</v>
      </c>
    </row>
    <row r="149" spans="1:11" x14ac:dyDescent="0.25">
      <c r="A149" s="1067" t="s">
        <v>202</v>
      </c>
      <c r="B149" s="1067" t="s">
        <v>248</v>
      </c>
      <c r="C149" s="1067" t="s">
        <v>376</v>
      </c>
      <c r="D149" s="1067" t="s">
        <v>68</v>
      </c>
      <c r="E149" s="1067">
        <v>17</v>
      </c>
      <c r="F149" s="1067"/>
      <c r="G149" s="1067"/>
      <c r="H149" s="1067"/>
      <c r="I149" s="1067"/>
      <c r="J149" s="1067"/>
      <c r="K149" s="1067">
        <v>17</v>
      </c>
    </row>
    <row r="150" spans="1:11" x14ac:dyDescent="0.25">
      <c r="A150" s="1067" t="s">
        <v>202</v>
      </c>
      <c r="B150" s="1067" t="s">
        <v>248</v>
      </c>
      <c r="C150" s="1067" t="s">
        <v>377</v>
      </c>
      <c r="D150" s="1067" t="s">
        <v>175</v>
      </c>
      <c r="E150" s="1067">
        <v>27</v>
      </c>
      <c r="F150" s="1067"/>
      <c r="G150" s="1067"/>
      <c r="H150" s="1067"/>
      <c r="I150" s="1067"/>
      <c r="J150" s="1067"/>
      <c r="K150" s="1067">
        <v>27</v>
      </c>
    </row>
    <row r="151" spans="1:11" x14ac:dyDescent="0.25">
      <c r="A151" s="1067" t="s">
        <v>202</v>
      </c>
      <c r="B151" s="1067" t="s">
        <v>248</v>
      </c>
      <c r="C151" s="1067" t="s">
        <v>378</v>
      </c>
      <c r="D151" s="1067" t="s">
        <v>69</v>
      </c>
      <c r="E151" s="1067">
        <v>16</v>
      </c>
      <c r="F151" s="1067"/>
      <c r="G151" s="1067"/>
      <c r="H151" s="1067"/>
      <c r="I151" s="1067"/>
      <c r="J151" s="1067"/>
      <c r="K151" s="1067">
        <v>16</v>
      </c>
    </row>
    <row r="152" spans="1:11" x14ac:dyDescent="0.25">
      <c r="A152" s="1067" t="s">
        <v>202</v>
      </c>
      <c r="B152" s="1067" t="s">
        <v>248</v>
      </c>
      <c r="C152" s="1067" t="s">
        <v>1074</v>
      </c>
      <c r="D152" s="1067" t="s">
        <v>121</v>
      </c>
      <c r="E152" s="1067">
        <v>32</v>
      </c>
      <c r="F152" s="1067"/>
      <c r="G152" s="1067"/>
      <c r="H152" s="1067"/>
      <c r="I152" s="1067"/>
      <c r="J152" s="1067"/>
      <c r="K152" s="1067">
        <v>32</v>
      </c>
    </row>
    <row r="153" spans="1:11" x14ac:dyDescent="0.25">
      <c r="A153" s="1067" t="s">
        <v>202</v>
      </c>
      <c r="B153" s="1067" t="s">
        <v>248</v>
      </c>
      <c r="C153" s="1067" t="s">
        <v>379</v>
      </c>
      <c r="D153" s="1067" t="s">
        <v>70</v>
      </c>
      <c r="E153" s="1067">
        <v>29</v>
      </c>
      <c r="F153" s="1067"/>
      <c r="G153" s="1067"/>
      <c r="H153" s="1067"/>
      <c r="I153" s="1067"/>
      <c r="J153" s="1067"/>
      <c r="K153" s="1067">
        <v>29</v>
      </c>
    </row>
    <row r="154" spans="1:11" x14ac:dyDescent="0.25">
      <c r="A154" s="1067" t="s">
        <v>202</v>
      </c>
      <c r="B154" s="1067" t="s">
        <v>248</v>
      </c>
      <c r="C154" s="1067" t="s">
        <v>1075</v>
      </c>
      <c r="D154" s="1067" t="s">
        <v>50</v>
      </c>
      <c r="E154" s="1067">
        <v>20</v>
      </c>
      <c r="F154" s="1067"/>
      <c r="G154" s="1067"/>
      <c r="H154" s="1067"/>
      <c r="I154" s="1067"/>
      <c r="J154" s="1067"/>
      <c r="K154" s="1067">
        <v>20</v>
      </c>
    </row>
    <row r="155" spans="1:11" x14ac:dyDescent="0.25">
      <c r="A155" s="1067" t="s">
        <v>202</v>
      </c>
      <c r="B155" s="1067" t="s">
        <v>248</v>
      </c>
      <c r="C155" s="1067" t="s">
        <v>380</v>
      </c>
      <c r="D155" s="1067" t="s">
        <v>57</v>
      </c>
      <c r="E155" s="1067">
        <v>16</v>
      </c>
      <c r="F155" s="1067"/>
      <c r="G155" s="1067"/>
      <c r="H155" s="1067"/>
      <c r="I155" s="1067"/>
      <c r="J155" s="1067"/>
      <c r="K155" s="1067">
        <v>16</v>
      </c>
    </row>
    <row r="156" spans="1:11" x14ac:dyDescent="0.25">
      <c r="A156" s="1067" t="s">
        <v>202</v>
      </c>
      <c r="B156" s="1067" t="s">
        <v>248</v>
      </c>
      <c r="C156" s="1067" t="s">
        <v>1072</v>
      </c>
      <c r="D156" s="1067" t="s">
        <v>1071</v>
      </c>
      <c r="E156" s="1067">
        <v>13</v>
      </c>
      <c r="F156" s="1067"/>
      <c r="G156" s="1067"/>
      <c r="H156" s="1067"/>
      <c r="I156" s="1067"/>
      <c r="J156" s="1067"/>
      <c r="K156" s="1067">
        <v>13</v>
      </c>
    </row>
    <row r="157" spans="1:11" x14ac:dyDescent="0.25">
      <c r="A157" s="1067" t="s">
        <v>202</v>
      </c>
      <c r="B157" s="1067" t="s">
        <v>248</v>
      </c>
      <c r="C157" s="1067" t="s">
        <v>381</v>
      </c>
      <c r="D157" s="1067" t="s">
        <v>71</v>
      </c>
      <c r="E157" s="1067">
        <v>11</v>
      </c>
      <c r="F157" s="1067"/>
      <c r="G157" s="1067"/>
      <c r="H157" s="1067"/>
      <c r="I157" s="1067"/>
      <c r="J157" s="1067"/>
      <c r="K157" s="1067">
        <v>11</v>
      </c>
    </row>
    <row r="158" spans="1:11" x14ac:dyDescent="0.25">
      <c r="A158" s="1067" t="s">
        <v>202</v>
      </c>
      <c r="B158" s="1067" t="s">
        <v>248</v>
      </c>
      <c r="C158" s="1067" t="s">
        <v>371</v>
      </c>
      <c r="D158" s="1067" t="s">
        <v>65</v>
      </c>
      <c r="E158" s="1067">
        <v>24</v>
      </c>
      <c r="F158" s="1067"/>
      <c r="G158" s="1067"/>
      <c r="H158" s="1067"/>
      <c r="I158" s="1067"/>
      <c r="J158" s="1067"/>
      <c r="K158" s="1067">
        <v>24</v>
      </c>
    </row>
    <row r="159" spans="1:11" x14ac:dyDescent="0.25">
      <c r="A159" s="1067" t="s">
        <v>202</v>
      </c>
      <c r="B159" s="1067" t="s">
        <v>248</v>
      </c>
      <c r="C159" s="1067" t="s">
        <v>1073</v>
      </c>
      <c r="D159" s="1067" t="s">
        <v>43</v>
      </c>
      <c r="E159" s="1067">
        <v>26</v>
      </c>
      <c r="F159" s="1067"/>
      <c r="G159" s="1067"/>
      <c r="H159" s="1067"/>
      <c r="I159" s="1067"/>
      <c r="J159" s="1067"/>
      <c r="K159" s="1067">
        <v>26</v>
      </c>
    </row>
    <row r="160" spans="1:11" x14ac:dyDescent="0.25">
      <c r="A160" s="1067" t="s">
        <v>202</v>
      </c>
      <c r="B160" s="1067" t="s">
        <v>249</v>
      </c>
      <c r="C160" s="1067" t="s">
        <v>403</v>
      </c>
      <c r="D160" s="1067" t="s">
        <v>173</v>
      </c>
      <c r="E160" s="1067">
        <v>302</v>
      </c>
      <c r="F160" s="1067"/>
      <c r="G160" s="1067"/>
      <c r="H160" s="1067"/>
      <c r="I160" s="1067">
        <v>286</v>
      </c>
      <c r="J160" s="1067"/>
      <c r="K160" s="1067">
        <v>16</v>
      </c>
    </row>
    <row r="161" spans="1:11" x14ac:dyDescent="0.25">
      <c r="A161" s="1067" t="s">
        <v>202</v>
      </c>
      <c r="B161" s="1067" t="s">
        <v>249</v>
      </c>
      <c r="C161" s="1067" t="s">
        <v>402</v>
      </c>
      <c r="D161" s="1067" t="s">
        <v>174</v>
      </c>
      <c r="E161" s="1067">
        <v>149</v>
      </c>
      <c r="F161" s="1067"/>
      <c r="G161" s="1067"/>
      <c r="H161" s="1067"/>
      <c r="I161" s="1067">
        <v>124</v>
      </c>
      <c r="J161" s="1067"/>
      <c r="K161" s="1067">
        <v>25</v>
      </c>
    </row>
    <row r="162" spans="1:11" x14ac:dyDescent="0.25">
      <c r="A162" s="1067" t="s">
        <v>202</v>
      </c>
      <c r="B162" s="1067" t="s">
        <v>249</v>
      </c>
      <c r="C162" s="1067" t="s">
        <v>404</v>
      </c>
      <c r="D162" s="1067" t="s">
        <v>172</v>
      </c>
      <c r="E162" s="1067">
        <v>165</v>
      </c>
      <c r="F162" s="1067"/>
      <c r="G162" s="1067"/>
      <c r="H162" s="1067"/>
      <c r="I162" s="1067">
        <v>121</v>
      </c>
      <c r="J162" s="1067"/>
      <c r="K162" s="1067">
        <v>44</v>
      </c>
    </row>
    <row r="163" spans="1:11" x14ac:dyDescent="0.25">
      <c r="A163" s="1067" t="s">
        <v>202</v>
      </c>
      <c r="B163" s="1067" t="s">
        <v>250</v>
      </c>
      <c r="C163" s="1067" t="s">
        <v>382</v>
      </c>
      <c r="D163" s="1067" t="s">
        <v>259</v>
      </c>
      <c r="E163" s="1067">
        <v>695</v>
      </c>
      <c r="F163" s="1067">
        <v>203</v>
      </c>
      <c r="G163" s="1067"/>
      <c r="H163" s="1067"/>
      <c r="I163" s="1067">
        <v>297</v>
      </c>
      <c r="J163" s="1067"/>
      <c r="K163" s="1067">
        <v>195</v>
      </c>
    </row>
    <row r="164" spans="1:11" x14ac:dyDescent="0.25">
      <c r="A164" s="1067" t="s">
        <v>273</v>
      </c>
      <c r="B164" s="1067" t="s">
        <v>247</v>
      </c>
      <c r="C164" s="1067" t="s">
        <v>282</v>
      </c>
      <c r="D164" s="1067" t="s">
        <v>35</v>
      </c>
      <c r="E164" s="1067">
        <v>46</v>
      </c>
      <c r="F164" s="1067"/>
      <c r="G164" s="1067">
        <v>24</v>
      </c>
      <c r="H164" s="1067"/>
      <c r="I164" s="1067"/>
      <c r="J164" s="1067">
        <v>0</v>
      </c>
      <c r="K164" s="1067">
        <v>22</v>
      </c>
    </row>
    <row r="165" spans="1:11" x14ac:dyDescent="0.25">
      <c r="A165" s="1067" t="s">
        <v>273</v>
      </c>
      <c r="B165" s="1067" t="s">
        <v>247</v>
      </c>
      <c r="C165" s="1067" t="s">
        <v>283</v>
      </c>
      <c r="D165" s="1067" t="s">
        <v>36</v>
      </c>
      <c r="E165" s="1067">
        <v>270</v>
      </c>
      <c r="F165" s="1067"/>
      <c r="G165" s="1067">
        <v>202</v>
      </c>
      <c r="H165" s="1067"/>
      <c r="I165" s="1067"/>
      <c r="J165" s="1067">
        <v>5</v>
      </c>
      <c r="K165" s="1067">
        <v>63</v>
      </c>
    </row>
    <row r="166" spans="1:11" x14ac:dyDescent="0.25">
      <c r="A166" s="1067" t="s">
        <v>273</v>
      </c>
      <c r="B166" s="1067" t="s">
        <v>247</v>
      </c>
      <c r="C166" s="1067" t="s">
        <v>284</v>
      </c>
      <c r="D166" s="1067" t="s">
        <v>38</v>
      </c>
      <c r="E166" s="1067">
        <v>127</v>
      </c>
      <c r="F166" s="1067"/>
      <c r="G166" s="1067">
        <v>81</v>
      </c>
      <c r="H166" s="1067"/>
      <c r="I166" s="1067"/>
      <c r="J166" s="1067">
        <v>0</v>
      </c>
      <c r="K166" s="1067">
        <v>46</v>
      </c>
    </row>
    <row r="167" spans="1:11" x14ac:dyDescent="0.25">
      <c r="A167" s="1067" t="s">
        <v>273</v>
      </c>
      <c r="B167" s="1067" t="s">
        <v>247</v>
      </c>
      <c r="C167" s="1067" t="s">
        <v>285</v>
      </c>
      <c r="D167" s="1067" t="s">
        <v>40</v>
      </c>
      <c r="E167" s="1067">
        <v>82</v>
      </c>
      <c r="F167" s="1067"/>
      <c r="G167" s="1067">
        <v>55</v>
      </c>
      <c r="H167" s="1067"/>
      <c r="I167" s="1067"/>
      <c r="J167" s="1067">
        <v>0</v>
      </c>
      <c r="K167" s="1067">
        <v>27</v>
      </c>
    </row>
    <row r="168" spans="1:11" x14ac:dyDescent="0.25">
      <c r="A168" s="1067" t="s">
        <v>273</v>
      </c>
      <c r="B168" s="1067" t="s">
        <v>247</v>
      </c>
      <c r="C168" s="1067" t="s">
        <v>286</v>
      </c>
      <c r="D168" s="1067" t="s">
        <v>41</v>
      </c>
      <c r="E168" s="1067">
        <v>50</v>
      </c>
      <c r="F168" s="1067"/>
      <c r="G168" s="1067">
        <v>0</v>
      </c>
      <c r="H168" s="1067"/>
      <c r="I168" s="1067"/>
      <c r="J168" s="1067">
        <v>0</v>
      </c>
      <c r="K168" s="1067">
        <v>50</v>
      </c>
    </row>
    <row r="169" spans="1:11" x14ac:dyDescent="0.25">
      <c r="A169" s="1067" t="s">
        <v>273</v>
      </c>
      <c r="B169" s="1067" t="s">
        <v>247</v>
      </c>
      <c r="C169" s="1067" t="s">
        <v>287</v>
      </c>
      <c r="D169" s="1067" t="s">
        <v>48</v>
      </c>
      <c r="E169" s="1067">
        <v>137</v>
      </c>
      <c r="F169" s="1067"/>
      <c r="G169" s="1067">
        <v>137</v>
      </c>
      <c r="H169" s="1067"/>
      <c r="I169" s="1067"/>
      <c r="J169" s="1067">
        <v>0</v>
      </c>
      <c r="K169" s="1067">
        <v>0</v>
      </c>
    </row>
    <row r="170" spans="1:11" x14ac:dyDescent="0.25">
      <c r="A170" s="1067" t="s">
        <v>273</v>
      </c>
      <c r="B170" s="1067" t="s">
        <v>247</v>
      </c>
      <c r="C170" s="1067" t="s">
        <v>288</v>
      </c>
      <c r="D170" s="1067" t="s">
        <v>42</v>
      </c>
      <c r="E170" s="1067">
        <v>142</v>
      </c>
      <c r="F170" s="1067"/>
      <c r="G170" s="1067">
        <v>56</v>
      </c>
      <c r="H170" s="1067"/>
      <c r="I170" s="1067"/>
      <c r="J170" s="1067">
        <v>0</v>
      </c>
      <c r="K170" s="1067">
        <v>86</v>
      </c>
    </row>
    <row r="171" spans="1:11" x14ac:dyDescent="0.25">
      <c r="A171" s="1067" t="s">
        <v>273</v>
      </c>
      <c r="B171" s="1067" t="s">
        <v>247</v>
      </c>
      <c r="C171" s="1067" t="s">
        <v>289</v>
      </c>
      <c r="D171" s="1067" t="s">
        <v>44</v>
      </c>
      <c r="E171" s="1067">
        <v>659</v>
      </c>
      <c r="F171" s="1067"/>
      <c r="G171" s="1067">
        <v>525</v>
      </c>
      <c r="H171" s="1067"/>
      <c r="I171" s="1067"/>
      <c r="J171" s="1067">
        <v>67</v>
      </c>
      <c r="K171" s="1067">
        <v>67</v>
      </c>
    </row>
    <row r="172" spans="1:11" x14ac:dyDescent="0.25">
      <c r="A172" s="1067" t="s">
        <v>273</v>
      </c>
      <c r="B172" s="1067" t="s">
        <v>247</v>
      </c>
      <c r="C172" s="1067" t="s">
        <v>290</v>
      </c>
      <c r="D172" s="1067" t="s">
        <v>45</v>
      </c>
      <c r="E172" s="1067">
        <v>107</v>
      </c>
      <c r="F172" s="1067"/>
      <c r="G172" s="1067">
        <v>39</v>
      </c>
      <c r="H172" s="1067"/>
      <c r="I172" s="1067"/>
      <c r="J172" s="1067">
        <v>0</v>
      </c>
      <c r="K172" s="1067">
        <v>68</v>
      </c>
    </row>
    <row r="173" spans="1:11" x14ac:dyDescent="0.25">
      <c r="A173" s="1067" t="s">
        <v>273</v>
      </c>
      <c r="B173" s="1067" t="s">
        <v>247</v>
      </c>
      <c r="C173" s="1067" t="s">
        <v>291</v>
      </c>
      <c r="D173" s="1067" t="s">
        <v>46</v>
      </c>
      <c r="E173" s="1067">
        <v>33</v>
      </c>
      <c r="F173" s="1067"/>
      <c r="G173" s="1067">
        <v>11</v>
      </c>
      <c r="H173" s="1067"/>
      <c r="I173" s="1067"/>
      <c r="J173" s="1067">
        <v>0</v>
      </c>
      <c r="K173" s="1067">
        <v>22</v>
      </c>
    </row>
    <row r="174" spans="1:11" x14ac:dyDescent="0.25">
      <c r="A174" s="1067" t="s">
        <v>273</v>
      </c>
      <c r="B174" s="1067" t="s">
        <v>247</v>
      </c>
      <c r="C174" s="1067" t="s">
        <v>292</v>
      </c>
      <c r="D174" s="1067" t="s">
        <v>47</v>
      </c>
      <c r="E174" s="1067">
        <v>156</v>
      </c>
      <c r="F174" s="1067"/>
      <c r="G174" s="1067">
        <v>125</v>
      </c>
      <c r="H174" s="1067"/>
      <c r="I174" s="1067"/>
      <c r="J174" s="1067">
        <v>4</v>
      </c>
      <c r="K174" s="1067">
        <v>27</v>
      </c>
    </row>
    <row r="175" spans="1:11" x14ac:dyDescent="0.25">
      <c r="A175" s="1067" t="s">
        <v>273</v>
      </c>
      <c r="B175" s="1067" t="s">
        <v>247</v>
      </c>
      <c r="C175" s="1067" t="s">
        <v>293</v>
      </c>
      <c r="D175" s="1067" t="s">
        <v>49</v>
      </c>
      <c r="E175" s="1067">
        <v>202</v>
      </c>
      <c r="F175" s="1067"/>
      <c r="G175" s="1067">
        <v>106</v>
      </c>
      <c r="H175" s="1067"/>
      <c r="I175" s="1067"/>
      <c r="J175" s="1067">
        <v>18</v>
      </c>
      <c r="K175" s="1067">
        <v>78</v>
      </c>
    </row>
    <row r="176" spans="1:11" x14ac:dyDescent="0.25">
      <c r="A176" s="1067" t="s">
        <v>273</v>
      </c>
      <c r="B176" s="1067" t="s">
        <v>247</v>
      </c>
      <c r="C176" s="1067" t="s">
        <v>294</v>
      </c>
      <c r="D176" s="1067" t="s">
        <v>51</v>
      </c>
      <c r="E176" s="1067">
        <v>95</v>
      </c>
      <c r="F176" s="1067"/>
      <c r="G176" s="1067">
        <v>95</v>
      </c>
      <c r="H176" s="1067"/>
      <c r="I176" s="1067"/>
      <c r="J176" s="1067">
        <v>0</v>
      </c>
      <c r="K176" s="1067">
        <v>0</v>
      </c>
    </row>
    <row r="177" spans="1:11" x14ac:dyDescent="0.25">
      <c r="A177" s="1067" t="s">
        <v>273</v>
      </c>
      <c r="B177" s="1067" t="s">
        <v>247</v>
      </c>
      <c r="C177" s="1067" t="s">
        <v>295</v>
      </c>
      <c r="D177" s="1067" t="s">
        <v>52</v>
      </c>
      <c r="E177" s="1067">
        <v>213</v>
      </c>
      <c r="F177" s="1067"/>
      <c r="G177" s="1067">
        <v>122</v>
      </c>
      <c r="H177" s="1067"/>
      <c r="I177" s="1067"/>
      <c r="J177" s="1067">
        <v>23</v>
      </c>
      <c r="K177" s="1067">
        <v>68</v>
      </c>
    </row>
    <row r="178" spans="1:11" x14ac:dyDescent="0.25">
      <c r="A178" s="1067" t="s">
        <v>273</v>
      </c>
      <c r="B178" s="1067" t="s">
        <v>247</v>
      </c>
      <c r="C178" s="1067" t="s">
        <v>296</v>
      </c>
      <c r="D178" s="1067" t="s">
        <v>54</v>
      </c>
      <c r="E178" s="1067">
        <v>199</v>
      </c>
      <c r="F178" s="1067"/>
      <c r="G178" s="1067">
        <v>143</v>
      </c>
      <c r="H178" s="1067"/>
      <c r="I178" s="1067"/>
      <c r="J178" s="1067">
        <v>0</v>
      </c>
      <c r="K178" s="1067">
        <v>56</v>
      </c>
    </row>
    <row r="179" spans="1:11" x14ac:dyDescent="0.25">
      <c r="A179" s="1067" t="s">
        <v>273</v>
      </c>
      <c r="B179" s="1067" t="s">
        <v>247</v>
      </c>
      <c r="C179" s="1067" t="s">
        <v>297</v>
      </c>
      <c r="D179" s="1067" t="s">
        <v>55</v>
      </c>
      <c r="E179" s="1067">
        <v>122</v>
      </c>
      <c r="F179" s="1067"/>
      <c r="G179" s="1067">
        <v>122</v>
      </c>
      <c r="H179" s="1067"/>
      <c r="I179" s="1067"/>
      <c r="J179" s="1067">
        <v>0</v>
      </c>
      <c r="K179" s="1067">
        <v>0</v>
      </c>
    </row>
    <row r="180" spans="1:11" x14ac:dyDescent="0.25">
      <c r="A180" s="1067" t="s">
        <v>273</v>
      </c>
      <c r="B180" s="1067" t="s">
        <v>247</v>
      </c>
      <c r="C180" s="1067" t="s">
        <v>298</v>
      </c>
      <c r="D180" s="1067" t="s">
        <v>56</v>
      </c>
      <c r="E180" s="1067">
        <v>102</v>
      </c>
      <c r="F180" s="1067"/>
      <c r="G180" s="1067">
        <v>48</v>
      </c>
      <c r="H180" s="1067"/>
      <c r="I180" s="1067"/>
      <c r="J180" s="1067">
        <v>0</v>
      </c>
      <c r="K180" s="1067">
        <v>54</v>
      </c>
    </row>
    <row r="181" spans="1:11" x14ac:dyDescent="0.25">
      <c r="A181" s="1067" t="s">
        <v>273</v>
      </c>
      <c r="B181" s="1067" t="s">
        <v>247</v>
      </c>
      <c r="C181" s="1067" t="s">
        <v>299</v>
      </c>
      <c r="D181" s="1067" t="s">
        <v>57</v>
      </c>
      <c r="E181" s="1067">
        <v>248</v>
      </c>
      <c r="F181" s="1067"/>
      <c r="G181" s="1067">
        <v>74</v>
      </c>
      <c r="H181" s="1067"/>
      <c r="I181" s="1067"/>
      <c r="J181" s="1067">
        <v>3</v>
      </c>
      <c r="K181" s="1067">
        <v>171</v>
      </c>
    </row>
    <row r="182" spans="1:11" x14ac:dyDescent="0.25">
      <c r="A182" s="1067" t="s">
        <v>273</v>
      </c>
      <c r="B182" s="1067" t="s">
        <v>247</v>
      </c>
      <c r="C182" s="1067" t="s">
        <v>300</v>
      </c>
      <c r="D182" s="1067" t="s">
        <v>58</v>
      </c>
      <c r="E182" s="1067">
        <v>126</v>
      </c>
      <c r="F182" s="1067"/>
      <c r="G182" s="1067">
        <v>73</v>
      </c>
      <c r="H182" s="1067"/>
      <c r="I182" s="1067"/>
      <c r="J182" s="1067">
        <v>0</v>
      </c>
      <c r="K182" s="1067">
        <v>53</v>
      </c>
    </row>
    <row r="183" spans="1:11" x14ac:dyDescent="0.25">
      <c r="A183" s="1067" t="s">
        <v>273</v>
      </c>
      <c r="B183" s="1067" t="s">
        <v>247</v>
      </c>
      <c r="C183" s="1067" t="s">
        <v>301</v>
      </c>
      <c r="D183" s="1067" t="s">
        <v>31</v>
      </c>
      <c r="E183" s="1067">
        <v>163</v>
      </c>
      <c r="F183" s="1067"/>
      <c r="G183" s="1067">
        <v>8</v>
      </c>
      <c r="H183" s="1067"/>
      <c r="I183" s="1067"/>
      <c r="J183" s="1067">
        <v>0</v>
      </c>
      <c r="K183" s="1067">
        <v>155</v>
      </c>
    </row>
    <row r="184" spans="1:11" x14ac:dyDescent="0.25">
      <c r="A184" s="1067" t="s">
        <v>273</v>
      </c>
      <c r="B184" s="1067" t="s">
        <v>247</v>
      </c>
      <c r="C184" s="1067" t="s">
        <v>302</v>
      </c>
      <c r="D184" s="1067" t="s">
        <v>32</v>
      </c>
      <c r="E184" s="1067">
        <v>307</v>
      </c>
      <c r="F184" s="1067"/>
      <c r="G184" s="1067">
        <v>282</v>
      </c>
      <c r="H184" s="1067"/>
      <c r="I184" s="1067"/>
      <c r="J184" s="1067">
        <v>0</v>
      </c>
      <c r="K184" s="1067">
        <v>25</v>
      </c>
    </row>
    <row r="185" spans="1:11" x14ac:dyDescent="0.25">
      <c r="A185" s="1067" t="s">
        <v>273</v>
      </c>
      <c r="B185" s="1067" t="s">
        <v>247</v>
      </c>
      <c r="C185" s="1067" t="s">
        <v>303</v>
      </c>
      <c r="D185" s="1067" t="s">
        <v>34</v>
      </c>
      <c r="E185" s="1067">
        <v>428</v>
      </c>
      <c r="F185" s="1067"/>
      <c r="G185" s="1067">
        <v>185</v>
      </c>
      <c r="H185" s="1067"/>
      <c r="I185" s="1067"/>
      <c r="J185" s="1067">
        <v>200</v>
      </c>
      <c r="K185" s="1067">
        <v>43</v>
      </c>
    </row>
    <row r="186" spans="1:11" x14ac:dyDescent="0.25">
      <c r="A186" s="1067" t="s">
        <v>273</v>
      </c>
      <c r="B186" s="1067" t="s">
        <v>247</v>
      </c>
      <c r="C186" s="1067" t="s">
        <v>304</v>
      </c>
      <c r="D186" s="1067" t="s">
        <v>258</v>
      </c>
      <c r="E186" s="1067">
        <v>325</v>
      </c>
      <c r="F186" s="1067"/>
      <c r="G186" s="1067">
        <v>12</v>
      </c>
      <c r="H186" s="1067"/>
      <c r="I186" s="1067"/>
      <c r="J186" s="1067">
        <v>0</v>
      </c>
      <c r="K186" s="1067">
        <v>313</v>
      </c>
    </row>
    <row r="187" spans="1:11" x14ac:dyDescent="0.25">
      <c r="A187" s="1067" t="s">
        <v>273</v>
      </c>
      <c r="B187" s="1067" t="s">
        <v>247</v>
      </c>
      <c r="C187" s="1067" t="s">
        <v>305</v>
      </c>
      <c r="D187" s="1067" t="s">
        <v>53</v>
      </c>
      <c r="E187" s="1067">
        <v>110</v>
      </c>
      <c r="F187" s="1067"/>
      <c r="G187" s="1067">
        <v>13</v>
      </c>
      <c r="H187" s="1067"/>
      <c r="I187" s="1067"/>
      <c r="J187" s="1067">
        <v>0</v>
      </c>
      <c r="K187" s="1067">
        <v>97</v>
      </c>
    </row>
    <row r="188" spans="1:11" x14ac:dyDescent="0.25">
      <c r="A188" s="1067" t="s">
        <v>273</v>
      </c>
      <c r="B188" s="1067" t="s">
        <v>247</v>
      </c>
      <c r="C188" s="1067" t="s">
        <v>306</v>
      </c>
      <c r="D188" s="1067" t="s">
        <v>59</v>
      </c>
      <c r="E188" s="1067">
        <v>86</v>
      </c>
      <c r="F188" s="1067"/>
      <c r="G188" s="1067">
        <v>17</v>
      </c>
      <c r="H188" s="1067"/>
      <c r="I188" s="1067"/>
      <c r="J188" s="1067">
        <v>0</v>
      </c>
      <c r="K188" s="1067">
        <v>69</v>
      </c>
    </row>
    <row r="189" spans="1:11" x14ac:dyDescent="0.25">
      <c r="A189" s="1067" t="s">
        <v>273</v>
      </c>
      <c r="B189" s="1067" t="s">
        <v>247</v>
      </c>
      <c r="C189" s="1067" t="s">
        <v>307</v>
      </c>
      <c r="D189" s="1067" t="s">
        <v>60</v>
      </c>
      <c r="E189" s="1067">
        <v>124</v>
      </c>
      <c r="F189" s="1067"/>
      <c r="G189" s="1067">
        <v>64</v>
      </c>
      <c r="H189" s="1067"/>
      <c r="I189" s="1067"/>
      <c r="J189" s="1067">
        <v>0</v>
      </c>
      <c r="K189" s="1067">
        <v>60</v>
      </c>
    </row>
    <row r="190" spans="1:11" x14ac:dyDescent="0.25">
      <c r="A190" s="1067" t="s">
        <v>273</v>
      </c>
      <c r="B190" s="1067" t="s">
        <v>247</v>
      </c>
      <c r="C190" s="1067" t="s">
        <v>308</v>
      </c>
      <c r="D190" s="1067" t="s">
        <v>33</v>
      </c>
      <c r="E190" s="1067">
        <v>119</v>
      </c>
      <c r="F190" s="1067"/>
      <c r="G190" s="1067">
        <v>94</v>
      </c>
      <c r="H190" s="1067"/>
      <c r="I190" s="1067"/>
      <c r="J190" s="1067">
        <v>0</v>
      </c>
      <c r="K190" s="1067">
        <v>25</v>
      </c>
    </row>
    <row r="191" spans="1:11" x14ac:dyDescent="0.25">
      <c r="A191" s="1067" t="s">
        <v>273</v>
      </c>
      <c r="B191" s="1067" t="s">
        <v>247</v>
      </c>
      <c r="C191" s="1067" t="s">
        <v>309</v>
      </c>
      <c r="D191" s="1067" t="s">
        <v>37</v>
      </c>
      <c r="E191" s="1067">
        <v>205</v>
      </c>
      <c r="F191" s="1067"/>
      <c r="G191" s="1067">
        <v>13</v>
      </c>
      <c r="H191" s="1067"/>
      <c r="I191" s="1067"/>
      <c r="J191" s="1067">
        <v>0</v>
      </c>
      <c r="K191" s="1067">
        <v>192</v>
      </c>
    </row>
    <row r="192" spans="1:11" x14ac:dyDescent="0.25">
      <c r="A192" s="1067" t="s">
        <v>273</v>
      </c>
      <c r="B192" s="1067" t="s">
        <v>247</v>
      </c>
      <c r="C192" s="1067" t="s">
        <v>310</v>
      </c>
      <c r="D192" s="1067" t="s">
        <v>50</v>
      </c>
      <c r="E192" s="1067">
        <v>208</v>
      </c>
      <c r="F192" s="1067"/>
      <c r="G192" s="1067">
        <v>35</v>
      </c>
      <c r="H192" s="1067"/>
      <c r="I192" s="1067"/>
      <c r="J192" s="1067">
        <v>0</v>
      </c>
      <c r="K192" s="1067">
        <v>173</v>
      </c>
    </row>
    <row r="193" spans="1:11" x14ac:dyDescent="0.25">
      <c r="A193" s="1067" t="s">
        <v>273</v>
      </c>
      <c r="B193" s="1067" t="s">
        <v>247</v>
      </c>
      <c r="C193" s="1067" t="s">
        <v>311</v>
      </c>
      <c r="D193" s="1067" t="s">
        <v>39</v>
      </c>
      <c r="E193" s="1067">
        <v>68</v>
      </c>
      <c r="F193" s="1067"/>
      <c r="G193" s="1067">
        <v>0</v>
      </c>
      <c r="H193" s="1067"/>
      <c r="I193" s="1067"/>
      <c r="J193" s="1067">
        <v>0</v>
      </c>
      <c r="K193" s="1067">
        <v>68</v>
      </c>
    </row>
    <row r="194" spans="1:11" x14ac:dyDescent="0.25">
      <c r="A194" s="1067" t="s">
        <v>273</v>
      </c>
      <c r="B194" s="1067" t="s">
        <v>247</v>
      </c>
      <c r="C194" s="1067" t="s">
        <v>312</v>
      </c>
      <c r="D194" s="1067" t="s">
        <v>121</v>
      </c>
      <c r="E194" s="1067">
        <v>475</v>
      </c>
      <c r="F194" s="1067"/>
      <c r="G194" s="1067">
        <v>0</v>
      </c>
      <c r="H194" s="1067"/>
      <c r="I194" s="1067"/>
      <c r="J194" s="1067">
        <v>0</v>
      </c>
      <c r="K194" s="1067">
        <v>475</v>
      </c>
    </row>
    <row r="195" spans="1:11" x14ac:dyDescent="0.25">
      <c r="A195" s="1067" t="s">
        <v>273</v>
      </c>
      <c r="B195" s="1067" t="s">
        <v>247</v>
      </c>
      <c r="C195" s="1067" t="s">
        <v>313</v>
      </c>
      <c r="D195" s="1067" t="s">
        <v>43</v>
      </c>
      <c r="E195" s="1067">
        <v>379</v>
      </c>
      <c r="F195" s="1067"/>
      <c r="G195" s="1067">
        <v>109</v>
      </c>
      <c r="H195" s="1067"/>
      <c r="I195" s="1067"/>
      <c r="J195" s="1067">
        <v>0</v>
      </c>
      <c r="K195" s="1067">
        <v>270</v>
      </c>
    </row>
    <row r="196" spans="1:11" x14ac:dyDescent="0.25">
      <c r="A196" s="1067" t="s">
        <v>273</v>
      </c>
      <c r="B196" s="1067" t="s">
        <v>248</v>
      </c>
      <c r="C196" s="1067" t="s">
        <v>369</v>
      </c>
      <c r="D196" s="1067" t="s">
        <v>31</v>
      </c>
      <c r="E196" s="1067">
        <v>14</v>
      </c>
      <c r="F196" s="1067"/>
      <c r="G196" s="1067"/>
      <c r="H196" s="1067"/>
      <c r="I196" s="1067"/>
      <c r="J196" s="1067"/>
      <c r="K196" s="1067">
        <v>14</v>
      </c>
    </row>
    <row r="197" spans="1:11" x14ac:dyDescent="0.25">
      <c r="A197" s="1067" t="s">
        <v>273</v>
      </c>
      <c r="B197" s="1067" t="s">
        <v>248</v>
      </c>
      <c r="C197" s="1067" t="s">
        <v>370</v>
      </c>
      <c r="D197" s="1067" t="s">
        <v>63</v>
      </c>
      <c r="E197" s="1067">
        <v>25</v>
      </c>
      <c r="F197" s="1067"/>
      <c r="G197" s="1067"/>
      <c r="H197" s="1067"/>
      <c r="I197" s="1067"/>
      <c r="J197" s="1067"/>
      <c r="K197" s="1067">
        <v>25</v>
      </c>
    </row>
    <row r="198" spans="1:11" x14ac:dyDescent="0.25">
      <c r="A198" s="1067" t="s">
        <v>273</v>
      </c>
      <c r="B198" s="1067" t="s">
        <v>248</v>
      </c>
      <c r="C198" s="1067" t="s">
        <v>372</v>
      </c>
      <c r="D198" s="1067" t="s">
        <v>64</v>
      </c>
      <c r="E198" s="1067">
        <v>26</v>
      </c>
      <c r="F198" s="1067"/>
      <c r="G198" s="1067"/>
      <c r="H198" s="1067"/>
      <c r="I198" s="1067"/>
      <c r="J198" s="1067"/>
      <c r="K198" s="1067">
        <v>26</v>
      </c>
    </row>
    <row r="199" spans="1:11" x14ac:dyDescent="0.25">
      <c r="A199" s="1067" t="s">
        <v>273</v>
      </c>
      <c r="B199" s="1067" t="s">
        <v>248</v>
      </c>
      <c r="C199" s="1067" t="s">
        <v>373</v>
      </c>
      <c r="D199" s="1067" t="s">
        <v>36</v>
      </c>
      <c r="E199" s="1067">
        <v>22</v>
      </c>
      <c r="F199" s="1067"/>
      <c r="G199" s="1067"/>
      <c r="H199" s="1067"/>
      <c r="I199" s="1067"/>
      <c r="J199" s="1067"/>
      <c r="K199" s="1067">
        <v>22</v>
      </c>
    </row>
    <row r="200" spans="1:11" x14ac:dyDescent="0.25">
      <c r="A200" s="1067" t="s">
        <v>273</v>
      </c>
      <c r="B200" s="1067" t="s">
        <v>248</v>
      </c>
      <c r="C200" s="1067" t="s">
        <v>374</v>
      </c>
      <c r="D200" s="1067" t="s">
        <v>66</v>
      </c>
      <c r="E200" s="1067">
        <v>30</v>
      </c>
      <c r="F200" s="1067"/>
      <c r="G200" s="1067"/>
      <c r="H200" s="1067"/>
      <c r="I200" s="1067"/>
      <c r="J200" s="1067"/>
      <c r="K200" s="1067">
        <v>30</v>
      </c>
    </row>
    <row r="201" spans="1:11" x14ac:dyDescent="0.25">
      <c r="A201" s="1067" t="s">
        <v>273</v>
      </c>
      <c r="B201" s="1067" t="s">
        <v>248</v>
      </c>
      <c r="C201" s="1067" t="s">
        <v>375</v>
      </c>
      <c r="D201" s="1067" t="s">
        <v>67</v>
      </c>
      <c r="E201" s="1067">
        <v>31</v>
      </c>
      <c r="F201" s="1067"/>
      <c r="G201" s="1067"/>
      <c r="H201" s="1067"/>
      <c r="I201" s="1067"/>
      <c r="J201" s="1067"/>
      <c r="K201" s="1067">
        <v>31</v>
      </c>
    </row>
    <row r="202" spans="1:11" x14ac:dyDescent="0.25">
      <c r="A202" s="1067" t="s">
        <v>273</v>
      </c>
      <c r="B202" s="1067" t="s">
        <v>248</v>
      </c>
      <c r="C202" s="1067" t="s">
        <v>376</v>
      </c>
      <c r="D202" s="1067" t="s">
        <v>68</v>
      </c>
      <c r="E202" s="1067">
        <v>18</v>
      </c>
      <c r="F202" s="1067"/>
      <c r="G202" s="1067"/>
      <c r="H202" s="1067"/>
      <c r="I202" s="1067"/>
      <c r="J202" s="1067"/>
      <c r="K202" s="1067">
        <v>18</v>
      </c>
    </row>
    <row r="203" spans="1:11" x14ac:dyDescent="0.25">
      <c r="A203" s="1067" t="s">
        <v>273</v>
      </c>
      <c r="B203" s="1067" t="s">
        <v>248</v>
      </c>
      <c r="C203" s="1067" t="s">
        <v>377</v>
      </c>
      <c r="D203" s="1067" t="s">
        <v>175</v>
      </c>
      <c r="E203" s="1067">
        <v>27</v>
      </c>
      <c r="F203" s="1067"/>
      <c r="G203" s="1067"/>
      <c r="H203" s="1067"/>
      <c r="I203" s="1067"/>
      <c r="J203" s="1067"/>
      <c r="K203" s="1067">
        <v>27</v>
      </c>
    </row>
    <row r="204" spans="1:11" x14ac:dyDescent="0.25">
      <c r="A204" s="1067" t="s">
        <v>273</v>
      </c>
      <c r="B204" s="1067" t="s">
        <v>248</v>
      </c>
      <c r="C204" s="1067" t="s">
        <v>378</v>
      </c>
      <c r="D204" s="1067" t="s">
        <v>69</v>
      </c>
      <c r="E204" s="1067">
        <v>21</v>
      </c>
      <c r="F204" s="1067"/>
      <c r="G204" s="1067"/>
      <c r="H204" s="1067"/>
      <c r="I204" s="1067"/>
      <c r="J204" s="1067"/>
      <c r="K204" s="1067">
        <v>21</v>
      </c>
    </row>
    <row r="205" spans="1:11" x14ac:dyDescent="0.25">
      <c r="A205" s="1067" t="s">
        <v>273</v>
      </c>
      <c r="B205" s="1067" t="s">
        <v>248</v>
      </c>
      <c r="C205" s="1067" t="s">
        <v>1074</v>
      </c>
      <c r="D205" s="1067" t="s">
        <v>121</v>
      </c>
      <c r="E205" s="1067">
        <v>25</v>
      </c>
      <c r="F205" s="1067"/>
      <c r="G205" s="1067"/>
      <c r="H205" s="1067"/>
      <c r="I205" s="1067"/>
      <c r="J205" s="1067"/>
      <c r="K205" s="1067">
        <v>25</v>
      </c>
    </row>
    <row r="206" spans="1:11" x14ac:dyDescent="0.25">
      <c r="A206" s="1067" t="s">
        <v>273</v>
      </c>
      <c r="B206" s="1067" t="s">
        <v>248</v>
      </c>
      <c r="C206" s="1067" t="s">
        <v>379</v>
      </c>
      <c r="D206" s="1067" t="s">
        <v>70</v>
      </c>
      <c r="E206" s="1067">
        <v>37</v>
      </c>
      <c r="F206" s="1067"/>
      <c r="G206" s="1067"/>
      <c r="H206" s="1067"/>
      <c r="I206" s="1067"/>
      <c r="J206" s="1067"/>
      <c r="K206" s="1067">
        <v>37</v>
      </c>
    </row>
    <row r="207" spans="1:11" x14ac:dyDescent="0.25">
      <c r="A207" s="1067" t="s">
        <v>273</v>
      </c>
      <c r="B207" s="1067" t="s">
        <v>248</v>
      </c>
      <c r="C207" s="1067" t="s">
        <v>1075</v>
      </c>
      <c r="D207" s="1067" t="s">
        <v>50</v>
      </c>
      <c r="E207" s="1067">
        <v>15</v>
      </c>
      <c r="F207" s="1067"/>
      <c r="G207" s="1067"/>
      <c r="H207" s="1067"/>
      <c r="I207" s="1067"/>
      <c r="J207" s="1067"/>
      <c r="K207" s="1067">
        <v>15</v>
      </c>
    </row>
    <row r="208" spans="1:11" x14ac:dyDescent="0.25">
      <c r="A208" s="1067" t="s">
        <v>273</v>
      </c>
      <c r="B208" s="1067" t="s">
        <v>248</v>
      </c>
      <c r="C208" s="1067" t="s">
        <v>380</v>
      </c>
      <c r="D208" s="1067" t="s">
        <v>57</v>
      </c>
      <c r="E208" s="1067">
        <v>15</v>
      </c>
      <c r="F208" s="1067"/>
      <c r="G208" s="1067"/>
      <c r="H208" s="1067"/>
      <c r="I208" s="1067"/>
      <c r="J208" s="1067"/>
      <c r="K208" s="1067">
        <v>15</v>
      </c>
    </row>
    <row r="209" spans="1:11" x14ac:dyDescent="0.25">
      <c r="A209" s="1067" t="s">
        <v>273</v>
      </c>
      <c r="B209" s="1067" t="s">
        <v>248</v>
      </c>
      <c r="C209" s="1067" t="s">
        <v>1072</v>
      </c>
      <c r="D209" s="1067" t="s">
        <v>1071</v>
      </c>
      <c r="E209" s="1067">
        <v>15</v>
      </c>
      <c r="F209" s="1067"/>
      <c r="G209" s="1067"/>
      <c r="H209" s="1067"/>
      <c r="I209" s="1067"/>
      <c r="J209" s="1067"/>
      <c r="K209" s="1067">
        <v>15</v>
      </c>
    </row>
    <row r="210" spans="1:11" x14ac:dyDescent="0.25">
      <c r="A210" s="1067" t="s">
        <v>273</v>
      </c>
      <c r="B210" s="1067" t="s">
        <v>248</v>
      </c>
      <c r="C210" s="1067" t="s">
        <v>381</v>
      </c>
      <c r="D210" s="1067" t="s">
        <v>71</v>
      </c>
      <c r="E210" s="1067">
        <v>16</v>
      </c>
      <c r="F210" s="1067"/>
      <c r="G210" s="1067"/>
      <c r="H210" s="1067"/>
      <c r="I210" s="1067"/>
      <c r="J210" s="1067"/>
      <c r="K210" s="1067">
        <v>16</v>
      </c>
    </row>
    <row r="211" spans="1:11" x14ac:dyDescent="0.25">
      <c r="A211" s="1067" t="s">
        <v>273</v>
      </c>
      <c r="B211" s="1067" t="s">
        <v>248</v>
      </c>
      <c r="C211" s="1067" t="s">
        <v>371</v>
      </c>
      <c r="D211" s="1067" t="s">
        <v>65</v>
      </c>
      <c r="E211" s="1067">
        <v>28</v>
      </c>
      <c r="F211" s="1067"/>
      <c r="G211" s="1067"/>
      <c r="H211" s="1067"/>
      <c r="I211" s="1067"/>
      <c r="J211" s="1067"/>
      <c r="K211" s="1067">
        <v>28</v>
      </c>
    </row>
    <row r="212" spans="1:11" x14ac:dyDescent="0.25">
      <c r="A212" s="1067" t="s">
        <v>273</v>
      </c>
      <c r="B212" s="1067" t="s">
        <v>248</v>
      </c>
      <c r="C212" s="1067" t="s">
        <v>1073</v>
      </c>
      <c r="D212" s="1067" t="s">
        <v>43</v>
      </c>
      <c r="E212" s="1067">
        <v>24</v>
      </c>
      <c r="F212" s="1067"/>
      <c r="G212" s="1067"/>
      <c r="H212" s="1067"/>
      <c r="I212" s="1067"/>
      <c r="J212" s="1067"/>
      <c r="K212" s="1067">
        <v>24</v>
      </c>
    </row>
    <row r="213" spans="1:11" x14ac:dyDescent="0.25">
      <c r="A213" s="1067" t="s">
        <v>273</v>
      </c>
      <c r="B213" s="1067" t="s">
        <v>249</v>
      </c>
      <c r="C213" s="1067" t="s">
        <v>403</v>
      </c>
      <c r="D213" s="1067" t="s">
        <v>173</v>
      </c>
      <c r="E213" s="1067">
        <v>340</v>
      </c>
      <c r="F213" s="1067"/>
      <c r="G213" s="1067"/>
      <c r="H213" s="1067"/>
      <c r="I213" s="1067">
        <v>272</v>
      </c>
      <c r="J213" s="1067"/>
      <c r="K213" s="1067">
        <v>68</v>
      </c>
    </row>
    <row r="214" spans="1:11" x14ac:dyDescent="0.25">
      <c r="A214" s="1067" t="s">
        <v>273</v>
      </c>
      <c r="B214" s="1067" t="s">
        <v>249</v>
      </c>
      <c r="C214" s="1067" t="s">
        <v>402</v>
      </c>
      <c r="D214" s="1067" t="s">
        <v>174</v>
      </c>
      <c r="E214" s="1067">
        <v>202</v>
      </c>
      <c r="F214" s="1067"/>
      <c r="G214" s="1067"/>
      <c r="H214" s="1067"/>
      <c r="I214" s="1067">
        <v>164</v>
      </c>
      <c r="J214" s="1067"/>
      <c r="K214" s="1067">
        <v>38</v>
      </c>
    </row>
    <row r="215" spans="1:11" x14ac:dyDescent="0.25">
      <c r="A215" s="1067" t="s">
        <v>273</v>
      </c>
      <c r="B215" s="1067" t="s">
        <v>249</v>
      </c>
      <c r="C215" s="1067" t="s">
        <v>404</v>
      </c>
      <c r="D215" s="1067" t="s">
        <v>172</v>
      </c>
      <c r="E215" s="1067">
        <v>180</v>
      </c>
      <c r="F215" s="1067"/>
      <c r="G215" s="1067"/>
      <c r="H215" s="1067"/>
      <c r="I215" s="1067">
        <v>135</v>
      </c>
      <c r="J215" s="1067"/>
      <c r="K215" s="1067">
        <v>45</v>
      </c>
    </row>
    <row r="216" spans="1:11" x14ac:dyDescent="0.25">
      <c r="A216" s="1067" t="s">
        <v>273</v>
      </c>
      <c r="B216" s="1067" t="s">
        <v>250</v>
      </c>
      <c r="C216" s="1067" t="s">
        <v>382</v>
      </c>
      <c r="D216" s="1067" t="s">
        <v>259</v>
      </c>
      <c r="E216" s="1067">
        <v>614</v>
      </c>
      <c r="F216" s="1067">
        <v>165</v>
      </c>
      <c r="G216" s="1067"/>
      <c r="H216" s="1067"/>
      <c r="I216" s="1067">
        <v>267</v>
      </c>
      <c r="J216" s="1067"/>
      <c r="K216" s="1067">
        <v>182</v>
      </c>
    </row>
    <row r="217" spans="1:11" x14ac:dyDescent="0.25">
      <c r="A217" s="1067" t="s">
        <v>255</v>
      </c>
      <c r="B217" s="1067" t="s">
        <v>247</v>
      </c>
      <c r="C217" s="1067" t="s">
        <v>282</v>
      </c>
      <c r="D217" s="1067" t="s">
        <v>35</v>
      </c>
      <c r="E217" s="1067">
        <v>47</v>
      </c>
      <c r="F217" s="1067"/>
      <c r="G217" s="1067">
        <v>22</v>
      </c>
      <c r="H217" s="1067"/>
      <c r="I217" s="1067"/>
      <c r="J217" s="1067"/>
      <c r="K217" s="1067">
        <v>25</v>
      </c>
    </row>
    <row r="218" spans="1:11" x14ac:dyDescent="0.25">
      <c r="A218" s="1067" t="s">
        <v>255</v>
      </c>
      <c r="B218" s="1067" t="s">
        <v>247</v>
      </c>
      <c r="C218" s="1067" t="s">
        <v>283</v>
      </c>
      <c r="D218" s="1067" t="s">
        <v>36</v>
      </c>
      <c r="E218" s="1067">
        <v>247</v>
      </c>
      <c r="F218" s="1067"/>
      <c r="G218" s="1067">
        <v>189</v>
      </c>
      <c r="H218" s="1067"/>
      <c r="I218" s="1067"/>
      <c r="J218" s="1067">
        <v>4</v>
      </c>
      <c r="K218" s="1067">
        <v>54</v>
      </c>
    </row>
    <row r="219" spans="1:11" x14ac:dyDescent="0.25">
      <c r="A219" s="1067" t="s">
        <v>255</v>
      </c>
      <c r="B219" s="1067" t="s">
        <v>247</v>
      </c>
      <c r="C219" s="1067" t="s">
        <v>284</v>
      </c>
      <c r="D219" s="1067" t="s">
        <v>38</v>
      </c>
      <c r="E219" s="1067">
        <v>131</v>
      </c>
      <c r="F219" s="1067"/>
      <c r="G219" s="1067">
        <v>82</v>
      </c>
      <c r="H219" s="1067"/>
      <c r="I219" s="1067"/>
      <c r="J219" s="1067"/>
      <c r="K219" s="1067">
        <v>49</v>
      </c>
    </row>
    <row r="220" spans="1:11" x14ac:dyDescent="0.25">
      <c r="A220" s="1067" t="s">
        <v>255</v>
      </c>
      <c r="B220" s="1067" t="s">
        <v>247</v>
      </c>
      <c r="C220" s="1067" t="s">
        <v>285</v>
      </c>
      <c r="D220" s="1067" t="s">
        <v>40</v>
      </c>
      <c r="E220" s="1067">
        <v>79</v>
      </c>
      <c r="F220" s="1067"/>
      <c r="G220" s="1067">
        <v>56</v>
      </c>
      <c r="H220" s="1067"/>
      <c r="I220" s="1067"/>
      <c r="J220" s="1067"/>
      <c r="K220" s="1067">
        <v>23</v>
      </c>
    </row>
    <row r="221" spans="1:11" x14ac:dyDescent="0.25">
      <c r="A221" s="1067" t="s">
        <v>255</v>
      </c>
      <c r="B221" s="1067" t="s">
        <v>247</v>
      </c>
      <c r="C221" s="1067" t="s">
        <v>286</v>
      </c>
      <c r="D221" s="1067" t="s">
        <v>41</v>
      </c>
      <c r="E221" s="1067">
        <v>51</v>
      </c>
      <c r="F221" s="1067"/>
      <c r="G221" s="1067"/>
      <c r="H221" s="1067"/>
      <c r="I221" s="1067"/>
      <c r="J221" s="1067"/>
      <c r="K221" s="1067">
        <v>51</v>
      </c>
    </row>
    <row r="222" spans="1:11" x14ac:dyDescent="0.25">
      <c r="A222" s="1067" t="s">
        <v>255</v>
      </c>
      <c r="B222" s="1067" t="s">
        <v>247</v>
      </c>
      <c r="C222" s="1067" t="s">
        <v>287</v>
      </c>
      <c r="D222" s="1067" t="s">
        <v>48</v>
      </c>
      <c r="E222" s="1067">
        <v>131</v>
      </c>
      <c r="F222" s="1067"/>
      <c r="G222" s="1067">
        <v>131</v>
      </c>
      <c r="H222" s="1067"/>
      <c r="I222" s="1067"/>
      <c r="J222" s="1067"/>
      <c r="K222" s="1067"/>
    </row>
    <row r="223" spans="1:11" x14ac:dyDescent="0.25">
      <c r="A223" s="1067" t="s">
        <v>255</v>
      </c>
      <c r="B223" s="1067" t="s">
        <v>247</v>
      </c>
      <c r="C223" s="1067" t="s">
        <v>288</v>
      </c>
      <c r="D223" s="1067" t="s">
        <v>42</v>
      </c>
      <c r="E223" s="1067">
        <v>141</v>
      </c>
      <c r="F223" s="1067"/>
      <c r="G223" s="1067">
        <v>54</v>
      </c>
      <c r="H223" s="1067"/>
      <c r="I223" s="1067"/>
      <c r="J223" s="1067"/>
      <c r="K223" s="1067">
        <v>87</v>
      </c>
    </row>
    <row r="224" spans="1:11" x14ac:dyDescent="0.25">
      <c r="A224" s="1067" t="s">
        <v>255</v>
      </c>
      <c r="B224" s="1067" t="s">
        <v>247</v>
      </c>
      <c r="C224" s="1067" t="s">
        <v>289</v>
      </c>
      <c r="D224" s="1067" t="s">
        <v>44</v>
      </c>
      <c r="E224" s="1067">
        <v>670</v>
      </c>
      <c r="F224" s="1067"/>
      <c r="G224" s="1067">
        <v>538</v>
      </c>
      <c r="H224" s="1067"/>
      <c r="I224" s="1067"/>
      <c r="J224" s="1067">
        <v>64</v>
      </c>
      <c r="K224" s="1067">
        <v>68</v>
      </c>
    </row>
    <row r="225" spans="1:11" x14ac:dyDescent="0.25">
      <c r="A225" s="1067" t="s">
        <v>255</v>
      </c>
      <c r="B225" s="1067" t="s">
        <v>247</v>
      </c>
      <c r="C225" s="1067" t="s">
        <v>290</v>
      </c>
      <c r="D225" s="1067" t="s">
        <v>45</v>
      </c>
      <c r="E225" s="1067">
        <v>114</v>
      </c>
      <c r="F225" s="1067"/>
      <c r="G225" s="1067">
        <v>42</v>
      </c>
      <c r="H225" s="1067"/>
      <c r="I225" s="1067"/>
      <c r="J225" s="1067"/>
      <c r="K225" s="1067">
        <v>72</v>
      </c>
    </row>
    <row r="226" spans="1:11" x14ac:dyDescent="0.25">
      <c r="A226" s="1067" t="s">
        <v>255</v>
      </c>
      <c r="B226" s="1067" t="s">
        <v>247</v>
      </c>
      <c r="C226" s="1067" t="s">
        <v>291</v>
      </c>
      <c r="D226" s="1067" t="s">
        <v>46</v>
      </c>
      <c r="E226" s="1067">
        <v>40</v>
      </c>
      <c r="F226" s="1067"/>
      <c r="G226" s="1067">
        <v>12</v>
      </c>
      <c r="H226" s="1067"/>
      <c r="I226" s="1067"/>
      <c r="J226" s="1067"/>
      <c r="K226" s="1067">
        <v>28</v>
      </c>
    </row>
    <row r="227" spans="1:11" x14ac:dyDescent="0.25">
      <c r="A227" s="1067" t="s">
        <v>255</v>
      </c>
      <c r="B227" s="1067" t="s">
        <v>247</v>
      </c>
      <c r="C227" s="1067" t="s">
        <v>292</v>
      </c>
      <c r="D227" s="1067" t="s">
        <v>47</v>
      </c>
      <c r="E227" s="1067">
        <v>149</v>
      </c>
      <c r="F227" s="1067"/>
      <c r="G227" s="1067">
        <v>120</v>
      </c>
      <c r="H227" s="1067"/>
      <c r="I227" s="1067"/>
      <c r="J227" s="1067">
        <v>4</v>
      </c>
      <c r="K227" s="1067">
        <v>29</v>
      </c>
    </row>
    <row r="228" spans="1:11" x14ac:dyDescent="0.25">
      <c r="A228" s="1067" t="s">
        <v>255</v>
      </c>
      <c r="B228" s="1067" t="s">
        <v>247</v>
      </c>
      <c r="C228" s="1067" t="s">
        <v>293</v>
      </c>
      <c r="D228" s="1067" t="s">
        <v>49</v>
      </c>
      <c r="E228" s="1067">
        <v>205</v>
      </c>
      <c r="F228" s="1067"/>
      <c r="G228" s="1067">
        <v>106</v>
      </c>
      <c r="H228" s="1067"/>
      <c r="I228" s="1067"/>
      <c r="J228" s="1067">
        <v>23</v>
      </c>
      <c r="K228" s="1067">
        <v>76</v>
      </c>
    </row>
    <row r="229" spans="1:11" x14ac:dyDescent="0.25">
      <c r="A229" s="1067" t="s">
        <v>255</v>
      </c>
      <c r="B229" s="1067" t="s">
        <v>247</v>
      </c>
      <c r="C229" s="1067" t="s">
        <v>294</v>
      </c>
      <c r="D229" s="1067" t="s">
        <v>51</v>
      </c>
      <c r="E229" s="1067">
        <v>100</v>
      </c>
      <c r="F229" s="1067"/>
      <c r="G229" s="1067">
        <v>100</v>
      </c>
      <c r="H229" s="1067"/>
      <c r="I229" s="1067"/>
      <c r="J229" s="1067"/>
      <c r="K229" s="1067"/>
    </row>
    <row r="230" spans="1:11" x14ac:dyDescent="0.25">
      <c r="A230" s="1067" t="s">
        <v>255</v>
      </c>
      <c r="B230" s="1067" t="s">
        <v>247</v>
      </c>
      <c r="C230" s="1067" t="s">
        <v>295</v>
      </c>
      <c r="D230" s="1067" t="s">
        <v>52</v>
      </c>
      <c r="E230" s="1067">
        <v>223</v>
      </c>
      <c r="F230" s="1067"/>
      <c r="G230" s="1067">
        <v>126</v>
      </c>
      <c r="H230" s="1067"/>
      <c r="I230" s="1067"/>
      <c r="J230" s="1067">
        <v>28</v>
      </c>
      <c r="K230" s="1067">
        <v>69</v>
      </c>
    </row>
    <row r="231" spans="1:11" x14ac:dyDescent="0.25">
      <c r="A231" s="1067" t="s">
        <v>255</v>
      </c>
      <c r="B231" s="1067" t="s">
        <v>247</v>
      </c>
      <c r="C231" s="1067" t="s">
        <v>296</v>
      </c>
      <c r="D231" s="1067" t="s">
        <v>54</v>
      </c>
      <c r="E231" s="1067">
        <v>194</v>
      </c>
      <c r="F231" s="1067"/>
      <c r="G231" s="1067">
        <v>143</v>
      </c>
      <c r="H231" s="1067"/>
      <c r="I231" s="1067"/>
      <c r="J231" s="1067"/>
      <c r="K231" s="1067">
        <v>51</v>
      </c>
    </row>
    <row r="232" spans="1:11" x14ac:dyDescent="0.25">
      <c r="A232" s="1067" t="s">
        <v>255</v>
      </c>
      <c r="B232" s="1067" t="s">
        <v>247</v>
      </c>
      <c r="C232" s="1067" t="s">
        <v>297</v>
      </c>
      <c r="D232" s="1067" t="s">
        <v>55</v>
      </c>
      <c r="E232" s="1067">
        <v>118</v>
      </c>
      <c r="F232" s="1067"/>
      <c r="G232" s="1067">
        <v>118</v>
      </c>
      <c r="H232" s="1067"/>
      <c r="I232" s="1067"/>
      <c r="J232" s="1067"/>
      <c r="K232" s="1067"/>
    </row>
    <row r="233" spans="1:11" x14ac:dyDescent="0.25">
      <c r="A233" s="1067" t="s">
        <v>255</v>
      </c>
      <c r="B233" s="1067" t="s">
        <v>247</v>
      </c>
      <c r="C233" s="1067" t="s">
        <v>298</v>
      </c>
      <c r="D233" s="1067" t="s">
        <v>56</v>
      </c>
      <c r="E233" s="1067">
        <v>99</v>
      </c>
      <c r="F233" s="1067"/>
      <c r="G233" s="1067">
        <v>49</v>
      </c>
      <c r="H233" s="1067"/>
      <c r="I233" s="1067"/>
      <c r="J233" s="1067"/>
      <c r="K233" s="1067">
        <v>50</v>
      </c>
    </row>
    <row r="234" spans="1:11" x14ac:dyDescent="0.25">
      <c r="A234" s="1067" t="s">
        <v>255</v>
      </c>
      <c r="B234" s="1067" t="s">
        <v>247</v>
      </c>
      <c r="C234" s="1067" t="s">
        <v>299</v>
      </c>
      <c r="D234" s="1067" t="s">
        <v>57</v>
      </c>
      <c r="E234" s="1067">
        <v>241</v>
      </c>
      <c r="F234" s="1067"/>
      <c r="G234" s="1067">
        <v>73</v>
      </c>
      <c r="H234" s="1067"/>
      <c r="I234" s="1067"/>
      <c r="J234" s="1067">
        <v>2</v>
      </c>
      <c r="K234" s="1067">
        <v>166</v>
      </c>
    </row>
    <row r="235" spans="1:11" x14ac:dyDescent="0.25">
      <c r="A235" s="1067" t="s">
        <v>255</v>
      </c>
      <c r="B235" s="1067" t="s">
        <v>247</v>
      </c>
      <c r="C235" s="1067" t="s">
        <v>300</v>
      </c>
      <c r="D235" s="1067" t="s">
        <v>58</v>
      </c>
      <c r="E235" s="1067">
        <v>122</v>
      </c>
      <c r="F235" s="1067"/>
      <c r="G235" s="1067">
        <v>74</v>
      </c>
      <c r="H235" s="1067"/>
      <c r="I235" s="1067"/>
      <c r="J235" s="1067"/>
      <c r="K235" s="1067">
        <v>48</v>
      </c>
    </row>
    <row r="236" spans="1:11" x14ac:dyDescent="0.25">
      <c r="A236" s="1067" t="s">
        <v>255</v>
      </c>
      <c r="B236" s="1067" t="s">
        <v>247</v>
      </c>
      <c r="C236" s="1067" t="s">
        <v>301</v>
      </c>
      <c r="D236" s="1067" t="s">
        <v>31</v>
      </c>
      <c r="E236" s="1067">
        <v>153</v>
      </c>
      <c r="F236" s="1067"/>
      <c r="G236" s="1067">
        <v>8</v>
      </c>
      <c r="H236" s="1067"/>
      <c r="I236" s="1067"/>
      <c r="J236" s="1067"/>
      <c r="K236" s="1067">
        <v>145</v>
      </c>
    </row>
    <row r="237" spans="1:11" x14ac:dyDescent="0.25">
      <c r="A237" s="1067" t="s">
        <v>255</v>
      </c>
      <c r="B237" s="1067" t="s">
        <v>247</v>
      </c>
      <c r="C237" s="1067" t="s">
        <v>302</v>
      </c>
      <c r="D237" s="1067" t="s">
        <v>32</v>
      </c>
      <c r="E237" s="1067">
        <v>299</v>
      </c>
      <c r="F237" s="1067"/>
      <c r="G237" s="1067">
        <v>275</v>
      </c>
      <c r="H237" s="1067"/>
      <c r="I237" s="1067"/>
      <c r="J237" s="1067"/>
      <c r="K237" s="1067">
        <v>24</v>
      </c>
    </row>
    <row r="238" spans="1:11" x14ac:dyDescent="0.25">
      <c r="A238" s="1067" t="s">
        <v>255</v>
      </c>
      <c r="B238" s="1067" t="s">
        <v>247</v>
      </c>
      <c r="C238" s="1067" t="s">
        <v>303</v>
      </c>
      <c r="D238" s="1067" t="s">
        <v>34</v>
      </c>
      <c r="E238" s="1067">
        <v>438</v>
      </c>
      <c r="F238" s="1067"/>
      <c r="G238" s="1067">
        <v>177</v>
      </c>
      <c r="H238" s="1067"/>
      <c r="I238" s="1067"/>
      <c r="J238" s="1067">
        <v>211</v>
      </c>
      <c r="K238" s="1067">
        <v>50</v>
      </c>
    </row>
    <row r="239" spans="1:11" x14ac:dyDescent="0.25">
      <c r="A239" s="1067" t="s">
        <v>255</v>
      </c>
      <c r="B239" s="1067" t="s">
        <v>247</v>
      </c>
      <c r="C239" s="1067" t="s">
        <v>304</v>
      </c>
      <c r="D239" s="1067" t="s">
        <v>258</v>
      </c>
      <c r="E239" s="1067">
        <v>304</v>
      </c>
      <c r="F239" s="1067"/>
      <c r="G239" s="1067">
        <v>11</v>
      </c>
      <c r="H239" s="1067"/>
      <c r="I239" s="1067"/>
      <c r="J239" s="1067"/>
      <c r="K239" s="1067">
        <v>293</v>
      </c>
    </row>
    <row r="240" spans="1:11" x14ac:dyDescent="0.25">
      <c r="A240" s="1067" t="s">
        <v>255</v>
      </c>
      <c r="B240" s="1067" t="s">
        <v>247</v>
      </c>
      <c r="C240" s="1067" t="s">
        <v>305</v>
      </c>
      <c r="D240" s="1067" t="s">
        <v>53</v>
      </c>
      <c r="E240" s="1067">
        <v>110</v>
      </c>
      <c r="F240" s="1067"/>
      <c r="G240" s="1067">
        <v>16</v>
      </c>
      <c r="H240" s="1067"/>
      <c r="I240" s="1067"/>
      <c r="J240" s="1067"/>
      <c r="K240" s="1067">
        <v>94</v>
      </c>
    </row>
    <row r="241" spans="1:11" x14ac:dyDescent="0.25">
      <c r="A241" s="1067" t="s">
        <v>255</v>
      </c>
      <c r="B241" s="1067" t="s">
        <v>247</v>
      </c>
      <c r="C241" s="1067" t="s">
        <v>306</v>
      </c>
      <c r="D241" s="1067" t="s">
        <v>59</v>
      </c>
      <c r="E241" s="1067">
        <v>86</v>
      </c>
      <c r="F241" s="1067"/>
      <c r="G241" s="1067">
        <v>18</v>
      </c>
      <c r="H241" s="1067"/>
      <c r="I241" s="1067"/>
      <c r="J241" s="1067"/>
      <c r="K241" s="1067">
        <v>68</v>
      </c>
    </row>
    <row r="242" spans="1:11" x14ac:dyDescent="0.25">
      <c r="A242" s="1067" t="s">
        <v>255</v>
      </c>
      <c r="B242" s="1067" t="s">
        <v>247</v>
      </c>
      <c r="C242" s="1067" t="s">
        <v>307</v>
      </c>
      <c r="D242" s="1067" t="s">
        <v>60</v>
      </c>
      <c r="E242" s="1067">
        <v>123</v>
      </c>
      <c r="F242" s="1067"/>
      <c r="G242" s="1067">
        <v>65</v>
      </c>
      <c r="H242" s="1067"/>
      <c r="I242" s="1067"/>
      <c r="J242" s="1067"/>
      <c r="K242" s="1067">
        <v>58</v>
      </c>
    </row>
    <row r="243" spans="1:11" x14ac:dyDescent="0.25">
      <c r="A243" s="1067" t="s">
        <v>255</v>
      </c>
      <c r="B243" s="1067" t="s">
        <v>247</v>
      </c>
      <c r="C243" s="1067" t="s">
        <v>308</v>
      </c>
      <c r="D243" s="1067" t="s">
        <v>33</v>
      </c>
      <c r="E243" s="1067">
        <v>121</v>
      </c>
      <c r="F243" s="1067"/>
      <c r="G243" s="1067">
        <v>93</v>
      </c>
      <c r="H243" s="1067"/>
      <c r="I243" s="1067"/>
      <c r="J243" s="1067"/>
      <c r="K243" s="1067">
        <v>28</v>
      </c>
    </row>
    <row r="244" spans="1:11" x14ac:dyDescent="0.25">
      <c r="A244" s="1067" t="s">
        <v>255</v>
      </c>
      <c r="B244" s="1067" t="s">
        <v>247</v>
      </c>
      <c r="C244" s="1067" t="s">
        <v>309</v>
      </c>
      <c r="D244" s="1067" t="s">
        <v>37</v>
      </c>
      <c r="E244" s="1067">
        <v>191</v>
      </c>
      <c r="F244" s="1067"/>
      <c r="G244" s="1067">
        <v>13</v>
      </c>
      <c r="H244" s="1067"/>
      <c r="I244" s="1067"/>
      <c r="J244" s="1067"/>
      <c r="K244" s="1067">
        <v>178</v>
      </c>
    </row>
    <row r="245" spans="1:11" x14ac:dyDescent="0.25">
      <c r="A245" s="1067" t="s">
        <v>255</v>
      </c>
      <c r="B245" s="1067" t="s">
        <v>247</v>
      </c>
      <c r="C245" s="1067" t="s">
        <v>310</v>
      </c>
      <c r="D245" s="1067" t="s">
        <v>50</v>
      </c>
      <c r="E245" s="1067">
        <v>200</v>
      </c>
      <c r="F245" s="1067"/>
      <c r="G245" s="1067">
        <v>37</v>
      </c>
      <c r="H245" s="1067"/>
      <c r="I245" s="1067"/>
      <c r="J245" s="1067"/>
      <c r="K245" s="1067">
        <v>163</v>
      </c>
    </row>
    <row r="246" spans="1:11" x14ac:dyDescent="0.25">
      <c r="A246" s="1067" t="s">
        <v>255</v>
      </c>
      <c r="B246" s="1067" t="s">
        <v>247</v>
      </c>
      <c r="C246" s="1067" t="s">
        <v>311</v>
      </c>
      <c r="D246" s="1067" t="s">
        <v>39</v>
      </c>
      <c r="E246" s="1067">
        <v>78</v>
      </c>
      <c r="F246" s="1067"/>
      <c r="G246" s="1067"/>
      <c r="H246" s="1067"/>
      <c r="I246" s="1067"/>
      <c r="J246" s="1067"/>
      <c r="K246" s="1067">
        <v>78</v>
      </c>
    </row>
    <row r="247" spans="1:11" x14ac:dyDescent="0.25">
      <c r="A247" s="1067" t="s">
        <v>255</v>
      </c>
      <c r="B247" s="1067" t="s">
        <v>247</v>
      </c>
      <c r="C247" s="1067" t="s">
        <v>312</v>
      </c>
      <c r="D247" s="1067" t="s">
        <v>121</v>
      </c>
      <c r="E247" s="1067">
        <v>489</v>
      </c>
      <c r="F247" s="1067"/>
      <c r="G247" s="1067"/>
      <c r="H247" s="1067"/>
      <c r="I247" s="1067"/>
      <c r="J247" s="1067"/>
      <c r="K247" s="1067">
        <v>489</v>
      </c>
    </row>
    <row r="248" spans="1:11" x14ac:dyDescent="0.25">
      <c r="A248" s="1067" t="s">
        <v>255</v>
      </c>
      <c r="B248" s="1067" t="s">
        <v>247</v>
      </c>
      <c r="C248" s="1067" t="s">
        <v>313</v>
      </c>
      <c r="D248" s="1067" t="s">
        <v>43</v>
      </c>
      <c r="E248" s="1067">
        <v>369</v>
      </c>
      <c r="F248" s="1067"/>
      <c r="G248" s="1067">
        <v>115</v>
      </c>
      <c r="H248" s="1067"/>
      <c r="I248" s="1067"/>
      <c r="J248" s="1067"/>
      <c r="K248" s="1067">
        <v>254</v>
      </c>
    </row>
    <row r="249" spans="1:11" x14ac:dyDescent="0.25">
      <c r="A249" s="1067" t="s">
        <v>255</v>
      </c>
      <c r="B249" s="1067" t="s">
        <v>248</v>
      </c>
      <c r="C249" s="1067" t="s">
        <v>369</v>
      </c>
      <c r="D249" s="1067" t="s">
        <v>31</v>
      </c>
      <c r="E249" s="1067">
        <v>15</v>
      </c>
      <c r="F249" s="1067"/>
      <c r="G249" s="1067"/>
      <c r="H249" s="1067"/>
      <c r="I249" s="1067"/>
      <c r="J249" s="1067"/>
      <c r="K249" s="1067">
        <v>15</v>
      </c>
    </row>
    <row r="250" spans="1:11" x14ac:dyDescent="0.25">
      <c r="A250" s="1067" t="s">
        <v>255</v>
      </c>
      <c r="B250" s="1067" t="s">
        <v>248</v>
      </c>
      <c r="C250" s="1067" t="s">
        <v>370</v>
      </c>
      <c r="D250" s="1067" t="s">
        <v>63</v>
      </c>
      <c r="E250" s="1067">
        <v>25</v>
      </c>
      <c r="F250" s="1067"/>
      <c r="G250" s="1067"/>
      <c r="H250" s="1067"/>
      <c r="I250" s="1067"/>
      <c r="J250" s="1067"/>
      <c r="K250" s="1067">
        <v>25</v>
      </c>
    </row>
    <row r="251" spans="1:11" x14ac:dyDescent="0.25">
      <c r="A251" s="1067" t="s">
        <v>255</v>
      </c>
      <c r="B251" s="1067" t="s">
        <v>248</v>
      </c>
      <c r="C251" s="1067" t="s">
        <v>372</v>
      </c>
      <c r="D251" s="1067" t="s">
        <v>64</v>
      </c>
      <c r="E251" s="1067">
        <v>26</v>
      </c>
      <c r="F251" s="1067"/>
      <c r="G251" s="1067"/>
      <c r="H251" s="1067"/>
      <c r="I251" s="1067"/>
      <c r="J251" s="1067"/>
      <c r="K251" s="1067">
        <v>26</v>
      </c>
    </row>
    <row r="252" spans="1:11" x14ac:dyDescent="0.25">
      <c r="A252" s="1067" t="s">
        <v>255</v>
      </c>
      <c r="B252" s="1067" t="s">
        <v>248</v>
      </c>
      <c r="C252" s="1067" t="s">
        <v>373</v>
      </c>
      <c r="D252" s="1067" t="s">
        <v>36</v>
      </c>
      <c r="E252" s="1067">
        <v>22</v>
      </c>
      <c r="F252" s="1067"/>
      <c r="G252" s="1067"/>
      <c r="H252" s="1067"/>
      <c r="I252" s="1067"/>
      <c r="J252" s="1067"/>
      <c r="K252" s="1067">
        <v>22</v>
      </c>
    </row>
    <row r="253" spans="1:11" x14ac:dyDescent="0.25">
      <c r="A253" s="1067" t="s">
        <v>255</v>
      </c>
      <c r="B253" s="1067" t="s">
        <v>248</v>
      </c>
      <c r="C253" s="1067" t="s">
        <v>374</v>
      </c>
      <c r="D253" s="1067" t="s">
        <v>66</v>
      </c>
      <c r="E253" s="1067">
        <v>27</v>
      </c>
      <c r="F253" s="1067"/>
      <c r="G253" s="1067"/>
      <c r="H253" s="1067"/>
      <c r="I253" s="1067"/>
      <c r="J253" s="1067"/>
      <c r="K253" s="1067">
        <v>27</v>
      </c>
    </row>
    <row r="254" spans="1:11" x14ac:dyDescent="0.25">
      <c r="A254" s="1067" t="s">
        <v>255</v>
      </c>
      <c r="B254" s="1067" t="s">
        <v>248</v>
      </c>
      <c r="C254" s="1067" t="s">
        <v>375</v>
      </c>
      <c r="D254" s="1067" t="s">
        <v>67</v>
      </c>
      <c r="E254" s="1067">
        <v>27</v>
      </c>
      <c r="F254" s="1067"/>
      <c r="G254" s="1067"/>
      <c r="H254" s="1067"/>
      <c r="I254" s="1067"/>
      <c r="J254" s="1067"/>
      <c r="K254" s="1067">
        <v>27</v>
      </c>
    </row>
    <row r="255" spans="1:11" x14ac:dyDescent="0.25">
      <c r="A255" s="1067" t="s">
        <v>255</v>
      </c>
      <c r="B255" s="1067" t="s">
        <v>248</v>
      </c>
      <c r="C255" s="1067" t="s">
        <v>376</v>
      </c>
      <c r="D255" s="1067" t="s">
        <v>68</v>
      </c>
      <c r="E255" s="1067">
        <v>16</v>
      </c>
      <c r="F255" s="1067"/>
      <c r="G255" s="1067"/>
      <c r="H255" s="1067"/>
      <c r="I255" s="1067"/>
      <c r="J255" s="1067"/>
      <c r="K255" s="1067">
        <v>16</v>
      </c>
    </row>
    <row r="256" spans="1:11" x14ac:dyDescent="0.25">
      <c r="A256" s="1067" t="s">
        <v>255</v>
      </c>
      <c r="B256" s="1067" t="s">
        <v>248</v>
      </c>
      <c r="C256" s="1067" t="s">
        <v>377</v>
      </c>
      <c r="D256" s="1067" t="s">
        <v>175</v>
      </c>
      <c r="E256" s="1067">
        <v>31</v>
      </c>
      <c r="F256" s="1067"/>
      <c r="G256" s="1067"/>
      <c r="H256" s="1067"/>
      <c r="I256" s="1067"/>
      <c r="J256" s="1067"/>
      <c r="K256" s="1067">
        <v>31</v>
      </c>
    </row>
    <row r="257" spans="1:11" x14ac:dyDescent="0.25">
      <c r="A257" s="1067" t="s">
        <v>255</v>
      </c>
      <c r="B257" s="1067" t="s">
        <v>248</v>
      </c>
      <c r="C257" s="1067" t="s">
        <v>378</v>
      </c>
      <c r="D257" s="1067" t="s">
        <v>69</v>
      </c>
      <c r="E257" s="1067">
        <v>19</v>
      </c>
      <c r="F257" s="1067"/>
      <c r="G257" s="1067"/>
      <c r="H257" s="1067"/>
      <c r="I257" s="1067"/>
      <c r="J257" s="1067"/>
      <c r="K257" s="1067">
        <v>19</v>
      </c>
    </row>
    <row r="258" spans="1:11" x14ac:dyDescent="0.25">
      <c r="A258" s="1067" t="s">
        <v>255</v>
      </c>
      <c r="B258" s="1067" t="s">
        <v>248</v>
      </c>
      <c r="C258" s="1067" t="s">
        <v>1074</v>
      </c>
      <c r="D258" s="1067" t="s">
        <v>121</v>
      </c>
      <c r="E258" s="1067">
        <v>22</v>
      </c>
      <c r="F258" s="1067"/>
      <c r="G258" s="1067"/>
      <c r="H258" s="1067"/>
      <c r="I258" s="1067"/>
      <c r="J258" s="1067"/>
      <c r="K258" s="1067">
        <v>22</v>
      </c>
    </row>
    <row r="259" spans="1:11" x14ac:dyDescent="0.25">
      <c r="A259" s="1067" t="s">
        <v>255</v>
      </c>
      <c r="B259" s="1067" t="s">
        <v>248</v>
      </c>
      <c r="C259" s="1067" t="s">
        <v>379</v>
      </c>
      <c r="D259" s="1067" t="s">
        <v>70</v>
      </c>
      <c r="E259" s="1067">
        <v>32</v>
      </c>
      <c r="F259" s="1067"/>
      <c r="G259" s="1067"/>
      <c r="H259" s="1067"/>
      <c r="I259" s="1067"/>
      <c r="J259" s="1067"/>
      <c r="K259" s="1067">
        <v>32</v>
      </c>
    </row>
    <row r="260" spans="1:11" x14ac:dyDescent="0.25">
      <c r="A260" s="1067" t="s">
        <v>255</v>
      </c>
      <c r="B260" s="1067" t="s">
        <v>248</v>
      </c>
      <c r="C260" s="1067" t="s">
        <v>1075</v>
      </c>
      <c r="D260" s="1067" t="s">
        <v>50</v>
      </c>
      <c r="E260" s="1067">
        <v>17</v>
      </c>
      <c r="F260" s="1067"/>
      <c r="G260" s="1067"/>
      <c r="H260" s="1067"/>
      <c r="I260" s="1067"/>
      <c r="J260" s="1067"/>
      <c r="K260" s="1067">
        <v>17</v>
      </c>
    </row>
    <row r="261" spans="1:11" x14ac:dyDescent="0.25">
      <c r="A261" s="1067" t="s">
        <v>255</v>
      </c>
      <c r="B261" s="1067" t="s">
        <v>248</v>
      </c>
      <c r="C261" s="1067" t="s">
        <v>380</v>
      </c>
      <c r="D261" s="1067" t="s">
        <v>57</v>
      </c>
      <c r="E261" s="1067">
        <v>16</v>
      </c>
      <c r="F261" s="1067"/>
      <c r="G261" s="1067"/>
      <c r="H261" s="1067"/>
      <c r="I261" s="1067"/>
      <c r="J261" s="1067"/>
      <c r="K261" s="1067">
        <v>16</v>
      </c>
    </row>
    <row r="262" spans="1:11" x14ac:dyDescent="0.25">
      <c r="A262" s="1067" t="s">
        <v>255</v>
      </c>
      <c r="B262" s="1067" t="s">
        <v>248</v>
      </c>
      <c r="C262" s="1067" t="s">
        <v>1072</v>
      </c>
      <c r="D262" s="1067" t="s">
        <v>1071</v>
      </c>
      <c r="E262" s="1067">
        <v>18</v>
      </c>
      <c r="F262" s="1067"/>
      <c r="G262" s="1067"/>
      <c r="H262" s="1067"/>
      <c r="I262" s="1067"/>
      <c r="J262" s="1067"/>
      <c r="K262" s="1067">
        <v>18</v>
      </c>
    </row>
    <row r="263" spans="1:11" x14ac:dyDescent="0.25">
      <c r="A263" s="1067" t="s">
        <v>255</v>
      </c>
      <c r="B263" s="1067" t="s">
        <v>248</v>
      </c>
      <c r="C263" s="1067" t="s">
        <v>381</v>
      </c>
      <c r="D263" s="1067" t="s">
        <v>71</v>
      </c>
      <c r="E263" s="1067">
        <v>19</v>
      </c>
      <c r="F263" s="1067"/>
      <c r="G263" s="1067"/>
      <c r="H263" s="1067"/>
      <c r="I263" s="1067"/>
      <c r="J263" s="1067"/>
      <c r="K263" s="1067">
        <v>19</v>
      </c>
    </row>
    <row r="264" spans="1:11" x14ac:dyDescent="0.25">
      <c r="A264" s="1067" t="s">
        <v>255</v>
      </c>
      <c r="B264" s="1067" t="s">
        <v>248</v>
      </c>
      <c r="C264" s="1067" t="s">
        <v>371</v>
      </c>
      <c r="D264" s="1067" t="s">
        <v>65</v>
      </c>
      <c r="E264" s="1067">
        <v>28</v>
      </c>
      <c r="F264" s="1067"/>
      <c r="G264" s="1067"/>
      <c r="H264" s="1067"/>
      <c r="I264" s="1067"/>
      <c r="J264" s="1067"/>
      <c r="K264" s="1067">
        <v>28</v>
      </c>
    </row>
    <row r="265" spans="1:11" x14ac:dyDescent="0.25">
      <c r="A265" s="1067" t="s">
        <v>255</v>
      </c>
      <c r="B265" s="1067" t="s">
        <v>248</v>
      </c>
      <c r="C265" s="1067" t="s">
        <v>1073</v>
      </c>
      <c r="D265" s="1067" t="s">
        <v>43</v>
      </c>
      <c r="E265" s="1067">
        <v>19</v>
      </c>
      <c r="F265" s="1067"/>
      <c r="G265" s="1067"/>
      <c r="H265" s="1067"/>
      <c r="I265" s="1067"/>
      <c r="J265" s="1067"/>
      <c r="K265" s="1067">
        <v>19</v>
      </c>
    </row>
    <row r="266" spans="1:11" x14ac:dyDescent="0.25">
      <c r="A266" s="1067" t="s">
        <v>255</v>
      </c>
      <c r="B266" s="1067" t="s">
        <v>249</v>
      </c>
      <c r="C266" s="1067" t="s">
        <v>403</v>
      </c>
      <c r="D266" s="1067" t="s">
        <v>173</v>
      </c>
      <c r="E266" s="1067">
        <v>373</v>
      </c>
      <c r="F266" s="1067"/>
      <c r="G266" s="1067"/>
      <c r="H266" s="1067"/>
      <c r="I266" s="1067">
        <v>300</v>
      </c>
      <c r="J266" s="1067"/>
      <c r="K266" s="1067">
        <v>73</v>
      </c>
    </row>
    <row r="267" spans="1:11" x14ac:dyDescent="0.25">
      <c r="A267" s="1067" t="s">
        <v>255</v>
      </c>
      <c r="B267" s="1067" t="s">
        <v>249</v>
      </c>
      <c r="C267" s="1067" t="s">
        <v>402</v>
      </c>
      <c r="D267" s="1067" t="s">
        <v>174</v>
      </c>
      <c r="E267" s="1067">
        <v>165</v>
      </c>
      <c r="F267" s="1067"/>
      <c r="G267" s="1067"/>
      <c r="H267" s="1067"/>
      <c r="I267" s="1067">
        <v>128</v>
      </c>
      <c r="J267" s="1067"/>
      <c r="K267" s="1067">
        <v>37</v>
      </c>
    </row>
    <row r="268" spans="1:11" x14ac:dyDescent="0.25">
      <c r="A268" s="1067" t="s">
        <v>255</v>
      </c>
      <c r="B268" s="1067" t="s">
        <v>249</v>
      </c>
      <c r="C268" s="1067" t="s">
        <v>404</v>
      </c>
      <c r="D268" s="1067" t="s">
        <v>172</v>
      </c>
      <c r="E268" s="1067">
        <v>187</v>
      </c>
      <c r="F268" s="1067"/>
      <c r="G268" s="1067"/>
      <c r="H268" s="1067"/>
      <c r="I268" s="1067">
        <v>141</v>
      </c>
      <c r="J268" s="1067"/>
      <c r="K268" s="1067">
        <v>46</v>
      </c>
    </row>
    <row r="269" spans="1:11" x14ac:dyDescent="0.25">
      <c r="A269" s="1067" t="s">
        <v>255</v>
      </c>
      <c r="B269" s="1067" t="s">
        <v>250</v>
      </c>
      <c r="C269" s="1067" t="s">
        <v>382</v>
      </c>
      <c r="D269" s="1067" t="s">
        <v>259</v>
      </c>
      <c r="E269" s="1067">
        <v>609</v>
      </c>
      <c r="F269" s="1067">
        <v>189</v>
      </c>
      <c r="G269" s="1067"/>
      <c r="H269" s="1067"/>
      <c r="I269" s="1067">
        <v>277</v>
      </c>
      <c r="J269" s="1067"/>
      <c r="K269" s="1067">
        <v>143</v>
      </c>
    </row>
    <row r="270" spans="1:11" x14ac:dyDescent="0.25">
      <c r="A270" s="1067" t="s">
        <v>254</v>
      </c>
      <c r="B270" s="1067" t="s">
        <v>247</v>
      </c>
      <c r="C270" s="1067" t="s">
        <v>282</v>
      </c>
      <c r="D270" s="1067" t="s">
        <v>35</v>
      </c>
      <c r="E270" s="1067">
        <v>45</v>
      </c>
      <c r="F270" s="1067"/>
      <c r="G270" s="1067">
        <v>20</v>
      </c>
      <c r="H270" s="1067"/>
      <c r="I270" s="1067"/>
      <c r="J270" s="1067"/>
      <c r="K270" s="1067">
        <v>25</v>
      </c>
    </row>
    <row r="271" spans="1:11" x14ac:dyDescent="0.25">
      <c r="A271" s="1067" t="s">
        <v>254</v>
      </c>
      <c r="B271" s="1067" t="s">
        <v>247</v>
      </c>
      <c r="C271" s="1067" t="s">
        <v>283</v>
      </c>
      <c r="D271" s="1067" t="s">
        <v>36</v>
      </c>
      <c r="E271" s="1067">
        <v>257</v>
      </c>
      <c r="F271" s="1067"/>
      <c r="G271" s="1067">
        <v>198</v>
      </c>
      <c r="H271" s="1067"/>
      <c r="I271" s="1067"/>
      <c r="J271" s="1067">
        <v>6</v>
      </c>
      <c r="K271" s="1067">
        <v>53</v>
      </c>
    </row>
    <row r="272" spans="1:11" x14ac:dyDescent="0.25">
      <c r="A272" s="1067" t="s">
        <v>254</v>
      </c>
      <c r="B272" s="1067" t="s">
        <v>247</v>
      </c>
      <c r="C272" s="1067" t="s">
        <v>284</v>
      </c>
      <c r="D272" s="1067" t="s">
        <v>38</v>
      </c>
      <c r="E272" s="1067">
        <v>124</v>
      </c>
      <c r="F272" s="1067"/>
      <c r="G272" s="1067">
        <v>77</v>
      </c>
      <c r="H272" s="1067"/>
      <c r="I272" s="1067"/>
      <c r="J272" s="1067"/>
      <c r="K272" s="1067">
        <v>47</v>
      </c>
    </row>
    <row r="273" spans="1:11" x14ac:dyDescent="0.25">
      <c r="A273" s="1067" t="s">
        <v>254</v>
      </c>
      <c r="B273" s="1067" t="s">
        <v>247</v>
      </c>
      <c r="C273" s="1067" t="s">
        <v>285</v>
      </c>
      <c r="D273" s="1067" t="s">
        <v>40</v>
      </c>
      <c r="E273" s="1067">
        <v>86</v>
      </c>
      <c r="F273" s="1067"/>
      <c r="G273" s="1067">
        <v>62</v>
      </c>
      <c r="H273" s="1067"/>
      <c r="I273" s="1067"/>
      <c r="J273" s="1067"/>
      <c r="K273" s="1067">
        <v>24</v>
      </c>
    </row>
    <row r="274" spans="1:11" x14ac:dyDescent="0.25">
      <c r="A274" s="1067" t="s">
        <v>254</v>
      </c>
      <c r="B274" s="1067" t="s">
        <v>247</v>
      </c>
      <c r="C274" s="1067" t="s">
        <v>286</v>
      </c>
      <c r="D274" s="1067" t="s">
        <v>41</v>
      </c>
      <c r="E274" s="1067">
        <v>52</v>
      </c>
      <c r="F274" s="1067"/>
      <c r="G274" s="1067"/>
      <c r="H274" s="1067"/>
      <c r="I274" s="1067"/>
      <c r="J274" s="1067"/>
      <c r="K274" s="1067">
        <v>52</v>
      </c>
    </row>
    <row r="275" spans="1:11" x14ac:dyDescent="0.25">
      <c r="A275" s="1067" t="s">
        <v>254</v>
      </c>
      <c r="B275" s="1067" t="s">
        <v>247</v>
      </c>
      <c r="C275" s="1067" t="s">
        <v>287</v>
      </c>
      <c r="D275" s="1067" t="s">
        <v>48</v>
      </c>
      <c r="E275" s="1067">
        <v>132</v>
      </c>
      <c r="F275" s="1067"/>
      <c r="G275" s="1067">
        <v>132</v>
      </c>
      <c r="H275" s="1067"/>
      <c r="I275" s="1067"/>
      <c r="J275" s="1067"/>
      <c r="K275" s="1067"/>
    </row>
    <row r="276" spans="1:11" x14ac:dyDescent="0.25">
      <c r="A276" s="1067" t="s">
        <v>254</v>
      </c>
      <c r="B276" s="1067" t="s">
        <v>247</v>
      </c>
      <c r="C276" s="1067" t="s">
        <v>288</v>
      </c>
      <c r="D276" s="1067" t="s">
        <v>42</v>
      </c>
      <c r="E276" s="1067">
        <v>143</v>
      </c>
      <c r="F276" s="1067"/>
      <c r="G276" s="1067">
        <v>55</v>
      </c>
      <c r="H276" s="1067"/>
      <c r="I276" s="1067"/>
      <c r="J276" s="1067"/>
      <c r="K276" s="1067">
        <v>88</v>
      </c>
    </row>
    <row r="277" spans="1:11" x14ac:dyDescent="0.25">
      <c r="A277" s="1067" t="s">
        <v>254</v>
      </c>
      <c r="B277" s="1067" t="s">
        <v>247</v>
      </c>
      <c r="C277" s="1067" t="s">
        <v>289</v>
      </c>
      <c r="D277" s="1067" t="s">
        <v>44</v>
      </c>
      <c r="E277" s="1067">
        <v>684</v>
      </c>
      <c r="F277" s="1067"/>
      <c r="G277" s="1067">
        <v>552</v>
      </c>
      <c r="H277" s="1067"/>
      <c r="I277" s="1067"/>
      <c r="J277" s="1067">
        <v>62</v>
      </c>
      <c r="K277" s="1067">
        <v>70</v>
      </c>
    </row>
    <row r="278" spans="1:11" x14ac:dyDescent="0.25">
      <c r="A278" s="1067" t="s">
        <v>254</v>
      </c>
      <c r="B278" s="1067" t="s">
        <v>247</v>
      </c>
      <c r="C278" s="1067" t="s">
        <v>290</v>
      </c>
      <c r="D278" s="1067" t="s">
        <v>45</v>
      </c>
      <c r="E278" s="1067">
        <v>116</v>
      </c>
      <c r="F278" s="1067"/>
      <c r="G278" s="1067">
        <v>44</v>
      </c>
      <c r="H278" s="1067"/>
      <c r="I278" s="1067"/>
      <c r="J278" s="1067"/>
      <c r="K278" s="1067">
        <v>72</v>
      </c>
    </row>
    <row r="279" spans="1:11" x14ac:dyDescent="0.25">
      <c r="A279" s="1067" t="s">
        <v>254</v>
      </c>
      <c r="B279" s="1067" t="s">
        <v>247</v>
      </c>
      <c r="C279" s="1067" t="s">
        <v>291</v>
      </c>
      <c r="D279" s="1067" t="s">
        <v>46</v>
      </c>
      <c r="E279" s="1067">
        <v>39</v>
      </c>
      <c r="F279" s="1067"/>
      <c r="G279" s="1067">
        <v>13</v>
      </c>
      <c r="H279" s="1067"/>
      <c r="I279" s="1067"/>
      <c r="J279" s="1067"/>
      <c r="K279" s="1067">
        <v>26</v>
      </c>
    </row>
    <row r="280" spans="1:11" x14ac:dyDescent="0.25">
      <c r="A280" s="1067" t="s">
        <v>254</v>
      </c>
      <c r="B280" s="1067" t="s">
        <v>247</v>
      </c>
      <c r="C280" s="1067" t="s">
        <v>292</v>
      </c>
      <c r="D280" s="1067" t="s">
        <v>47</v>
      </c>
      <c r="E280" s="1067">
        <v>154</v>
      </c>
      <c r="F280" s="1067"/>
      <c r="G280" s="1067">
        <v>120</v>
      </c>
      <c r="H280" s="1067"/>
      <c r="I280" s="1067"/>
      <c r="J280" s="1067">
        <v>4</v>
      </c>
      <c r="K280" s="1067">
        <v>30</v>
      </c>
    </row>
    <row r="281" spans="1:11" x14ac:dyDescent="0.25">
      <c r="A281" s="1067" t="s">
        <v>254</v>
      </c>
      <c r="B281" s="1067" t="s">
        <v>247</v>
      </c>
      <c r="C281" s="1067" t="s">
        <v>293</v>
      </c>
      <c r="D281" s="1067" t="s">
        <v>49</v>
      </c>
      <c r="E281" s="1067">
        <v>205</v>
      </c>
      <c r="F281" s="1067"/>
      <c r="G281" s="1067">
        <v>107</v>
      </c>
      <c r="H281" s="1067"/>
      <c r="I281" s="1067"/>
      <c r="J281" s="1067">
        <v>22</v>
      </c>
      <c r="K281" s="1067">
        <v>76</v>
      </c>
    </row>
    <row r="282" spans="1:11" x14ac:dyDescent="0.25">
      <c r="A282" s="1067" t="s">
        <v>254</v>
      </c>
      <c r="B282" s="1067" t="s">
        <v>247</v>
      </c>
      <c r="C282" s="1067" t="s">
        <v>294</v>
      </c>
      <c r="D282" s="1067" t="s">
        <v>51</v>
      </c>
      <c r="E282" s="1067">
        <v>109</v>
      </c>
      <c r="F282" s="1067"/>
      <c r="G282" s="1067">
        <v>109</v>
      </c>
      <c r="H282" s="1067"/>
      <c r="I282" s="1067"/>
      <c r="J282" s="1067"/>
      <c r="K282" s="1067"/>
    </row>
    <row r="283" spans="1:11" x14ac:dyDescent="0.25">
      <c r="A283" s="1067" t="s">
        <v>254</v>
      </c>
      <c r="B283" s="1067" t="s">
        <v>247</v>
      </c>
      <c r="C283" s="1067" t="s">
        <v>295</v>
      </c>
      <c r="D283" s="1067" t="s">
        <v>52</v>
      </c>
      <c r="E283" s="1067">
        <v>222</v>
      </c>
      <c r="F283" s="1067"/>
      <c r="G283" s="1067">
        <v>131</v>
      </c>
      <c r="H283" s="1067"/>
      <c r="I283" s="1067"/>
      <c r="J283" s="1067">
        <v>22</v>
      </c>
      <c r="K283" s="1067">
        <v>69</v>
      </c>
    </row>
    <row r="284" spans="1:11" x14ac:dyDescent="0.25">
      <c r="A284" s="1067" t="s">
        <v>254</v>
      </c>
      <c r="B284" s="1067" t="s">
        <v>247</v>
      </c>
      <c r="C284" s="1067" t="s">
        <v>296</v>
      </c>
      <c r="D284" s="1067" t="s">
        <v>54</v>
      </c>
      <c r="E284" s="1067">
        <v>199</v>
      </c>
      <c r="F284" s="1067"/>
      <c r="G284" s="1067">
        <v>143</v>
      </c>
      <c r="H284" s="1067"/>
      <c r="I284" s="1067"/>
      <c r="J284" s="1067"/>
      <c r="K284" s="1067">
        <v>56</v>
      </c>
    </row>
    <row r="285" spans="1:11" x14ac:dyDescent="0.25">
      <c r="A285" s="1067" t="s">
        <v>254</v>
      </c>
      <c r="B285" s="1067" t="s">
        <v>247</v>
      </c>
      <c r="C285" s="1067" t="s">
        <v>297</v>
      </c>
      <c r="D285" s="1067" t="s">
        <v>55</v>
      </c>
      <c r="E285" s="1067">
        <v>127</v>
      </c>
      <c r="F285" s="1067"/>
      <c r="G285" s="1067">
        <v>127</v>
      </c>
      <c r="H285" s="1067"/>
      <c r="I285" s="1067"/>
      <c r="J285" s="1067"/>
      <c r="K285" s="1067"/>
    </row>
    <row r="286" spans="1:11" x14ac:dyDescent="0.25">
      <c r="A286" s="1067" t="s">
        <v>254</v>
      </c>
      <c r="B286" s="1067" t="s">
        <v>247</v>
      </c>
      <c r="C286" s="1067" t="s">
        <v>298</v>
      </c>
      <c r="D286" s="1067" t="s">
        <v>56</v>
      </c>
      <c r="E286" s="1067">
        <v>108</v>
      </c>
      <c r="F286" s="1067"/>
      <c r="G286" s="1067">
        <v>58</v>
      </c>
      <c r="H286" s="1067"/>
      <c r="I286" s="1067"/>
      <c r="J286" s="1067"/>
      <c r="K286" s="1067">
        <v>50</v>
      </c>
    </row>
    <row r="287" spans="1:11" x14ac:dyDescent="0.25">
      <c r="A287" s="1067" t="s">
        <v>254</v>
      </c>
      <c r="B287" s="1067" t="s">
        <v>247</v>
      </c>
      <c r="C287" s="1067" t="s">
        <v>299</v>
      </c>
      <c r="D287" s="1067" t="s">
        <v>57</v>
      </c>
      <c r="E287" s="1067">
        <v>246</v>
      </c>
      <c r="F287" s="1067"/>
      <c r="G287" s="1067">
        <v>77</v>
      </c>
      <c r="H287" s="1067"/>
      <c r="I287" s="1067"/>
      <c r="J287" s="1067">
        <v>2</v>
      </c>
      <c r="K287" s="1067">
        <v>167</v>
      </c>
    </row>
    <row r="288" spans="1:11" x14ac:dyDescent="0.25">
      <c r="A288" s="1067" t="s">
        <v>254</v>
      </c>
      <c r="B288" s="1067" t="s">
        <v>247</v>
      </c>
      <c r="C288" s="1067" t="s">
        <v>300</v>
      </c>
      <c r="D288" s="1067" t="s">
        <v>58</v>
      </c>
      <c r="E288" s="1067">
        <v>124</v>
      </c>
      <c r="F288" s="1067"/>
      <c r="G288" s="1067">
        <v>75</v>
      </c>
      <c r="H288" s="1067"/>
      <c r="I288" s="1067"/>
      <c r="J288" s="1067"/>
      <c r="K288" s="1067">
        <v>49</v>
      </c>
    </row>
    <row r="289" spans="1:11" x14ac:dyDescent="0.25">
      <c r="A289" s="1067" t="s">
        <v>254</v>
      </c>
      <c r="B289" s="1067" t="s">
        <v>247</v>
      </c>
      <c r="C289" s="1067" t="s">
        <v>301</v>
      </c>
      <c r="D289" s="1067" t="s">
        <v>31</v>
      </c>
      <c r="E289" s="1067">
        <v>163</v>
      </c>
      <c r="F289" s="1067"/>
      <c r="G289" s="1067">
        <v>9</v>
      </c>
      <c r="H289" s="1067"/>
      <c r="I289" s="1067"/>
      <c r="J289" s="1067"/>
      <c r="K289" s="1067">
        <v>154</v>
      </c>
    </row>
    <row r="290" spans="1:11" x14ac:dyDescent="0.25">
      <c r="A290" s="1067" t="s">
        <v>254</v>
      </c>
      <c r="B290" s="1067" t="s">
        <v>247</v>
      </c>
      <c r="C290" s="1067" t="s">
        <v>302</v>
      </c>
      <c r="D290" s="1067" t="s">
        <v>32</v>
      </c>
      <c r="E290" s="1067">
        <v>314</v>
      </c>
      <c r="F290" s="1067"/>
      <c r="G290" s="1067">
        <v>284</v>
      </c>
      <c r="H290" s="1067"/>
      <c r="I290" s="1067"/>
      <c r="J290" s="1067"/>
      <c r="K290" s="1067">
        <v>30</v>
      </c>
    </row>
    <row r="291" spans="1:11" x14ac:dyDescent="0.25">
      <c r="A291" s="1067" t="s">
        <v>254</v>
      </c>
      <c r="B291" s="1067" t="s">
        <v>247</v>
      </c>
      <c r="C291" s="1067" t="s">
        <v>303</v>
      </c>
      <c r="D291" s="1067" t="s">
        <v>34</v>
      </c>
      <c r="E291" s="1067">
        <v>433</v>
      </c>
      <c r="F291" s="1067"/>
      <c r="G291" s="1067">
        <v>176</v>
      </c>
      <c r="H291" s="1067"/>
      <c r="I291" s="1067"/>
      <c r="J291" s="1067">
        <v>203</v>
      </c>
      <c r="K291" s="1067">
        <v>54</v>
      </c>
    </row>
    <row r="292" spans="1:11" x14ac:dyDescent="0.25">
      <c r="A292" s="1067" t="s">
        <v>254</v>
      </c>
      <c r="B292" s="1067" t="s">
        <v>247</v>
      </c>
      <c r="C292" s="1067" t="s">
        <v>304</v>
      </c>
      <c r="D292" s="1067" t="s">
        <v>258</v>
      </c>
      <c r="E292" s="1067">
        <v>306</v>
      </c>
      <c r="F292" s="1067"/>
      <c r="G292" s="1067">
        <v>9</v>
      </c>
      <c r="H292" s="1067"/>
      <c r="I292" s="1067"/>
      <c r="J292" s="1067"/>
      <c r="K292" s="1067">
        <v>297</v>
      </c>
    </row>
    <row r="293" spans="1:11" x14ac:dyDescent="0.25">
      <c r="A293" s="1067" t="s">
        <v>254</v>
      </c>
      <c r="B293" s="1067" t="s">
        <v>247</v>
      </c>
      <c r="C293" s="1067" t="s">
        <v>305</v>
      </c>
      <c r="D293" s="1067" t="s">
        <v>53</v>
      </c>
      <c r="E293" s="1067">
        <v>116</v>
      </c>
      <c r="F293" s="1067"/>
      <c r="G293" s="1067">
        <v>17</v>
      </c>
      <c r="H293" s="1067"/>
      <c r="I293" s="1067"/>
      <c r="J293" s="1067"/>
      <c r="K293" s="1067">
        <v>99</v>
      </c>
    </row>
    <row r="294" spans="1:11" x14ac:dyDescent="0.25">
      <c r="A294" s="1067" t="s">
        <v>254</v>
      </c>
      <c r="B294" s="1067" t="s">
        <v>247</v>
      </c>
      <c r="C294" s="1067" t="s">
        <v>306</v>
      </c>
      <c r="D294" s="1067" t="s">
        <v>59</v>
      </c>
      <c r="E294" s="1067">
        <v>93</v>
      </c>
      <c r="F294" s="1067"/>
      <c r="G294" s="1067">
        <v>20</v>
      </c>
      <c r="H294" s="1067"/>
      <c r="I294" s="1067"/>
      <c r="J294" s="1067"/>
      <c r="K294" s="1067">
        <v>73</v>
      </c>
    </row>
    <row r="295" spans="1:11" x14ac:dyDescent="0.25">
      <c r="A295" s="1067" t="s">
        <v>254</v>
      </c>
      <c r="B295" s="1067" t="s">
        <v>247</v>
      </c>
      <c r="C295" s="1067" t="s">
        <v>307</v>
      </c>
      <c r="D295" s="1067" t="s">
        <v>60</v>
      </c>
      <c r="E295" s="1067">
        <v>115</v>
      </c>
      <c r="F295" s="1067"/>
      <c r="G295" s="1067">
        <v>59</v>
      </c>
      <c r="H295" s="1067"/>
      <c r="I295" s="1067"/>
      <c r="J295" s="1067"/>
      <c r="K295" s="1067">
        <v>56</v>
      </c>
    </row>
    <row r="296" spans="1:11" x14ac:dyDescent="0.25">
      <c r="A296" s="1067" t="s">
        <v>254</v>
      </c>
      <c r="B296" s="1067" t="s">
        <v>247</v>
      </c>
      <c r="C296" s="1067" t="s">
        <v>308</v>
      </c>
      <c r="D296" s="1067" t="s">
        <v>33</v>
      </c>
      <c r="E296" s="1067">
        <v>126</v>
      </c>
      <c r="F296" s="1067"/>
      <c r="G296" s="1067">
        <v>98</v>
      </c>
      <c r="H296" s="1067"/>
      <c r="I296" s="1067"/>
      <c r="J296" s="1067"/>
      <c r="K296" s="1067">
        <v>28</v>
      </c>
    </row>
    <row r="297" spans="1:11" x14ac:dyDescent="0.25">
      <c r="A297" s="1067" t="s">
        <v>254</v>
      </c>
      <c r="B297" s="1067" t="s">
        <v>247</v>
      </c>
      <c r="C297" s="1067" t="s">
        <v>309</v>
      </c>
      <c r="D297" s="1067" t="s">
        <v>37</v>
      </c>
      <c r="E297" s="1067">
        <v>189</v>
      </c>
      <c r="F297" s="1067"/>
      <c r="G297" s="1067">
        <v>12</v>
      </c>
      <c r="H297" s="1067"/>
      <c r="I297" s="1067"/>
      <c r="J297" s="1067"/>
      <c r="K297" s="1067">
        <v>177</v>
      </c>
    </row>
    <row r="298" spans="1:11" x14ac:dyDescent="0.25">
      <c r="A298" s="1067" t="s">
        <v>254</v>
      </c>
      <c r="B298" s="1067" t="s">
        <v>247</v>
      </c>
      <c r="C298" s="1067" t="s">
        <v>310</v>
      </c>
      <c r="D298" s="1067" t="s">
        <v>50</v>
      </c>
      <c r="E298" s="1067">
        <v>201</v>
      </c>
      <c r="F298" s="1067"/>
      <c r="G298" s="1067">
        <v>35</v>
      </c>
      <c r="H298" s="1067"/>
      <c r="I298" s="1067"/>
      <c r="J298" s="1067"/>
      <c r="K298" s="1067">
        <v>166</v>
      </c>
    </row>
    <row r="299" spans="1:11" x14ac:dyDescent="0.25">
      <c r="A299" s="1067" t="s">
        <v>254</v>
      </c>
      <c r="B299" s="1067" t="s">
        <v>247</v>
      </c>
      <c r="C299" s="1067" t="s">
        <v>311</v>
      </c>
      <c r="D299" s="1067" t="s">
        <v>39</v>
      </c>
      <c r="E299" s="1067">
        <v>78</v>
      </c>
      <c r="F299" s="1067"/>
      <c r="G299" s="1067"/>
      <c r="H299" s="1067"/>
      <c r="I299" s="1067"/>
      <c r="J299" s="1067"/>
      <c r="K299" s="1067">
        <v>78</v>
      </c>
    </row>
    <row r="300" spans="1:11" x14ac:dyDescent="0.25">
      <c r="A300" s="1067" t="s">
        <v>254</v>
      </c>
      <c r="B300" s="1067" t="s">
        <v>247</v>
      </c>
      <c r="C300" s="1067" t="s">
        <v>312</v>
      </c>
      <c r="D300" s="1067" t="s">
        <v>121</v>
      </c>
      <c r="E300" s="1067">
        <v>515</v>
      </c>
      <c r="F300" s="1067"/>
      <c r="G300" s="1067"/>
      <c r="H300" s="1067"/>
      <c r="I300" s="1067"/>
      <c r="J300" s="1067"/>
      <c r="K300" s="1067">
        <v>515</v>
      </c>
    </row>
    <row r="301" spans="1:11" x14ac:dyDescent="0.25">
      <c r="A301" s="1067" t="s">
        <v>254</v>
      </c>
      <c r="B301" s="1067" t="s">
        <v>247</v>
      </c>
      <c r="C301" s="1067" t="s">
        <v>313</v>
      </c>
      <c r="D301" s="1067" t="s">
        <v>43</v>
      </c>
      <c r="E301" s="1067">
        <v>390</v>
      </c>
      <c r="F301" s="1067"/>
      <c r="G301" s="1067">
        <v>116</v>
      </c>
      <c r="H301" s="1067"/>
      <c r="I301" s="1067"/>
      <c r="J301" s="1067"/>
      <c r="K301" s="1067">
        <v>274</v>
      </c>
    </row>
    <row r="302" spans="1:11" x14ac:dyDescent="0.25">
      <c r="A302" s="1067" t="s">
        <v>254</v>
      </c>
      <c r="B302" s="1067" t="s">
        <v>248</v>
      </c>
      <c r="C302" s="1067" t="s">
        <v>369</v>
      </c>
      <c r="D302" s="1067" t="s">
        <v>31</v>
      </c>
      <c r="E302" s="1067">
        <v>16</v>
      </c>
      <c r="F302" s="1067"/>
      <c r="G302" s="1067"/>
      <c r="H302" s="1067"/>
      <c r="I302" s="1067"/>
      <c r="J302" s="1067"/>
      <c r="K302" s="1067">
        <v>16</v>
      </c>
    </row>
    <row r="303" spans="1:11" x14ac:dyDescent="0.25">
      <c r="A303" s="1067" t="s">
        <v>254</v>
      </c>
      <c r="B303" s="1067" t="s">
        <v>248</v>
      </c>
      <c r="C303" s="1067" t="s">
        <v>370</v>
      </c>
      <c r="D303" s="1067" t="s">
        <v>63</v>
      </c>
      <c r="E303" s="1067">
        <v>27</v>
      </c>
      <c r="F303" s="1067"/>
      <c r="G303" s="1067"/>
      <c r="H303" s="1067">
        <v>2</v>
      </c>
      <c r="I303" s="1067"/>
      <c r="J303" s="1067"/>
      <c r="K303" s="1067">
        <v>25</v>
      </c>
    </row>
    <row r="304" spans="1:11" x14ac:dyDescent="0.25">
      <c r="A304" s="1067" t="s">
        <v>254</v>
      </c>
      <c r="B304" s="1067" t="s">
        <v>248</v>
      </c>
      <c r="C304" s="1067" t="s">
        <v>372</v>
      </c>
      <c r="D304" s="1067" t="s">
        <v>64</v>
      </c>
      <c r="E304" s="1067">
        <v>27</v>
      </c>
      <c r="F304" s="1067"/>
      <c r="G304" s="1067"/>
      <c r="H304" s="1067">
        <v>1</v>
      </c>
      <c r="I304" s="1067"/>
      <c r="J304" s="1067"/>
      <c r="K304" s="1067">
        <v>26</v>
      </c>
    </row>
    <row r="305" spans="1:11" x14ac:dyDescent="0.25">
      <c r="A305" s="1067" t="s">
        <v>254</v>
      </c>
      <c r="B305" s="1067" t="s">
        <v>248</v>
      </c>
      <c r="C305" s="1067" t="s">
        <v>373</v>
      </c>
      <c r="D305" s="1067" t="s">
        <v>36</v>
      </c>
      <c r="E305" s="1067">
        <v>23</v>
      </c>
      <c r="F305" s="1067"/>
      <c r="G305" s="1067"/>
      <c r="H305" s="1067">
        <v>1</v>
      </c>
      <c r="I305" s="1067"/>
      <c r="J305" s="1067"/>
      <c r="K305" s="1067">
        <v>22</v>
      </c>
    </row>
    <row r="306" spans="1:11" x14ac:dyDescent="0.25">
      <c r="A306" s="1067" t="s">
        <v>254</v>
      </c>
      <c r="B306" s="1067" t="s">
        <v>248</v>
      </c>
      <c r="C306" s="1067" t="s">
        <v>374</v>
      </c>
      <c r="D306" s="1067" t="s">
        <v>66</v>
      </c>
      <c r="E306" s="1067">
        <v>26</v>
      </c>
      <c r="F306" s="1067"/>
      <c r="G306" s="1067"/>
      <c r="H306" s="1067">
        <v>1</v>
      </c>
      <c r="I306" s="1067"/>
      <c r="J306" s="1067"/>
      <c r="K306" s="1067">
        <v>25</v>
      </c>
    </row>
    <row r="307" spans="1:11" x14ac:dyDescent="0.25">
      <c r="A307" s="1067" t="s">
        <v>254</v>
      </c>
      <c r="B307" s="1067" t="s">
        <v>248</v>
      </c>
      <c r="C307" s="1067" t="s">
        <v>375</v>
      </c>
      <c r="D307" s="1067" t="s">
        <v>67</v>
      </c>
      <c r="E307" s="1067">
        <v>27</v>
      </c>
      <c r="F307" s="1067"/>
      <c r="G307" s="1067"/>
      <c r="H307" s="1067">
        <v>2</v>
      </c>
      <c r="I307" s="1067"/>
      <c r="J307" s="1067"/>
      <c r="K307" s="1067">
        <v>25</v>
      </c>
    </row>
    <row r="308" spans="1:11" x14ac:dyDescent="0.25">
      <c r="A308" s="1067" t="s">
        <v>254</v>
      </c>
      <c r="B308" s="1067" t="s">
        <v>248</v>
      </c>
      <c r="C308" s="1067" t="s">
        <v>376</v>
      </c>
      <c r="D308" s="1067" t="s">
        <v>68</v>
      </c>
      <c r="E308" s="1067">
        <v>14</v>
      </c>
      <c r="F308" s="1067"/>
      <c r="G308" s="1067"/>
      <c r="H308" s="1067"/>
      <c r="I308" s="1067"/>
      <c r="J308" s="1067"/>
      <c r="K308" s="1067">
        <v>14</v>
      </c>
    </row>
    <row r="309" spans="1:11" x14ac:dyDescent="0.25">
      <c r="A309" s="1067" t="s">
        <v>254</v>
      </c>
      <c r="B309" s="1067" t="s">
        <v>248</v>
      </c>
      <c r="C309" s="1067" t="s">
        <v>377</v>
      </c>
      <c r="D309" s="1067" t="s">
        <v>175</v>
      </c>
      <c r="E309" s="1067">
        <v>30</v>
      </c>
      <c r="F309" s="1067"/>
      <c r="G309" s="1067"/>
      <c r="H309" s="1067"/>
      <c r="I309" s="1067"/>
      <c r="J309" s="1067"/>
      <c r="K309" s="1067">
        <v>30</v>
      </c>
    </row>
    <row r="310" spans="1:11" x14ac:dyDescent="0.25">
      <c r="A310" s="1067" t="s">
        <v>254</v>
      </c>
      <c r="B310" s="1067" t="s">
        <v>248</v>
      </c>
      <c r="C310" s="1067" t="s">
        <v>378</v>
      </c>
      <c r="D310" s="1067" t="s">
        <v>69</v>
      </c>
      <c r="E310" s="1067">
        <v>20</v>
      </c>
      <c r="F310" s="1067"/>
      <c r="G310" s="1067"/>
      <c r="H310" s="1067"/>
      <c r="I310" s="1067"/>
      <c r="J310" s="1067"/>
      <c r="K310" s="1067">
        <v>20</v>
      </c>
    </row>
    <row r="311" spans="1:11" x14ac:dyDescent="0.25">
      <c r="A311" s="1067" t="s">
        <v>254</v>
      </c>
      <c r="B311" s="1067" t="s">
        <v>248</v>
      </c>
      <c r="C311" s="1067" t="s">
        <v>1074</v>
      </c>
      <c r="D311" s="1067" t="s">
        <v>121</v>
      </c>
      <c r="E311" s="1067">
        <v>25</v>
      </c>
      <c r="F311" s="1067"/>
      <c r="G311" s="1067"/>
      <c r="H311" s="1067"/>
      <c r="I311" s="1067"/>
      <c r="J311" s="1067"/>
      <c r="K311" s="1067">
        <v>25</v>
      </c>
    </row>
    <row r="312" spans="1:11" x14ac:dyDescent="0.25">
      <c r="A312" s="1067" t="s">
        <v>254</v>
      </c>
      <c r="B312" s="1067" t="s">
        <v>248</v>
      </c>
      <c r="C312" s="1067" t="s">
        <v>379</v>
      </c>
      <c r="D312" s="1067" t="s">
        <v>70</v>
      </c>
      <c r="E312" s="1067">
        <v>49</v>
      </c>
      <c r="F312" s="1067"/>
      <c r="G312" s="1067"/>
      <c r="H312" s="1067">
        <v>4</v>
      </c>
      <c r="I312" s="1067"/>
      <c r="J312" s="1067"/>
      <c r="K312" s="1067">
        <v>45</v>
      </c>
    </row>
    <row r="313" spans="1:11" x14ac:dyDescent="0.25">
      <c r="A313" s="1067" t="s">
        <v>254</v>
      </c>
      <c r="B313" s="1067" t="s">
        <v>248</v>
      </c>
      <c r="C313" s="1067" t="s">
        <v>1075</v>
      </c>
      <c r="D313" s="1067" t="s">
        <v>50</v>
      </c>
      <c r="E313" s="1067">
        <v>17</v>
      </c>
      <c r="F313" s="1067"/>
      <c r="G313" s="1067"/>
      <c r="H313" s="1067"/>
      <c r="I313" s="1067"/>
      <c r="J313" s="1067"/>
      <c r="K313" s="1067">
        <v>17</v>
      </c>
    </row>
    <row r="314" spans="1:11" x14ac:dyDescent="0.25">
      <c r="A314" s="1067" t="s">
        <v>254</v>
      </c>
      <c r="B314" s="1067" t="s">
        <v>248</v>
      </c>
      <c r="C314" s="1067" t="s">
        <v>380</v>
      </c>
      <c r="D314" s="1067" t="s">
        <v>57</v>
      </c>
      <c r="E314" s="1067">
        <v>17</v>
      </c>
      <c r="F314" s="1067"/>
      <c r="G314" s="1067"/>
      <c r="H314" s="1067">
        <v>1</v>
      </c>
      <c r="I314" s="1067"/>
      <c r="J314" s="1067"/>
      <c r="K314" s="1067">
        <v>16</v>
      </c>
    </row>
    <row r="315" spans="1:11" x14ac:dyDescent="0.25">
      <c r="A315" s="1067" t="s">
        <v>254</v>
      </c>
      <c r="B315" s="1067" t="s">
        <v>248</v>
      </c>
      <c r="C315" s="1067" t="s">
        <v>1072</v>
      </c>
      <c r="D315" s="1067" t="s">
        <v>1071</v>
      </c>
      <c r="E315" s="1067">
        <v>19</v>
      </c>
      <c r="F315" s="1067"/>
      <c r="G315" s="1067"/>
      <c r="H315" s="1067">
        <v>1</v>
      </c>
      <c r="I315" s="1067"/>
      <c r="J315" s="1067"/>
      <c r="K315" s="1067">
        <v>18</v>
      </c>
    </row>
    <row r="316" spans="1:11" x14ac:dyDescent="0.25">
      <c r="A316" s="1067" t="s">
        <v>254</v>
      </c>
      <c r="B316" s="1067" t="s">
        <v>248</v>
      </c>
      <c r="C316" s="1067" t="s">
        <v>381</v>
      </c>
      <c r="D316" s="1067" t="s">
        <v>71</v>
      </c>
      <c r="E316" s="1067">
        <v>19</v>
      </c>
      <c r="F316" s="1067"/>
      <c r="G316" s="1067"/>
      <c r="H316" s="1067">
        <v>3</v>
      </c>
      <c r="I316" s="1067"/>
      <c r="J316" s="1067"/>
      <c r="K316" s="1067">
        <v>16</v>
      </c>
    </row>
    <row r="317" spans="1:11" x14ac:dyDescent="0.25">
      <c r="A317" s="1067" t="s">
        <v>254</v>
      </c>
      <c r="B317" s="1067" t="s">
        <v>248</v>
      </c>
      <c r="C317" s="1067" t="s">
        <v>371</v>
      </c>
      <c r="D317" s="1067" t="s">
        <v>65</v>
      </c>
      <c r="E317" s="1067">
        <v>30</v>
      </c>
      <c r="F317" s="1067"/>
      <c r="G317" s="1067"/>
      <c r="H317" s="1067">
        <v>1</v>
      </c>
      <c r="I317" s="1067"/>
      <c r="J317" s="1067"/>
      <c r="K317" s="1067">
        <v>29</v>
      </c>
    </row>
    <row r="318" spans="1:11" x14ac:dyDescent="0.25">
      <c r="A318" s="1067" t="s">
        <v>254</v>
      </c>
      <c r="B318" s="1067" t="s">
        <v>248</v>
      </c>
      <c r="C318" s="1067" t="s">
        <v>1073</v>
      </c>
      <c r="D318" s="1067" t="s">
        <v>43</v>
      </c>
      <c r="E318" s="1067">
        <v>19</v>
      </c>
      <c r="F318" s="1067"/>
      <c r="G318" s="1067"/>
      <c r="H318" s="1067">
        <v>1</v>
      </c>
      <c r="I318" s="1067"/>
      <c r="J318" s="1067"/>
      <c r="K318" s="1067">
        <v>18</v>
      </c>
    </row>
    <row r="319" spans="1:11" x14ac:dyDescent="0.25">
      <c r="A319" s="1067" t="s">
        <v>254</v>
      </c>
      <c r="B319" s="1067" t="s">
        <v>249</v>
      </c>
      <c r="C319" s="1067" t="s">
        <v>403</v>
      </c>
      <c r="D319" s="1067" t="s">
        <v>173</v>
      </c>
      <c r="E319" s="1067">
        <v>325</v>
      </c>
      <c r="F319" s="1067"/>
      <c r="G319" s="1067"/>
      <c r="H319" s="1067"/>
      <c r="I319" s="1067">
        <v>246</v>
      </c>
      <c r="J319" s="1067"/>
      <c r="K319" s="1067">
        <v>79</v>
      </c>
    </row>
    <row r="320" spans="1:11" x14ac:dyDescent="0.25">
      <c r="A320" s="1067" t="s">
        <v>254</v>
      </c>
      <c r="B320" s="1067" t="s">
        <v>249</v>
      </c>
      <c r="C320" s="1067" t="s">
        <v>402</v>
      </c>
      <c r="D320" s="1067" t="s">
        <v>174</v>
      </c>
      <c r="E320" s="1067">
        <v>139</v>
      </c>
      <c r="F320" s="1067"/>
      <c r="G320" s="1067"/>
      <c r="H320" s="1067"/>
      <c r="I320" s="1067">
        <v>102</v>
      </c>
      <c r="J320" s="1067"/>
      <c r="K320" s="1067">
        <v>37</v>
      </c>
    </row>
    <row r="321" spans="1:11" x14ac:dyDescent="0.25">
      <c r="A321" s="1067" t="s">
        <v>254</v>
      </c>
      <c r="B321" s="1067" t="s">
        <v>249</v>
      </c>
      <c r="C321" s="1067" t="s">
        <v>404</v>
      </c>
      <c r="D321" s="1067" t="s">
        <v>172</v>
      </c>
      <c r="E321" s="1067">
        <v>171</v>
      </c>
      <c r="F321" s="1067"/>
      <c r="G321" s="1067"/>
      <c r="H321" s="1067"/>
      <c r="I321" s="1067">
        <v>141</v>
      </c>
      <c r="J321" s="1067"/>
      <c r="K321" s="1067">
        <v>30</v>
      </c>
    </row>
    <row r="322" spans="1:11" x14ac:dyDescent="0.25">
      <c r="A322" s="1067" t="s">
        <v>254</v>
      </c>
      <c r="B322" s="1067" t="s">
        <v>250</v>
      </c>
      <c r="C322" s="1067" t="s">
        <v>382</v>
      </c>
      <c r="D322" s="1067" t="s">
        <v>259</v>
      </c>
      <c r="E322" s="1067">
        <v>659</v>
      </c>
      <c r="F322" s="1067">
        <v>207</v>
      </c>
      <c r="G322" s="1067"/>
      <c r="H322" s="1067"/>
      <c r="I322" s="1067">
        <v>303</v>
      </c>
      <c r="J322" s="1067"/>
      <c r="K322" s="1067">
        <v>149</v>
      </c>
    </row>
    <row r="323" spans="1:11" x14ac:dyDescent="0.25">
      <c r="A323" s="1067" t="s">
        <v>851</v>
      </c>
      <c r="B323" s="1067" t="s">
        <v>247</v>
      </c>
      <c r="C323" s="1067" t="s">
        <v>403</v>
      </c>
      <c r="D323" s="1067" t="s">
        <v>34</v>
      </c>
      <c r="E323" s="1067">
        <v>439</v>
      </c>
      <c r="F323" s="1067"/>
      <c r="G323" s="1067">
        <v>174</v>
      </c>
      <c r="H323" s="1067"/>
      <c r="I323" s="1067"/>
      <c r="J323" s="1067">
        <v>212</v>
      </c>
      <c r="K323" s="1067">
        <v>53</v>
      </c>
    </row>
    <row r="324" spans="1:11" x14ac:dyDescent="0.25">
      <c r="A324" s="1067" t="s">
        <v>851</v>
      </c>
      <c r="B324" s="1067" t="s">
        <v>247</v>
      </c>
      <c r="C324" s="1067" t="s">
        <v>403</v>
      </c>
      <c r="D324" s="1067" t="s">
        <v>36</v>
      </c>
      <c r="E324" s="1067">
        <v>249</v>
      </c>
      <c r="F324" s="1067"/>
      <c r="G324" s="1067">
        <v>192</v>
      </c>
      <c r="H324" s="1067"/>
      <c r="I324" s="1067"/>
      <c r="J324" s="1067">
        <v>5</v>
      </c>
      <c r="K324" s="1067">
        <v>52</v>
      </c>
    </row>
    <row r="325" spans="1:11" x14ac:dyDescent="0.25">
      <c r="A325" s="1067" t="s">
        <v>851</v>
      </c>
      <c r="B325" s="1067" t="s">
        <v>247</v>
      </c>
      <c r="C325" s="1067" t="s">
        <v>403</v>
      </c>
      <c r="D325" s="1067" t="s">
        <v>38</v>
      </c>
      <c r="E325" s="1067">
        <v>129</v>
      </c>
      <c r="F325" s="1067"/>
      <c r="G325" s="1067">
        <v>80</v>
      </c>
      <c r="H325" s="1067"/>
      <c r="I325" s="1067"/>
      <c r="J325" s="1067"/>
      <c r="K325" s="1067">
        <v>49</v>
      </c>
    </row>
    <row r="326" spans="1:11" x14ac:dyDescent="0.25">
      <c r="A326" s="1067" t="s">
        <v>851</v>
      </c>
      <c r="B326" s="1067" t="s">
        <v>247</v>
      </c>
      <c r="C326" s="1067" t="s">
        <v>403</v>
      </c>
      <c r="D326" s="1067" t="s">
        <v>39</v>
      </c>
      <c r="E326" s="1067">
        <v>79</v>
      </c>
      <c r="F326" s="1067"/>
      <c r="G326" s="1067"/>
      <c r="H326" s="1067"/>
      <c r="I326" s="1067"/>
      <c r="J326" s="1067"/>
      <c r="K326" s="1067">
        <v>79</v>
      </c>
    </row>
    <row r="327" spans="1:11" x14ac:dyDescent="0.25">
      <c r="A327" s="1067" t="s">
        <v>851</v>
      </c>
      <c r="B327" s="1067" t="s">
        <v>247</v>
      </c>
      <c r="C327" s="1067" t="s">
        <v>403</v>
      </c>
      <c r="D327" s="1067" t="s">
        <v>41</v>
      </c>
      <c r="E327" s="1067">
        <v>50</v>
      </c>
      <c r="F327" s="1067"/>
      <c r="G327" s="1067"/>
      <c r="H327" s="1067"/>
      <c r="I327" s="1067"/>
      <c r="J327" s="1067"/>
      <c r="K327" s="1067">
        <v>50</v>
      </c>
    </row>
    <row r="328" spans="1:11" x14ac:dyDescent="0.25">
      <c r="A328" s="1067" t="s">
        <v>851</v>
      </c>
      <c r="B328" s="1067" t="s">
        <v>247</v>
      </c>
      <c r="C328" s="1067" t="s">
        <v>403</v>
      </c>
      <c r="D328" s="1067" t="s">
        <v>121</v>
      </c>
      <c r="E328" s="1067">
        <v>517</v>
      </c>
      <c r="F328" s="1067"/>
      <c r="G328" s="1067"/>
      <c r="H328" s="1067"/>
      <c r="I328" s="1067"/>
      <c r="J328" s="1067"/>
      <c r="K328" s="1067">
        <v>517</v>
      </c>
    </row>
    <row r="329" spans="1:11" x14ac:dyDescent="0.25">
      <c r="A329" s="1067" t="s">
        <v>851</v>
      </c>
      <c r="B329" s="1067" t="s">
        <v>247</v>
      </c>
      <c r="C329" s="1067" t="s">
        <v>403</v>
      </c>
      <c r="D329" s="1067" t="s">
        <v>45</v>
      </c>
      <c r="E329" s="1067">
        <v>112</v>
      </c>
      <c r="F329" s="1067"/>
      <c r="G329" s="1067">
        <v>42</v>
      </c>
      <c r="H329" s="1067"/>
      <c r="I329" s="1067"/>
      <c r="J329" s="1067"/>
      <c r="K329" s="1067">
        <v>70</v>
      </c>
    </row>
    <row r="330" spans="1:11" x14ac:dyDescent="0.25">
      <c r="A330" s="1067" t="s">
        <v>851</v>
      </c>
      <c r="B330" s="1067" t="s">
        <v>247</v>
      </c>
      <c r="C330" s="1067" t="s">
        <v>403</v>
      </c>
      <c r="D330" s="1067" t="s">
        <v>49</v>
      </c>
      <c r="E330" s="1067">
        <v>201</v>
      </c>
      <c r="F330" s="1067"/>
      <c r="G330" s="1067">
        <v>104</v>
      </c>
      <c r="H330" s="1067"/>
      <c r="I330" s="1067"/>
      <c r="J330" s="1067">
        <v>22</v>
      </c>
      <c r="K330" s="1067">
        <v>75</v>
      </c>
    </row>
    <row r="331" spans="1:11" x14ac:dyDescent="0.25">
      <c r="A331" s="1067" t="s">
        <v>851</v>
      </c>
      <c r="B331" s="1067" t="s">
        <v>247</v>
      </c>
      <c r="C331" s="1067" t="s">
        <v>403</v>
      </c>
      <c r="D331" s="1067" t="s">
        <v>50</v>
      </c>
      <c r="E331" s="1067">
        <v>200</v>
      </c>
      <c r="F331" s="1067"/>
      <c r="G331" s="1067">
        <v>37</v>
      </c>
      <c r="H331" s="1067"/>
      <c r="I331" s="1067"/>
      <c r="J331" s="1067"/>
      <c r="K331" s="1067">
        <v>163</v>
      </c>
    </row>
    <row r="332" spans="1:11" x14ac:dyDescent="0.25">
      <c r="A332" s="1067" t="s">
        <v>851</v>
      </c>
      <c r="B332" s="1067" t="s">
        <v>247</v>
      </c>
      <c r="C332" s="1067" t="s">
        <v>403</v>
      </c>
      <c r="D332" s="1067" t="s">
        <v>53</v>
      </c>
      <c r="E332" s="1067">
        <v>117</v>
      </c>
      <c r="F332" s="1067"/>
      <c r="G332" s="1067">
        <v>15</v>
      </c>
      <c r="H332" s="1067"/>
      <c r="I332" s="1067"/>
      <c r="J332" s="1067"/>
      <c r="K332" s="1067">
        <v>102</v>
      </c>
    </row>
    <row r="333" spans="1:11" x14ac:dyDescent="0.25">
      <c r="A333" s="1067" t="s">
        <v>851</v>
      </c>
      <c r="B333" s="1067" t="s">
        <v>247</v>
      </c>
      <c r="C333" s="1067" t="s">
        <v>403</v>
      </c>
      <c r="D333" s="1067" t="s">
        <v>56</v>
      </c>
      <c r="E333" s="1067">
        <v>105</v>
      </c>
      <c r="F333" s="1067"/>
      <c r="G333" s="1067">
        <v>55</v>
      </c>
      <c r="H333" s="1067"/>
      <c r="I333" s="1067"/>
      <c r="J333" s="1067"/>
      <c r="K333" s="1067">
        <v>50</v>
      </c>
    </row>
    <row r="334" spans="1:11" x14ac:dyDescent="0.25">
      <c r="A334" s="1067" t="s">
        <v>851</v>
      </c>
      <c r="B334" s="1067" t="s">
        <v>247</v>
      </c>
      <c r="C334" s="1067" t="s">
        <v>403</v>
      </c>
      <c r="D334" s="1067" t="s">
        <v>57</v>
      </c>
      <c r="E334" s="1067">
        <v>256</v>
      </c>
      <c r="F334" s="1067"/>
      <c r="G334" s="1067">
        <v>86</v>
      </c>
      <c r="H334" s="1067"/>
      <c r="I334" s="1067"/>
      <c r="J334" s="1067">
        <v>2</v>
      </c>
      <c r="K334" s="1067">
        <v>168</v>
      </c>
    </row>
    <row r="335" spans="1:11" x14ac:dyDescent="0.25">
      <c r="A335" s="1067" t="s">
        <v>851</v>
      </c>
      <c r="B335" s="1067" t="s">
        <v>247</v>
      </c>
      <c r="C335" s="1067" t="s">
        <v>403</v>
      </c>
      <c r="D335" s="1067" t="s">
        <v>59</v>
      </c>
      <c r="E335" s="1067">
        <v>93</v>
      </c>
      <c r="F335" s="1067"/>
      <c r="G335" s="1067">
        <v>20</v>
      </c>
      <c r="H335" s="1067"/>
      <c r="I335" s="1067"/>
      <c r="J335" s="1067"/>
      <c r="K335" s="1067">
        <v>73</v>
      </c>
    </row>
    <row r="336" spans="1:11" x14ac:dyDescent="0.25">
      <c r="A336" s="1067" t="s">
        <v>851</v>
      </c>
      <c r="B336" s="1067" t="s">
        <v>247</v>
      </c>
      <c r="C336" s="1067" t="s">
        <v>402</v>
      </c>
      <c r="D336" s="1067" t="s">
        <v>258</v>
      </c>
      <c r="E336" s="1067">
        <v>314</v>
      </c>
      <c r="F336" s="1067"/>
      <c r="G336" s="1067">
        <v>8</v>
      </c>
      <c r="H336" s="1067"/>
      <c r="I336" s="1067"/>
      <c r="J336" s="1067"/>
      <c r="K336" s="1067">
        <v>306</v>
      </c>
    </row>
    <row r="337" spans="1:11" x14ac:dyDescent="0.25">
      <c r="A337" s="1067" t="s">
        <v>851</v>
      </c>
      <c r="B337" s="1067" t="s">
        <v>247</v>
      </c>
      <c r="C337" s="1067" t="s">
        <v>402</v>
      </c>
      <c r="D337" s="1067" t="s">
        <v>35</v>
      </c>
      <c r="E337" s="1067">
        <v>50</v>
      </c>
      <c r="F337" s="1067"/>
      <c r="G337" s="1067">
        <v>25</v>
      </c>
      <c r="H337" s="1067"/>
      <c r="I337" s="1067"/>
      <c r="J337" s="1067"/>
      <c r="K337" s="1067">
        <v>25</v>
      </c>
    </row>
    <row r="338" spans="1:11" x14ac:dyDescent="0.25">
      <c r="A338" s="1067" t="s">
        <v>851</v>
      </c>
      <c r="B338" s="1067" t="s">
        <v>247</v>
      </c>
      <c r="C338" s="1067" t="s">
        <v>402</v>
      </c>
      <c r="D338" s="1067" t="s">
        <v>40</v>
      </c>
      <c r="E338" s="1067">
        <v>90</v>
      </c>
      <c r="F338" s="1067"/>
      <c r="G338" s="1067">
        <v>65</v>
      </c>
      <c r="H338" s="1067"/>
      <c r="I338" s="1067"/>
      <c r="J338" s="1067"/>
      <c r="K338" s="1067">
        <v>25</v>
      </c>
    </row>
    <row r="339" spans="1:11" x14ac:dyDescent="0.25">
      <c r="A339" s="1067" t="s">
        <v>851</v>
      </c>
      <c r="B339" s="1067" t="s">
        <v>247</v>
      </c>
      <c r="C339" s="1067" t="s">
        <v>402</v>
      </c>
      <c r="D339" s="1067" t="s">
        <v>42</v>
      </c>
      <c r="E339" s="1067">
        <v>145</v>
      </c>
      <c r="F339" s="1067"/>
      <c r="G339" s="1067">
        <v>57</v>
      </c>
      <c r="H339" s="1067"/>
      <c r="I339" s="1067"/>
      <c r="J339" s="1067"/>
      <c r="K339" s="1067">
        <v>88</v>
      </c>
    </row>
    <row r="340" spans="1:11" x14ac:dyDescent="0.25">
      <c r="A340" s="1067" t="s">
        <v>851</v>
      </c>
      <c r="B340" s="1067" t="s">
        <v>247</v>
      </c>
      <c r="C340" s="1067" t="s">
        <v>402</v>
      </c>
      <c r="D340" s="1067" t="s">
        <v>43</v>
      </c>
      <c r="E340" s="1067">
        <v>382</v>
      </c>
      <c r="F340" s="1067"/>
      <c r="G340" s="1067">
        <v>113</v>
      </c>
      <c r="H340" s="1067"/>
      <c r="I340" s="1067"/>
      <c r="J340" s="1067"/>
      <c r="K340" s="1067">
        <v>269</v>
      </c>
    </row>
    <row r="341" spans="1:11" x14ac:dyDescent="0.25">
      <c r="A341" s="1067" t="s">
        <v>851</v>
      </c>
      <c r="B341" s="1067" t="s">
        <v>247</v>
      </c>
      <c r="C341" s="1067" t="s">
        <v>402</v>
      </c>
      <c r="D341" s="1067" t="s">
        <v>46</v>
      </c>
      <c r="E341" s="1067">
        <v>39</v>
      </c>
      <c r="F341" s="1067"/>
      <c r="G341" s="1067">
        <v>13</v>
      </c>
      <c r="H341" s="1067"/>
      <c r="I341" s="1067"/>
      <c r="J341" s="1067"/>
      <c r="K341" s="1067">
        <v>26</v>
      </c>
    </row>
    <row r="342" spans="1:11" x14ac:dyDescent="0.25">
      <c r="A342" s="1067" t="s">
        <v>851</v>
      </c>
      <c r="B342" s="1067" t="s">
        <v>247</v>
      </c>
      <c r="C342" s="1067" t="s">
        <v>402</v>
      </c>
      <c r="D342" s="1067" t="s">
        <v>54</v>
      </c>
      <c r="E342" s="1067">
        <v>201</v>
      </c>
      <c r="F342" s="1067"/>
      <c r="G342" s="1067">
        <v>148</v>
      </c>
      <c r="H342" s="1067"/>
      <c r="I342" s="1067"/>
      <c r="J342" s="1067"/>
      <c r="K342" s="1067">
        <v>53</v>
      </c>
    </row>
    <row r="343" spans="1:11" x14ac:dyDescent="0.25">
      <c r="A343" s="1067" t="s">
        <v>851</v>
      </c>
      <c r="B343" s="1067" t="s">
        <v>247</v>
      </c>
      <c r="C343" s="1067" t="s">
        <v>402</v>
      </c>
      <c r="D343" s="1067" t="s">
        <v>58</v>
      </c>
      <c r="E343" s="1067">
        <v>126</v>
      </c>
      <c r="F343" s="1067"/>
      <c r="G343" s="1067">
        <v>75</v>
      </c>
      <c r="H343" s="1067"/>
      <c r="I343" s="1067"/>
      <c r="J343" s="1067"/>
      <c r="K343" s="1067">
        <v>51</v>
      </c>
    </row>
    <row r="344" spans="1:11" x14ac:dyDescent="0.25">
      <c r="A344" s="1067" t="s">
        <v>851</v>
      </c>
      <c r="B344" s="1067" t="s">
        <v>247</v>
      </c>
      <c r="C344" s="1067" t="s">
        <v>402</v>
      </c>
      <c r="D344" s="1067" t="s">
        <v>60</v>
      </c>
      <c r="E344" s="1067">
        <v>123</v>
      </c>
      <c r="F344" s="1067"/>
      <c r="G344" s="1067">
        <v>65</v>
      </c>
      <c r="H344" s="1067"/>
      <c r="I344" s="1067"/>
      <c r="J344" s="1067"/>
      <c r="K344" s="1067">
        <v>58</v>
      </c>
    </row>
    <row r="345" spans="1:11" x14ac:dyDescent="0.25">
      <c r="A345" s="1067" t="s">
        <v>851</v>
      </c>
      <c r="B345" s="1067" t="s">
        <v>247</v>
      </c>
      <c r="C345" s="1067" t="s">
        <v>404</v>
      </c>
      <c r="D345" s="1067" t="s">
        <v>31</v>
      </c>
      <c r="E345" s="1067">
        <v>163</v>
      </c>
      <c r="F345" s="1067"/>
      <c r="G345" s="1067">
        <v>8</v>
      </c>
      <c r="H345" s="1067"/>
      <c r="I345" s="1067"/>
      <c r="J345" s="1067"/>
      <c r="K345" s="1067">
        <v>155</v>
      </c>
    </row>
    <row r="346" spans="1:11" x14ac:dyDescent="0.25">
      <c r="A346" s="1067" t="s">
        <v>851</v>
      </c>
      <c r="B346" s="1067" t="s">
        <v>247</v>
      </c>
      <c r="C346" s="1067" t="s">
        <v>404</v>
      </c>
      <c r="D346" s="1067" t="s">
        <v>32</v>
      </c>
      <c r="E346" s="1067">
        <v>317</v>
      </c>
      <c r="F346" s="1067"/>
      <c r="G346" s="1067">
        <v>285</v>
      </c>
      <c r="H346" s="1067"/>
      <c r="I346" s="1067"/>
      <c r="J346" s="1067"/>
      <c r="K346" s="1067">
        <v>32</v>
      </c>
    </row>
    <row r="347" spans="1:11" x14ac:dyDescent="0.25">
      <c r="A347" s="1067" t="s">
        <v>851</v>
      </c>
      <c r="B347" s="1067" t="s">
        <v>247</v>
      </c>
      <c r="C347" s="1067" t="s">
        <v>404</v>
      </c>
      <c r="D347" s="1067" t="s">
        <v>33</v>
      </c>
      <c r="E347" s="1067">
        <v>130</v>
      </c>
      <c r="F347" s="1067"/>
      <c r="G347" s="1067">
        <v>103</v>
      </c>
      <c r="H347" s="1067"/>
      <c r="I347" s="1067"/>
      <c r="J347" s="1067"/>
      <c r="K347" s="1067">
        <v>27</v>
      </c>
    </row>
    <row r="348" spans="1:11" x14ac:dyDescent="0.25">
      <c r="A348" s="1067" t="s">
        <v>851</v>
      </c>
      <c r="B348" s="1067" t="s">
        <v>247</v>
      </c>
      <c r="C348" s="1067" t="s">
        <v>404</v>
      </c>
      <c r="D348" s="1067" t="s">
        <v>37</v>
      </c>
      <c r="E348" s="1067">
        <v>194</v>
      </c>
      <c r="F348" s="1067"/>
      <c r="G348" s="1067">
        <v>12</v>
      </c>
      <c r="H348" s="1067"/>
      <c r="I348" s="1067"/>
      <c r="J348" s="1067"/>
      <c r="K348" s="1067">
        <v>182</v>
      </c>
    </row>
    <row r="349" spans="1:11" x14ac:dyDescent="0.25">
      <c r="A349" s="1067" t="s">
        <v>851</v>
      </c>
      <c r="B349" s="1067" t="s">
        <v>247</v>
      </c>
      <c r="C349" s="1067" t="s">
        <v>404</v>
      </c>
      <c r="D349" s="1067" t="s">
        <v>44</v>
      </c>
      <c r="E349" s="1067">
        <v>645</v>
      </c>
      <c r="F349" s="1067"/>
      <c r="G349" s="1067">
        <v>525</v>
      </c>
      <c r="H349" s="1067"/>
      <c r="I349" s="1067"/>
      <c r="J349" s="1067">
        <v>49</v>
      </c>
      <c r="K349" s="1067">
        <v>71</v>
      </c>
    </row>
    <row r="350" spans="1:11" x14ac:dyDescent="0.25">
      <c r="A350" s="1067" t="s">
        <v>851</v>
      </c>
      <c r="B350" s="1067" t="s">
        <v>247</v>
      </c>
      <c r="C350" s="1067" t="s">
        <v>404</v>
      </c>
      <c r="D350" s="1067" t="s">
        <v>47</v>
      </c>
      <c r="E350" s="1067">
        <v>155</v>
      </c>
      <c r="F350" s="1067"/>
      <c r="G350" s="1067">
        <v>121</v>
      </c>
      <c r="H350" s="1067"/>
      <c r="I350" s="1067"/>
      <c r="J350" s="1067">
        <v>4</v>
      </c>
      <c r="K350" s="1067">
        <v>30</v>
      </c>
    </row>
    <row r="351" spans="1:11" x14ac:dyDescent="0.25">
      <c r="A351" s="1067" t="s">
        <v>851</v>
      </c>
      <c r="B351" s="1067" t="s">
        <v>247</v>
      </c>
      <c r="C351" s="1067" t="s">
        <v>404</v>
      </c>
      <c r="D351" s="1067" t="s">
        <v>48</v>
      </c>
      <c r="E351" s="1067">
        <v>135</v>
      </c>
      <c r="F351" s="1067"/>
      <c r="G351" s="1067">
        <v>135</v>
      </c>
      <c r="H351" s="1067"/>
      <c r="I351" s="1067"/>
      <c r="J351" s="1067"/>
      <c r="K351" s="1067"/>
    </row>
    <row r="352" spans="1:11" x14ac:dyDescent="0.25">
      <c r="A352" s="1067" t="s">
        <v>851</v>
      </c>
      <c r="B352" s="1067" t="s">
        <v>247</v>
      </c>
      <c r="C352" s="1067" t="s">
        <v>404</v>
      </c>
      <c r="D352" s="1067" t="s">
        <v>51</v>
      </c>
      <c r="E352" s="1067">
        <v>109</v>
      </c>
      <c r="F352" s="1067"/>
      <c r="G352" s="1067">
        <v>109</v>
      </c>
      <c r="H352" s="1067"/>
      <c r="I352" s="1067"/>
      <c r="J352" s="1067"/>
      <c r="K352" s="1067"/>
    </row>
    <row r="353" spans="1:11" x14ac:dyDescent="0.25">
      <c r="A353" s="1067" t="s">
        <v>851</v>
      </c>
      <c r="B353" s="1067" t="s">
        <v>247</v>
      </c>
      <c r="C353" s="1067" t="s">
        <v>404</v>
      </c>
      <c r="D353" s="1067" t="s">
        <v>52</v>
      </c>
      <c r="E353" s="1067">
        <v>219</v>
      </c>
      <c r="F353" s="1067"/>
      <c r="G353" s="1067">
        <v>131</v>
      </c>
      <c r="H353" s="1067"/>
      <c r="I353" s="1067"/>
      <c r="J353" s="1067">
        <v>21</v>
      </c>
      <c r="K353" s="1067">
        <v>67</v>
      </c>
    </row>
    <row r="354" spans="1:11" x14ac:dyDescent="0.25">
      <c r="A354" s="1067" t="s">
        <v>851</v>
      </c>
      <c r="B354" s="1067" t="s">
        <v>247</v>
      </c>
      <c r="C354" s="1067" t="s">
        <v>404</v>
      </c>
      <c r="D354" s="1067" t="s">
        <v>55</v>
      </c>
      <c r="E354" s="1067">
        <v>134</v>
      </c>
      <c r="F354" s="1067"/>
      <c r="G354" s="1067">
        <v>134</v>
      </c>
      <c r="H354" s="1067"/>
      <c r="I354" s="1067"/>
      <c r="J354" s="1067"/>
      <c r="K354" s="1067"/>
    </row>
    <row r="355" spans="1:11" x14ac:dyDescent="0.25">
      <c r="A355" s="1067" t="s">
        <v>851</v>
      </c>
      <c r="B355" s="1067" t="s">
        <v>248</v>
      </c>
      <c r="C355" s="1067"/>
      <c r="D355" s="1067" t="s">
        <v>853</v>
      </c>
      <c r="E355" s="1067">
        <v>42</v>
      </c>
      <c r="F355" s="1067"/>
      <c r="G355" s="1067"/>
      <c r="H355" s="1067">
        <v>4</v>
      </c>
      <c r="I355" s="1067"/>
      <c r="J355" s="1067"/>
      <c r="K355" s="1067">
        <v>38</v>
      </c>
    </row>
    <row r="356" spans="1:11" x14ac:dyDescent="0.25">
      <c r="A356" s="1067" t="s">
        <v>851</v>
      </c>
      <c r="B356" s="1067" t="s">
        <v>248</v>
      </c>
      <c r="C356" s="1067" t="s">
        <v>403</v>
      </c>
      <c r="D356" s="1067" t="s">
        <v>64</v>
      </c>
      <c r="E356" s="1067">
        <v>31</v>
      </c>
      <c r="F356" s="1067"/>
      <c r="G356" s="1067"/>
      <c r="H356" s="1067">
        <v>3</v>
      </c>
      <c r="I356" s="1067"/>
      <c r="J356" s="1067"/>
      <c r="K356" s="1067">
        <v>28</v>
      </c>
    </row>
    <row r="357" spans="1:11" x14ac:dyDescent="0.25">
      <c r="A357" s="1067" t="s">
        <v>851</v>
      </c>
      <c r="B357" s="1067" t="s">
        <v>248</v>
      </c>
      <c r="C357" s="1067" t="s">
        <v>403</v>
      </c>
      <c r="D357" s="1067" t="s">
        <v>36</v>
      </c>
      <c r="E357" s="1067">
        <v>24</v>
      </c>
      <c r="F357" s="1067"/>
      <c r="G357" s="1067"/>
      <c r="H357" s="1067">
        <v>2</v>
      </c>
      <c r="I357" s="1067"/>
      <c r="J357" s="1067"/>
      <c r="K357" s="1067">
        <v>22</v>
      </c>
    </row>
    <row r="358" spans="1:11" x14ac:dyDescent="0.25">
      <c r="A358" s="1067" t="s">
        <v>851</v>
      </c>
      <c r="B358" s="1067" t="s">
        <v>248</v>
      </c>
      <c r="C358" s="1067" t="s">
        <v>403</v>
      </c>
      <c r="D358" s="1067" t="s">
        <v>66</v>
      </c>
      <c r="E358" s="1067">
        <v>30</v>
      </c>
      <c r="F358" s="1067"/>
      <c r="G358" s="1067"/>
      <c r="H358" s="1067">
        <v>2</v>
      </c>
      <c r="I358" s="1067"/>
      <c r="J358" s="1067"/>
      <c r="K358" s="1067">
        <v>28</v>
      </c>
    </row>
    <row r="359" spans="1:11" x14ac:dyDescent="0.25">
      <c r="A359" s="1067" t="s">
        <v>851</v>
      </c>
      <c r="B359" s="1067" t="s">
        <v>248</v>
      </c>
      <c r="C359" s="1067" t="s">
        <v>403</v>
      </c>
      <c r="D359" s="1067" t="s">
        <v>68</v>
      </c>
      <c r="E359" s="1067">
        <v>13</v>
      </c>
      <c r="F359" s="1067"/>
      <c r="G359" s="1067"/>
      <c r="H359" s="1067"/>
      <c r="I359" s="1067"/>
      <c r="J359" s="1067"/>
      <c r="K359" s="1067">
        <v>13</v>
      </c>
    </row>
    <row r="360" spans="1:11" x14ac:dyDescent="0.25">
      <c r="A360" s="1067" t="s">
        <v>851</v>
      </c>
      <c r="B360" s="1067" t="s">
        <v>248</v>
      </c>
      <c r="C360" s="1067" t="s">
        <v>403</v>
      </c>
      <c r="D360" s="1067" t="s">
        <v>121</v>
      </c>
      <c r="E360" s="1067">
        <v>25</v>
      </c>
      <c r="F360" s="1067"/>
      <c r="G360" s="1067"/>
      <c r="H360" s="1067"/>
      <c r="I360" s="1067"/>
      <c r="J360" s="1067"/>
      <c r="K360" s="1067">
        <v>25</v>
      </c>
    </row>
    <row r="361" spans="1:11" x14ac:dyDescent="0.25">
      <c r="A361" s="1067" t="s">
        <v>851</v>
      </c>
      <c r="B361" s="1067" t="s">
        <v>248</v>
      </c>
      <c r="C361" s="1067" t="s">
        <v>403</v>
      </c>
      <c r="D361" s="1067" t="s">
        <v>50</v>
      </c>
      <c r="E361" s="1067">
        <v>16</v>
      </c>
      <c r="F361" s="1067"/>
      <c r="G361" s="1067"/>
      <c r="H361" s="1067"/>
      <c r="I361" s="1067"/>
      <c r="J361" s="1067"/>
      <c r="K361" s="1067">
        <v>16</v>
      </c>
    </row>
    <row r="362" spans="1:11" x14ac:dyDescent="0.25">
      <c r="A362" s="1067" t="s">
        <v>851</v>
      </c>
      <c r="B362" s="1067" t="s">
        <v>248</v>
      </c>
      <c r="C362" s="1067" t="s">
        <v>403</v>
      </c>
      <c r="D362" s="1067" t="s">
        <v>57</v>
      </c>
      <c r="E362" s="1067">
        <v>18</v>
      </c>
      <c r="F362" s="1067"/>
      <c r="G362" s="1067"/>
      <c r="H362" s="1067">
        <v>2</v>
      </c>
      <c r="I362" s="1067"/>
      <c r="J362" s="1067"/>
      <c r="K362" s="1067">
        <v>16</v>
      </c>
    </row>
    <row r="363" spans="1:11" x14ac:dyDescent="0.25">
      <c r="A363" s="1067" t="s">
        <v>851</v>
      </c>
      <c r="B363" s="1067" t="s">
        <v>248</v>
      </c>
      <c r="C363" s="1067" t="s">
        <v>402</v>
      </c>
      <c r="D363" s="1067" t="s">
        <v>67</v>
      </c>
      <c r="E363" s="1067">
        <v>32</v>
      </c>
      <c r="F363" s="1067"/>
      <c r="G363" s="1067"/>
      <c r="H363" s="1067">
        <v>3</v>
      </c>
      <c r="I363" s="1067"/>
      <c r="J363" s="1067"/>
      <c r="K363" s="1067">
        <v>29</v>
      </c>
    </row>
    <row r="364" spans="1:11" x14ac:dyDescent="0.25">
      <c r="A364" s="1067" t="s">
        <v>851</v>
      </c>
      <c r="B364" s="1067" t="s">
        <v>248</v>
      </c>
      <c r="C364" s="1067" t="s">
        <v>402</v>
      </c>
      <c r="D364" s="1067" t="s">
        <v>175</v>
      </c>
      <c r="E364" s="1067">
        <v>28</v>
      </c>
      <c r="F364" s="1067"/>
      <c r="G364" s="1067"/>
      <c r="H364" s="1067"/>
      <c r="I364" s="1067"/>
      <c r="J364" s="1067"/>
      <c r="K364" s="1067">
        <v>28</v>
      </c>
    </row>
    <row r="365" spans="1:11" x14ac:dyDescent="0.25">
      <c r="A365" s="1067" t="s">
        <v>851</v>
      </c>
      <c r="B365" s="1067" t="s">
        <v>248</v>
      </c>
      <c r="C365" s="1067" t="s">
        <v>402</v>
      </c>
      <c r="D365" s="1067" t="s">
        <v>69</v>
      </c>
      <c r="E365" s="1067">
        <v>20</v>
      </c>
      <c r="F365" s="1067"/>
      <c r="G365" s="1067"/>
      <c r="H365" s="1067">
        <v>1</v>
      </c>
      <c r="I365" s="1067"/>
      <c r="J365" s="1067"/>
      <c r="K365" s="1067">
        <v>19</v>
      </c>
    </row>
    <row r="366" spans="1:11" x14ac:dyDescent="0.25">
      <c r="A366" s="1067" t="s">
        <v>851</v>
      </c>
      <c r="B366" s="1067" t="s">
        <v>248</v>
      </c>
      <c r="C366" s="1067" t="s">
        <v>404</v>
      </c>
      <c r="D366" s="1067" t="s">
        <v>31</v>
      </c>
      <c r="E366" s="1067">
        <v>13</v>
      </c>
      <c r="F366" s="1067"/>
      <c r="G366" s="1067"/>
      <c r="H366" s="1067"/>
      <c r="I366" s="1067"/>
      <c r="J366" s="1067"/>
      <c r="K366" s="1067">
        <v>13</v>
      </c>
    </row>
    <row r="367" spans="1:11" x14ac:dyDescent="0.25">
      <c r="A367" s="1067" t="s">
        <v>851</v>
      </c>
      <c r="B367" s="1067" t="s">
        <v>248</v>
      </c>
      <c r="C367" s="1067" t="s">
        <v>404</v>
      </c>
      <c r="D367" s="1067" t="s">
        <v>63</v>
      </c>
      <c r="E367" s="1067">
        <v>30</v>
      </c>
      <c r="F367" s="1067"/>
      <c r="G367" s="1067"/>
      <c r="H367" s="1067">
        <v>5</v>
      </c>
      <c r="I367" s="1067"/>
      <c r="J367" s="1067"/>
      <c r="K367" s="1067">
        <v>25</v>
      </c>
    </row>
    <row r="368" spans="1:11" x14ac:dyDescent="0.25">
      <c r="A368" s="1067" t="s">
        <v>851</v>
      </c>
      <c r="B368" s="1067" t="s">
        <v>248</v>
      </c>
      <c r="C368" s="1067" t="s">
        <v>404</v>
      </c>
      <c r="D368" s="1067" t="s">
        <v>65</v>
      </c>
      <c r="E368" s="1067">
        <v>33</v>
      </c>
      <c r="F368" s="1067"/>
      <c r="G368" s="1067"/>
      <c r="H368" s="1067">
        <v>2</v>
      </c>
      <c r="I368" s="1067"/>
      <c r="J368" s="1067"/>
      <c r="K368" s="1067">
        <v>31</v>
      </c>
    </row>
    <row r="369" spans="1:11" x14ac:dyDescent="0.25">
      <c r="A369" s="1067" t="s">
        <v>851</v>
      </c>
      <c r="B369" s="1067" t="s">
        <v>248</v>
      </c>
      <c r="C369" s="1067" t="s">
        <v>404</v>
      </c>
      <c r="D369" s="1067" t="s">
        <v>70</v>
      </c>
      <c r="E369" s="1067">
        <v>45</v>
      </c>
      <c r="F369" s="1067"/>
      <c r="G369" s="1067"/>
      <c r="H369" s="1067">
        <v>7</v>
      </c>
      <c r="I369" s="1067"/>
      <c r="J369" s="1067"/>
      <c r="K369" s="1067">
        <v>38</v>
      </c>
    </row>
    <row r="370" spans="1:11" x14ac:dyDescent="0.25">
      <c r="A370" s="1067" t="s">
        <v>851</v>
      </c>
      <c r="B370" s="1067" t="s">
        <v>248</v>
      </c>
      <c r="C370" s="1067" t="s">
        <v>404</v>
      </c>
      <c r="D370" s="1067" t="s">
        <v>71</v>
      </c>
      <c r="E370" s="1067">
        <v>19</v>
      </c>
      <c r="F370" s="1067"/>
      <c r="G370" s="1067"/>
      <c r="H370" s="1067">
        <v>5</v>
      </c>
      <c r="I370" s="1067"/>
      <c r="J370" s="1067"/>
      <c r="K370" s="1067">
        <v>14</v>
      </c>
    </row>
    <row r="371" spans="1:11" x14ac:dyDescent="0.25">
      <c r="A371" s="1067" t="s">
        <v>851</v>
      </c>
      <c r="B371" s="1067" t="s">
        <v>249</v>
      </c>
      <c r="C371" s="1067" t="s">
        <v>403</v>
      </c>
      <c r="D371" s="1067" t="s">
        <v>173</v>
      </c>
      <c r="E371" s="1067">
        <v>345</v>
      </c>
      <c r="F371" s="1067"/>
      <c r="G371" s="1067"/>
      <c r="H371" s="1067"/>
      <c r="I371" s="1067">
        <v>242</v>
      </c>
      <c r="J371" s="1067"/>
      <c r="K371" s="1067">
        <v>103</v>
      </c>
    </row>
    <row r="372" spans="1:11" x14ac:dyDescent="0.25">
      <c r="A372" s="1067" t="s">
        <v>851</v>
      </c>
      <c r="B372" s="1067" t="s">
        <v>249</v>
      </c>
      <c r="C372" s="1067" t="s">
        <v>402</v>
      </c>
      <c r="D372" s="1067" t="s">
        <v>174</v>
      </c>
      <c r="E372" s="1067">
        <v>147</v>
      </c>
      <c r="F372" s="1067"/>
      <c r="G372" s="1067"/>
      <c r="H372" s="1067"/>
      <c r="I372" s="1067">
        <v>95</v>
      </c>
      <c r="J372" s="1067"/>
      <c r="K372" s="1067">
        <v>52</v>
      </c>
    </row>
    <row r="373" spans="1:11" x14ac:dyDescent="0.25">
      <c r="A373" s="1067" t="s">
        <v>851</v>
      </c>
      <c r="B373" s="1067" t="s">
        <v>249</v>
      </c>
      <c r="C373" s="1067" t="s">
        <v>404</v>
      </c>
      <c r="D373" s="1067" t="s">
        <v>172</v>
      </c>
      <c r="E373" s="1067">
        <v>174</v>
      </c>
      <c r="F373" s="1067"/>
      <c r="G373" s="1067"/>
      <c r="H373" s="1067"/>
      <c r="I373" s="1067">
        <v>132</v>
      </c>
      <c r="J373" s="1067"/>
      <c r="K373" s="1067">
        <v>42</v>
      </c>
    </row>
    <row r="374" spans="1:11" x14ac:dyDescent="0.25">
      <c r="A374" s="1067" t="s">
        <v>851</v>
      </c>
      <c r="B374" s="1067" t="s">
        <v>250</v>
      </c>
      <c r="C374" s="1067" t="s">
        <v>382</v>
      </c>
      <c r="D374" s="1067" t="s">
        <v>259</v>
      </c>
      <c r="E374" s="1067">
        <v>627</v>
      </c>
      <c r="F374" s="1067">
        <v>188</v>
      </c>
      <c r="G374" s="1067"/>
      <c r="H374" s="1067"/>
      <c r="I374" s="1067">
        <v>349</v>
      </c>
      <c r="J374" s="1067"/>
      <c r="K374" s="1067">
        <v>90</v>
      </c>
    </row>
  </sheetData>
  <sheetProtection algorithmName="SHA-512" hashValue="ymrWVe4Mt/YBylacCGNBfnnI5i1UP+0ejJxdWxW8gNqdiFsA8333RSn1Yo7XDonzjEhCsABpCe7MfN0JyzCvtw==" saltValue="o1dYfRXQPKa7aIqmdRDTDg=="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5"/>
  <sheetViews>
    <sheetView zoomScale="85" zoomScaleNormal="85" workbookViewId="0">
      <pane ySplit="4" topLeftCell="A380" activePane="bottomLeft" state="frozen"/>
      <selection pane="bottomLeft"/>
    </sheetView>
  </sheetViews>
  <sheetFormatPr defaultRowHeight="15" x14ac:dyDescent="0.25"/>
  <sheetData>
    <row r="1" spans="1:12" ht="15.75" x14ac:dyDescent="0.25">
      <c r="A1" s="981" t="s">
        <v>1191</v>
      </c>
    </row>
    <row r="2" spans="1:12" x14ac:dyDescent="0.25">
      <c r="A2" s="1139">
        <v>44071</v>
      </c>
      <c r="B2" s="1140"/>
    </row>
    <row r="4" spans="1:12" x14ac:dyDescent="0.25">
      <c r="A4" s="1066" t="s">
        <v>270</v>
      </c>
      <c r="B4" s="1066" t="s">
        <v>1082</v>
      </c>
      <c r="C4" s="1066" t="s">
        <v>257</v>
      </c>
      <c r="D4" s="1066" t="s">
        <v>1083</v>
      </c>
      <c r="E4" s="1066" t="s">
        <v>26</v>
      </c>
      <c r="F4" s="1066" t="s">
        <v>18</v>
      </c>
      <c r="G4" s="1066" t="s">
        <v>209</v>
      </c>
      <c r="H4" s="1066" t="s">
        <v>22</v>
      </c>
      <c r="I4" s="1066" t="s">
        <v>23</v>
      </c>
      <c r="J4" s="1066" t="s">
        <v>19</v>
      </c>
      <c r="K4" s="1066" t="s">
        <v>20</v>
      </c>
      <c r="L4" s="1066" t="s">
        <v>21</v>
      </c>
    </row>
    <row r="5" spans="1:12" x14ac:dyDescent="0.25">
      <c r="A5" s="1067" t="s">
        <v>204</v>
      </c>
      <c r="B5" s="1067" t="s">
        <v>247</v>
      </c>
      <c r="C5" s="1067" t="s">
        <v>282</v>
      </c>
      <c r="D5" s="1067" t="s">
        <v>35</v>
      </c>
      <c r="E5" s="1067">
        <v>43</v>
      </c>
      <c r="F5" s="1067"/>
      <c r="G5" s="1067"/>
      <c r="H5" s="1067">
        <v>9</v>
      </c>
      <c r="I5" s="1067">
        <v>30</v>
      </c>
      <c r="J5" s="1067"/>
      <c r="K5" s="1067">
        <v>0</v>
      </c>
      <c r="L5" s="1067">
        <v>4</v>
      </c>
    </row>
    <row r="6" spans="1:12" x14ac:dyDescent="0.25">
      <c r="A6" s="1067" t="s">
        <v>204</v>
      </c>
      <c r="B6" s="1067" t="s">
        <v>247</v>
      </c>
      <c r="C6" s="1067" t="s">
        <v>283</v>
      </c>
      <c r="D6" s="1067" t="s">
        <v>36</v>
      </c>
      <c r="E6" s="1067">
        <v>69</v>
      </c>
      <c r="F6" s="1067"/>
      <c r="G6" s="1067"/>
      <c r="H6" s="1067">
        <v>11</v>
      </c>
      <c r="I6" s="1067">
        <v>53</v>
      </c>
      <c r="J6" s="1067"/>
      <c r="K6" s="1067">
        <v>0</v>
      </c>
      <c r="L6" s="1067">
        <v>5</v>
      </c>
    </row>
    <row r="7" spans="1:12" x14ac:dyDescent="0.25">
      <c r="A7" s="1067" t="s">
        <v>204</v>
      </c>
      <c r="B7" s="1067" t="s">
        <v>247</v>
      </c>
      <c r="C7" s="1067" t="s">
        <v>284</v>
      </c>
      <c r="D7" s="1067" t="s">
        <v>38</v>
      </c>
      <c r="E7" s="1067">
        <v>59</v>
      </c>
      <c r="F7" s="1067"/>
      <c r="G7" s="1067"/>
      <c r="H7" s="1067">
        <v>11</v>
      </c>
      <c r="I7" s="1067">
        <v>40</v>
      </c>
      <c r="J7" s="1067"/>
      <c r="K7" s="1067">
        <v>0</v>
      </c>
      <c r="L7" s="1067">
        <v>8</v>
      </c>
    </row>
    <row r="8" spans="1:12" x14ac:dyDescent="0.25">
      <c r="A8" s="1067" t="s">
        <v>204</v>
      </c>
      <c r="B8" s="1067" t="s">
        <v>247</v>
      </c>
      <c r="C8" s="1067" t="s">
        <v>285</v>
      </c>
      <c r="D8" s="1067" t="s">
        <v>40</v>
      </c>
      <c r="E8" s="1067">
        <v>29</v>
      </c>
      <c r="F8" s="1067"/>
      <c r="G8" s="1067"/>
      <c r="H8" s="1067">
        <v>5</v>
      </c>
      <c r="I8" s="1067">
        <v>21</v>
      </c>
      <c r="J8" s="1067"/>
      <c r="K8" s="1067">
        <v>0</v>
      </c>
      <c r="L8" s="1067">
        <v>3</v>
      </c>
    </row>
    <row r="9" spans="1:12" x14ac:dyDescent="0.25">
      <c r="A9" s="1067" t="s">
        <v>204</v>
      </c>
      <c r="B9" s="1067" t="s">
        <v>247</v>
      </c>
      <c r="C9" s="1067" t="s">
        <v>286</v>
      </c>
      <c r="D9" s="1067" t="s">
        <v>41</v>
      </c>
      <c r="E9" s="1067">
        <v>59</v>
      </c>
      <c r="F9" s="1067"/>
      <c r="G9" s="1067"/>
      <c r="H9" s="1067">
        <v>14</v>
      </c>
      <c r="I9" s="1067">
        <v>34</v>
      </c>
      <c r="J9" s="1067"/>
      <c r="K9" s="1067">
        <v>0</v>
      </c>
      <c r="L9" s="1067">
        <v>11</v>
      </c>
    </row>
    <row r="10" spans="1:12" x14ac:dyDescent="0.25">
      <c r="A10" s="1067" t="s">
        <v>204</v>
      </c>
      <c r="B10" s="1067" t="s">
        <v>247</v>
      </c>
      <c r="C10" s="1067" t="s">
        <v>287</v>
      </c>
      <c r="D10" s="1067" t="s">
        <v>48</v>
      </c>
      <c r="E10" s="1067">
        <v>0</v>
      </c>
      <c r="F10" s="1067"/>
      <c r="G10" s="1067"/>
      <c r="H10" s="1067">
        <v>0</v>
      </c>
      <c r="I10" s="1067">
        <v>0</v>
      </c>
      <c r="J10" s="1067"/>
      <c r="K10" s="1067">
        <v>0</v>
      </c>
      <c r="L10" s="1067">
        <v>0</v>
      </c>
    </row>
    <row r="11" spans="1:12" x14ac:dyDescent="0.25">
      <c r="A11" s="1067" t="s">
        <v>204</v>
      </c>
      <c r="B11" s="1067" t="s">
        <v>247</v>
      </c>
      <c r="C11" s="1067" t="s">
        <v>288</v>
      </c>
      <c r="D11" s="1067" t="s">
        <v>42</v>
      </c>
      <c r="E11" s="1067">
        <v>96</v>
      </c>
      <c r="F11" s="1067"/>
      <c r="G11" s="1067"/>
      <c r="H11" s="1067">
        <v>18</v>
      </c>
      <c r="I11" s="1067">
        <v>65</v>
      </c>
      <c r="J11" s="1067"/>
      <c r="K11" s="1067">
        <v>1</v>
      </c>
      <c r="L11" s="1067">
        <v>12</v>
      </c>
    </row>
    <row r="12" spans="1:12" x14ac:dyDescent="0.25">
      <c r="A12" s="1067" t="s">
        <v>204</v>
      </c>
      <c r="B12" s="1067" t="s">
        <v>247</v>
      </c>
      <c r="C12" s="1067" t="s">
        <v>289</v>
      </c>
      <c r="D12" s="1067" t="s">
        <v>44</v>
      </c>
      <c r="E12" s="1067">
        <v>81</v>
      </c>
      <c r="F12" s="1067"/>
      <c r="G12" s="1067"/>
      <c r="H12" s="1067">
        <v>9</v>
      </c>
      <c r="I12" s="1067">
        <v>60</v>
      </c>
      <c r="J12" s="1067"/>
      <c r="K12" s="1067">
        <v>2</v>
      </c>
      <c r="L12" s="1067">
        <v>10</v>
      </c>
    </row>
    <row r="13" spans="1:12" x14ac:dyDescent="0.25">
      <c r="A13" s="1067" t="s">
        <v>204</v>
      </c>
      <c r="B13" s="1067" t="s">
        <v>247</v>
      </c>
      <c r="C13" s="1067" t="s">
        <v>290</v>
      </c>
      <c r="D13" s="1067" t="s">
        <v>45</v>
      </c>
      <c r="E13" s="1067">
        <v>78</v>
      </c>
      <c r="F13" s="1067"/>
      <c r="G13" s="1067"/>
      <c r="H13" s="1067">
        <v>18</v>
      </c>
      <c r="I13" s="1067">
        <v>49</v>
      </c>
      <c r="J13" s="1067"/>
      <c r="K13" s="1067">
        <v>0</v>
      </c>
      <c r="L13" s="1067">
        <v>11</v>
      </c>
    </row>
    <row r="14" spans="1:12" x14ac:dyDescent="0.25">
      <c r="A14" s="1067" t="s">
        <v>204</v>
      </c>
      <c r="B14" s="1067" t="s">
        <v>247</v>
      </c>
      <c r="C14" s="1067" t="s">
        <v>291</v>
      </c>
      <c r="D14" s="1067" t="s">
        <v>46</v>
      </c>
      <c r="E14" s="1067">
        <v>35</v>
      </c>
      <c r="F14" s="1067"/>
      <c r="G14" s="1067"/>
      <c r="H14" s="1067">
        <v>4</v>
      </c>
      <c r="I14" s="1067">
        <v>26</v>
      </c>
      <c r="J14" s="1067"/>
      <c r="K14" s="1067">
        <v>0</v>
      </c>
      <c r="L14" s="1067">
        <v>5</v>
      </c>
    </row>
    <row r="15" spans="1:12" x14ac:dyDescent="0.25">
      <c r="A15" s="1067" t="s">
        <v>204</v>
      </c>
      <c r="B15" s="1067" t="s">
        <v>247</v>
      </c>
      <c r="C15" s="1067" t="s">
        <v>292</v>
      </c>
      <c r="D15" s="1067" t="s">
        <v>47</v>
      </c>
      <c r="E15" s="1067">
        <v>20</v>
      </c>
      <c r="F15" s="1067"/>
      <c r="G15" s="1067"/>
      <c r="H15" s="1067">
        <v>2</v>
      </c>
      <c r="I15" s="1067">
        <v>15</v>
      </c>
      <c r="J15" s="1067"/>
      <c r="K15" s="1067">
        <v>0</v>
      </c>
      <c r="L15" s="1067">
        <v>3</v>
      </c>
    </row>
    <row r="16" spans="1:12" x14ac:dyDescent="0.25">
      <c r="A16" s="1067" t="s">
        <v>204</v>
      </c>
      <c r="B16" s="1067" t="s">
        <v>247</v>
      </c>
      <c r="C16" s="1067" t="s">
        <v>293</v>
      </c>
      <c r="D16" s="1067" t="s">
        <v>49</v>
      </c>
      <c r="E16" s="1067">
        <v>76</v>
      </c>
      <c r="F16" s="1067"/>
      <c r="G16" s="1067"/>
      <c r="H16" s="1067">
        <v>13</v>
      </c>
      <c r="I16" s="1067">
        <v>50</v>
      </c>
      <c r="J16" s="1067"/>
      <c r="K16" s="1067">
        <v>0</v>
      </c>
      <c r="L16" s="1067">
        <v>13</v>
      </c>
    </row>
    <row r="17" spans="1:12" x14ac:dyDescent="0.25">
      <c r="A17" s="1067" t="s">
        <v>204</v>
      </c>
      <c r="B17" s="1067" t="s">
        <v>247</v>
      </c>
      <c r="C17" s="1067" t="s">
        <v>294</v>
      </c>
      <c r="D17" s="1067" t="s">
        <v>51</v>
      </c>
      <c r="E17" s="1067">
        <v>0</v>
      </c>
      <c r="F17" s="1067"/>
      <c r="G17" s="1067"/>
      <c r="H17" s="1067">
        <v>0</v>
      </c>
      <c r="I17" s="1067">
        <v>0</v>
      </c>
      <c r="J17" s="1067"/>
      <c r="K17" s="1067">
        <v>0</v>
      </c>
      <c r="L17" s="1067">
        <v>0</v>
      </c>
    </row>
    <row r="18" spans="1:12" x14ac:dyDescent="0.25">
      <c r="A18" s="1067" t="s">
        <v>204</v>
      </c>
      <c r="B18" s="1067" t="s">
        <v>247</v>
      </c>
      <c r="C18" s="1067" t="s">
        <v>295</v>
      </c>
      <c r="D18" s="1067" t="s">
        <v>52</v>
      </c>
      <c r="E18" s="1067">
        <v>88</v>
      </c>
      <c r="F18" s="1067"/>
      <c r="G18" s="1067"/>
      <c r="H18" s="1067">
        <v>14</v>
      </c>
      <c r="I18" s="1067">
        <v>61</v>
      </c>
      <c r="J18" s="1067"/>
      <c r="K18" s="1067">
        <v>2</v>
      </c>
      <c r="L18" s="1067">
        <v>11</v>
      </c>
    </row>
    <row r="19" spans="1:12" x14ac:dyDescent="0.25">
      <c r="A19" s="1067" t="s">
        <v>204</v>
      </c>
      <c r="B19" s="1067" t="s">
        <v>247</v>
      </c>
      <c r="C19" s="1067" t="s">
        <v>296</v>
      </c>
      <c r="D19" s="1067" t="s">
        <v>54</v>
      </c>
      <c r="E19" s="1067">
        <v>75</v>
      </c>
      <c r="F19" s="1067"/>
      <c r="G19" s="1067"/>
      <c r="H19" s="1067">
        <v>11</v>
      </c>
      <c r="I19" s="1067">
        <v>54</v>
      </c>
      <c r="J19" s="1067"/>
      <c r="K19" s="1067">
        <v>0</v>
      </c>
      <c r="L19" s="1067">
        <v>10</v>
      </c>
    </row>
    <row r="20" spans="1:12" x14ac:dyDescent="0.25">
      <c r="A20" s="1067" t="s">
        <v>204</v>
      </c>
      <c r="B20" s="1067" t="s">
        <v>247</v>
      </c>
      <c r="C20" s="1067" t="s">
        <v>297</v>
      </c>
      <c r="D20" s="1067" t="s">
        <v>55</v>
      </c>
      <c r="E20" s="1067">
        <v>0</v>
      </c>
      <c r="F20" s="1067"/>
      <c r="G20" s="1067"/>
      <c r="H20" s="1067">
        <v>0</v>
      </c>
      <c r="I20" s="1067">
        <v>0</v>
      </c>
      <c r="J20" s="1067"/>
      <c r="K20" s="1067">
        <v>0</v>
      </c>
      <c r="L20" s="1067">
        <v>0</v>
      </c>
    </row>
    <row r="21" spans="1:12" x14ac:dyDescent="0.25">
      <c r="A21" s="1067" t="s">
        <v>204</v>
      </c>
      <c r="B21" s="1067" t="s">
        <v>247</v>
      </c>
      <c r="C21" s="1067" t="s">
        <v>298</v>
      </c>
      <c r="D21" s="1067" t="s">
        <v>56</v>
      </c>
      <c r="E21" s="1067">
        <v>65</v>
      </c>
      <c r="F21" s="1067"/>
      <c r="G21" s="1067"/>
      <c r="H21" s="1067">
        <v>10</v>
      </c>
      <c r="I21" s="1067">
        <v>47</v>
      </c>
      <c r="J21" s="1067"/>
      <c r="K21" s="1067">
        <v>0</v>
      </c>
      <c r="L21" s="1067">
        <v>8</v>
      </c>
    </row>
    <row r="22" spans="1:12" x14ac:dyDescent="0.25">
      <c r="A22" s="1067" t="s">
        <v>204</v>
      </c>
      <c r="B22" s="1067" t="s">
        <v>247</v>
      </c>
      <c r="C22" s="1067" t="s">
        <v>299</v>
      </c>
      <c r="D22" s="1067" t="s">
        <v>57</v>
      </c>
      <c r="E22" s="1067">
        <v>190</v>
      </c>
      <c r="F22" s="1067"/>
      <c r="G22" s="1067"/>
      <c r="H22" s="1067">
        <v>33</v>
      </c>
      <c r="I22" s="1067">
        <v>129</v>
      </c>
      <c r="J22" s="1067"/>
      <c r="K22" s="1067">
        <v>2</v>
      </c>
      <c r="L22" s="1067">
        <v>26</v>
      </c>
    </row>
    <row r="23" spans="1:12" x14ac:dyDescent="0.25">
      <c r="A23" s="1067" t="s">
        <v>204</v>
      </c>
      <c r="B23" s="1067" t="s">
        <v>247</v>
      </c>
      <c r="C23" s="1067" t="s">
        <v>300</v>
      </c>
      <c r="D23" s="1067" t="s">
        <v>58</v>
      </c>
      <c r="E23" s="1067">
        <v>62</v>
      </c>
      <c r="F23" s="1067"/>
      <c r="G23" s="1067"/>
      <c r="H23" s="1067">
        <v>10</v>
      </c>
      <c r="I23" s="1067">
        <v>42</v>
      </c>
      <c r="J23" s="1067"/>
      <c r="K23" s="1067">
        <v>0</v>
      </c>
      <c r="L23" s="1067">
        <v>10</v>
      </c>
    </row>
    <row r="24" spans="1:12" x14ac:dyDescent="0.25">
      <c r="A24" s="1067" t="s">
        <v>204</v>
      </c>
      <c r="B24" s="1067" t="s">
        <v>247</v>
      </c>
      <c r="C24" s="1067" t="s">
        <v>301</v>
      </c>
      <c r="D24" s="1067" t="s">
        <v>31</v>
      </c>
      <c r="E24" s="1067">
        <v>174</v>
      </c>
      <c r="F24" s="1067"/>
      <c r="G24" s="1067"/>
      <c r="H24" s="1067">
        <v>24</v>
      </c>
      <c r="I24" s="1067">
        <v>128</v>
      </c>
      <c r="J24" s="1067"/>
      <c r="K24" s="1067">
        <v>0</v>
      </c>
      <c r="L24" s="1067">
        <v>22</v>
      </c>
    </row>
    <row r="25" spans="1:12" x14ac:dyDescent="0.25">
      <c r="A25" s="1067" t="s">
        <v>204</v>
      </c>
      <c r="B25" s="1067" t="s">
        <v>247</v>
      </c>
      <c r="C25" s="1067" t="s">
        <v>302</v>
      </c>
      <c r="D25" s="1067" t="s">
        <v>32</v>
      </c>
      <c r="E25" s="1067">
        <v>23</v>
      </c>
      <c r="F25" s="1067"/>
      <c r="G25" s="1067"/>
      <c r="H25" s="1067">
        <v>3</v>
      </c>
      <c r="I25" s="1067">
        <v>16</v>
      </c>
      <c r="J25" s="1067"/>
      <c r="K25" s="1067">
        <v>0</v>
      </c>
      <c r="L25" s="1067">
        <v>4</v>
      </c>
    </row>
    <row r="26" spans="1:12" x14ac:dyDescent="0.25">
      <c r="A26" s="1067" t="s">
        <v>204</v>
      </c>
      <c r="B26" s="1067" t="s">
        <v>247</v>
      </c>
      <c r="C26" s="1067" t="s">
        <v>303</v>
      </c>
      <c r="D26" s="1067" t="s">
        <v>34</v>
      </c>
      <c r="E26" s="1067">
        <v>58</v>
      </c>
      <c r="F26" s="1067"/>
      <c r="G26" s="1067"/>
      <c r="H26" s="1067">
        <v>10</v>
      </c>
      <c r="I26" s="1067">
        <v>31</v>
      </c>
      <c r="J26" s="1067"/>
      <c r="K26" s="1067">
        <v>2</v>
      </c>
      <c r="L26" s="1067">
        <v>15</v>
      </c>
    </row>
    <row r="27" spans="1:12" x14ac:dyDescent="0.25">
      <c r="A27" s="1067" t="s">
        <v>204</v>
      </c>
      <c r="B27" s="1067" t="s">
        <v>247</v>
      </c>
      <c r="C27" s="1067" t="s">
        <v>304</v>
      </c>
      <c r="D27" s="1067" t="s">
        <v>258</v>
      </c>
      <c r="E27" s="1067">
        <v>370</v>
      </c>
      <c r="F27" s="1067"/>
      <c r="G27" s="1067"/>
      <c r="H27" s="1067">
        <v>70</v>
      </c>
      <c r="I27" s="1067">
        <v>275</v>
      </c>
      <c r="J27" s="1067"/>
      <c r="K27" s="1067">
        <v>0</v>
      </c>
      <c r="L27" s="1067">
        <v>25</v>
      </c>
    </row>
    <row r="28" spans="1:12" x14ac:dyDescent="0.25">
      <c r="A28" s="1067" t="s">
        <v>204</v>
      </c>
      <c r="B28" s="1067" t="s">
        <v>247</v>
      </c>
      <c r="C28" s="1067" t="s">
        <v>305</v>
      </c>
      <c r="D28" s="1067" t="s">
        <v>53</v>
      </c>
      <c r="E28" s="1067">
        <v>116</v>
      </c>
      <c r="F28" s="1067"/>
      <c r="G28" s="1067"/>
      <c r="H28" s="1067">
        <v>22</v>
      </c>
      <c r="I28" s="1067">
        <v>74</v>
      </c>
      <c r="J28" s="1067"/>
      <c r="K28" s="1067">
        <v>1</v>
      </c>
      <c r="L28" s="1067">
        <v>19</v>
      </c>
    </row>
    <row r="29" spans="1:12" x14ac:dyDescent="0.25">
      <c r="A29" s="1067" t="s">
        <v>204</v>
      </c>
      <c r="B29" s="1067" t="s">
        <v>247</v>
      </c>
      <c r="C29" s="1067" t="s">
        <v>306</v>
      </c>
      <c r="D29" s="1067" t="s">
        <v>59</v>
      </c>
      <c r="E29" s="1067">
        <v>80</v>
      </c>
      <c r="F29" s="1067"/>
      <c r="G29" s="1067"/>
      <c r="H29" s="1067">
        <v>18</v>
      </c>
      <c r="I29" s="1067">
        <v>52</v>
      </c>
      <c r="J29" s="1067"/>
      <c r="K29" s="1067">
        <v>0</v>
      </c>
      <c r="L29" s="1067">
        <v>10</v>
      </c>
    </row>
    <row r="30" spans="1:12" x14ac:dyDescent="0.25">
      <c r="A30" s="1067" t="s">
        <v>204</v>
      </c>
      <c r="B30" s="1067" t="s">
        <v>247</v>
      </c>
      <c r="C30" s="1067" t="s">
        <v>307</v>
      </c>
      <c r="D30" s="1067" t="s">
        <v>60</v>
      </c>
      <c r="E30" s="1067">
        <v>85</v>
      </c>
      <c r="F30" s="1067"/>
      <c r="G30" s="1067"/>
      <c r="H30" s="1067">
        <v>14</v>
      </c>
      <c r="I30" s="1067">
        <v>61</v>
      </c>
      <c r="J30" s="1067"/>
      <c r="K30" s="1067">
        <v>0</v>
      </c>
      <c r="L30" s="1067">
        <v>10</v>
      </c>
    </row>
    <row r="31" spans="1:12" x14ac:dyDescent="0.25">
      <c r="A31" s="1067" t="s">
        <v>204</v>
      </c>
      <c r="B31" s="1067" t="s">
        <v>247</v>
      </c>
      <c r="C31" s="1067" t="s">
        <v>308</v>
      </c>
      <c r="D31" s="1067" t="s">
        <v>33</v>
      </c>
      <c r="E31" s="1067">
        <v>35</v>
      </c>
      <c r="F31" s="1067"/>
      <c r="G31" s="1067"/>
      <c r="H31" s="1067">
        <v>0</v>
      </c>
      <c r="I31" s="1067">
        <v>25</v>
      </c>
      <c r="J31" s="1067"/>
      <c r="K31" s="1067">
        <v>1</v>
      </c>
      <c r="L31" s="1067">
        <v>9</v>
      </c>
    </row>
    <row r="32" spans="1:12" x14ac:dyDescent="0.25">
      <c r="A32" s="1067" t="s">
        <v>204</v>
      </c>
      <c r="B32" s="1067" t="s">
        <v>247</v>
      </c>
      <c r="C32" s="1067" t="s">
        <v>309</v>
      </c>
      <c r="D32" s="1067" t="s">
        <v>37</v>
      </c>
      <c r="E32" s="1067">
        <v>215</v>
      </c>
      <c r="F32" s="1067"/>
      <c r="G32" s="1067"/>
      <c r="H32" s="1067">
        <v>29</v>
      </c>
      <c r="I32" s="1067">
        <v>162</v>
      </c>
      <c r="J32" s="1067"/>
      <c r="K32" s="1067">
        <v>1</v>
      </c>
      <c r="L32" s="1067">
        <v>23</v>
      </c>
    </row>
    <row r="33" spans="1:12" x14ac:dyDescent="0.25">
      <c r="A33" s="1067" t="s">
        <v>204</v>
      </c>
      <c r="B33" s="1067" t="s">
        <v>247</v>
      </c>
      <c r="C33" s="1067" t="s">
        <v>310</v>
      </c>
      <c r="D33" s="1067" t="s">
        <v>50</v>
      </c>
      <c r="E33" s="1067">
        <v>188</v>
      </c>
      <c r="F33" s="1067"/>
      <c r="G33" s="1067"/>
      <c r="H33" s="1067">
        <v>34</v>
      </c>
      <c r="I33" s="1067">
        <v>129</v>
      </c>
      <c r="J33" s="1067"/>
      <c r="K33" s="1067">
        <v>1</v>
      </c>
      <c r="L33" s="1067">
        <v>24</v>
      </c>
    </row>
    <row r="34" spans="1:12" x14ac:dyDescent="0.25">
      <c r="A34" s="1067" t="s">
        <v>204</v>
      </c>
      <c r="B34" s="1067" t="s">
        <v>247</v>
      </c>
      <c r="C34" s="1067" t="s">
        <v>311</v>
      </c>
      <c r="D34" s="1067" t="s">
        <v>39</v>
      </c>
      <c r="E34" s="1067">
        <v>74</v>
      </c>
      <c r="F34" s="1067"/>
      <c r="G34" s="1067"/>
      <c r="H34" s="1067">
        <v>15</v>
      </c>
      <c r="I34" s="1067">
        <v>45</v>
      </c>
      <c r="J34" s="1067"/>
      <c r="K34" s="1067">
        <v>0</v>
      </c>
      <c r="L34" s="1067">
        <v>14</v>
      </c>
    </row>
    <row r="35" spans="1:12" x14ac:dyDescent="0.25">
      <c r="A35" s="1067" t="s">
        <v>204</v>
      </c>
      <c r="B35" s="1067" t="s">
        <v>247</v>
      </c>
      <c r="C35" s="1067" t="s">
        <v>312</v>
      </c>
      <c r="D35" s="1067" t="s">
        <v>121</v>
      </c>
      <c r="E35" s="1067">
        <v>560</v>
      </c>
      <c r="F35" s="1067"/>
      <c r="G35" s="1067"/>
      <c r="H35" s="1067">
        <v>119</v>
      </c>
      <c r="I35" s="1067">
        <v>373</v>
      </c>
      <c r="J35" s="1067"/>
      <c r="K35" s="1067">
        <v>0</v>
      </c>
      <c r="L35" s="1067">
        <v>68</v>
      </c>
    </row>
    <row r="36" spans="1:12" x14ac:dyDescent="0.25">
      <c r="A36" s="1067" t="s">
        <v>204</v>
      </c>
      <c r="B36" s="1067" t="s">
        <v>247</v>
      </c>
      <c r="C36" s="1067" t="s">
        <v>313</v>
      </c>
      <c r="D36" s="1067" t="s">
        <v>43</v>
      </c>
      <c r="E36" s="1067">
        <v>289</v>
      </c>
      <c r="F36" s="1067"/>
      <c r="G36" s="1067"/>
      <c r="H36" s="1067">
        <v>58</v>
      </c>
      <c r="I36" s="1067">
        <v>208</v>
      </c>
      <c r="J36" s="1067"/>
      <c r="K36" s="1067">
        <v>0</v>
      </c>
      <c r="L36" s="1067">
        <v>23</v>
      </c>
    </row>
    <row r="37" spans="1:12" x14ac:dyDescent="0.25">
      <c r="A37" s="1067" t="s">
        <v>204</v>
      </c>
      <c r="B37" s="1067" t="s">
        <v>248</v>
      </c>
      <c r="C37" s="1067" t="s">
        <v>369</v>
      </c>
      <c r="D37" s="1067" t="s">
        <v>31</v>
      </c>
      <c r="E37" s="1067">
        <v>23</v>
      </c>
      <c r="F37" s="1067">
        <v>1</v>
      </c>
      <c r="G37" s="1067"/>
      <c r="H37" s="1067">
        <v>0</v>
      </c>
      <c r="I37" s="1067">
        <v>1</v>
      </c>
      <c r="J37" s="1067">
        <v>7</v>
      </c>
      <c r="K37" s="1067">
        <v>6</v>
      </c>
      <c r="L37" s="1067">
        <v>8</v>
      </c>
    </row>
    <row r="38" spans="1:12" x14ac:dyDescent="0.25">
      <c r="A38" s="1067" t="s">
        <v>204</v>
      </c>
      <c r="B38" s="1067" t="s">
        <v>248</v>
      </c>
      <c r="C38" s="1067" t="s">
        <v>370</v>
      </c>
      <c r="D38" s="1067" t="s">
        <v>63</v>
      </c>
      <c r="E38" s="1067">
        <v>15</v>
      </c>
      <c r="F38" s="1067">
        <v>1</v>
      </c>
      <c r="G38" s="1067"/>
      <c r="H38" s="1067">
        <v>0</v>
      </c>
      <c r="I38" s="1067">
        <v>0</v>
      </c>
      <c r="J38" s="1067">
        <v>2</v>
      </c>
      <c r="K38" s="1067">
        <v>4</v>
      </c>
      <c r="L38" s="1067">
        <v>8</v>
      </c>
    </row>
    <row r="39" spans="1:12" x14ac:dyDescent="0.25">
      <c r="A39" s="1067" t="s">
        <v>204</v>
      </c>
      <c r="B39" s="1067" t="s">
        <v>248</v>
      </c>
      <c r="C39" s="1067" t="s">
        <v>372</v>
      </c>
      <c r="D39" s="1067" t="s">
        <v>64</v>
      </c>
      <c r="E39" s="1067">
        <v>22</v>
      </c>
      <c r="F39" s="1067">
        <v>1</v>
      </c>
      <c r="G39" s="1067"/>
      <c r="H39" s="1067">
        <v>1</v>
      </c>
      <c r="I39" s="1067">
        <v>1</v>
      </c>
      <c r="J39" s="1067">
        <v>3</v>
      </c>
      <c r="K39" s="1067">
        <v>6</v>
      </c>
      <c r="L39" s="1067">
        <v>10</v>
      </c>
    </row>
    <row r="40" spans="1:12" x14ac:dyDescent="0.25">
      <c r="A40" s="1067" t="s">
        <v>204</v>
      </c>
      <c r="B40" s="1067" t="s">
        <v>248</v>
      </c>
      <c r="C40" s="1067" t="s">
        <v>373</v>
      </c>
      <c r="D40" s="1067" t="s">
        <v>36</v>
      </c>
      <c r="E40" s="1067">
        <v>16</v>
      </c>
      <c r="F40" s="1067">
        <v>0</v>
      </c>
      <c r="G40" s="1067"/>
      <c r="H40" s="1067">
        <v>0</v>
      </c>
      <c r="I40" s="1067">
        <v>0</v>
      </c>
      <c r="J40" s="1067">
        <v>2</v>
      </c>
      <c r="K40" s="1067">
        <v>5</v>
      </c>
      <c r="L40" s="1067">
        <v>9</v>
      </c>
    </row>
    <row r="41" spans="1:12" x14ac:dyDescent="0.25">
      <c r="A41" s="1067" t="s">
        <v>204</v>
      </c>
      <c r="B41" s="1067" t="s">
        <v>248</v>
      </c>
      <c r="C41" s="1067" t="s">
        <v>374</v>
      </c>
      <c r="D41" s="1067" t="s">
        <v>66</v>
      </c>
      <c r="E41" s="1067">
        <v>21</v>
      </c>
      <c r="F41" s="1067">
        <v>1</v>
      </c>
      <c r="G41" s="1067"/>
      <c r="H41" s="1067">
        <v>0</v>
      </c>
      <c r="I41" s="1067">
        <v>5</v>
      </c>
      <c r="J41" s="1067">
        <v>7</v>
      </c>
      <c r="K41" s="1067">
        <v>0</v>
      </c>
      <c r="L41" s="1067">
        <v>8</v>
      </c>
    </row>
    <row r="42" spans="1:12" x14ac:dyDescent="0.25">
      <c r="A42" s="1067" t="s">
        <v>204</v>
      </c>
      <c r="B42" s="1067" t="s">
        <v>248</v>
      </c>
      <c r="C42" s="1067" t="s">
        <v>375</v>
      </c>
      <c r="D42" s="1067" t="s">
        <v>67</v>
      </c>
      <c r="E42" s="1067">
        <v>12</v>
      </c>
      <c r="F42" s="1067">
        <v>1</v>
      </c>
      <c r="G42" s="1067"/>
      <c r="H42" s="1067">
        <v>0</v>
      </c>
      <c r="I42" s="1067">
        <v>1</v>
      </c>
      <c r="J42" s="1067">
        <v>3</v>
      </c>
      <c r="K42" s="1067">
        <v>5</v>
      </c>
      <c r="L42" s="1067">
        <v>2</v>
      </c>
    </row>
    <row r="43" spans="1:12" x14ac:dyDescent="0.25">
      <c r="A43" s="1067" t="s">
        <v>204</v>
      </c>
      <c r="B43" s="1067" t="s">
        <v>248</v>
      </c>
      <c r="C43" s="1067" t="s">
        <v>376</v>
      </c>
      <c r="D43" s="1067" t="s">
        <v>68</v>
      </c>
      <c r="E43" s="1067">
        <v>23</v>
      </c>
      <c r="F43" s="1067">
        <v>1</v>
      </c>
      <c r="G43" s="1067"/>
      <c r="H43" s="1067">
        <v>0</v>
      </c>
      <c r="I43" s="1067">
        <v>0</v>
      </c>
      <c r="J43" s="1067">
        <v>9</v>
      </c>
      <c r="K43" s="1067">
        <v>7</v>
      </c>
      <c r="L43" s="1067">
        <v>6</v>
      </c>
    </row>
    <row r="44" spans="1:12" x14ac:dyDescent="0.25">
      <c r="A44" s="1067" t="s">
        <v>204</v>
      </c>
      <c r="B44" s="1067" t="s">
        <v>248</v>
      </c>
      <c r="C44" s="1067" t="s">
        <v>377</v>
      </c>
      <c r="D44" s="1067" t="s">
        <v>175</v>
      </c>
      <c r="E44" s="1067">
        <v>26</v>
      </c>
      <c r="F44" s="1067">
        <v>2</v>
      </c>
      <c r="G44" s="1067"/>
      <c r="H44" s="1067">
        <v>3</v>
      </c>
      <c r="I44" s="1067">
        <v>2</v>
      </c>
      <c r="J44" s="1067">
        <v>9</v>
      </c>
      <c r="K44" s="1067">
        <v>3</v>
      </c>
      <c r="L44" s="1067">
        <v>7</v>
      </c>
    </row>
    <row r="45" spans="1:12" x14ac:dyDescent="0.25">
      <c r="A45" s="1067" t="s">
        <v>204</v>
      </c>
      <c r="B45" s="1067" t="s">
        <v>248</v>
      </c>
      <c r="C45" s="1067" t="s">
        <v>378</v>
      </c>
      <c r="D45" s="1067" t="s">
        <v>69</v>
      </c>
      <c r="E45" s="1067">
        <v>13</v>
      </c>
      <c r="F45" s="1067">
        <v>1</v>
      </c>
      <c r="G45" s="1067"/>
      <c r="H45" s="1067">
        <v>0</v>
      </c>
      <c r="I45" s="1067">
        <v>2</v>
      </c>
      <c r="J45" s="1067">
        <v>2</v>
      </c>
      <c r="K45" s="1067">
        <v>2</v>
      </c>
      <c r="L45" s="1067">
        <v>6</v>
      </c>
    </row>
    <row r="46" spans="1:12" x14ac:dyDescent="0.25">
      <c r="A46" s="1067" t="s">
        <v>204</v>
      </c>
      <c r="B46" s="1067" t="s">
        <v>248</v>
      </c>
      <c r="C46" s="1067" t="s">
        <v>1074</v>
      </c>
      <c r="D46" s="1067" t="s">
        <v>121</v>
      </c>
      <c r="E46" s="1067">
        <v>28</v>
      </c>
      <c r="F46" s="1067">
        <v>1</v>
      </c>
      <c r="G46" s="1067"/>
      <c r="H46" s="1067">
        <v>0</v>
      </c>
      <c r="I46" s="1067">
        <v>3</v>
      </c>
      <c r="J46" s="1067">
        <v>4</v>
      </c>
      <c r="K46" s="1067">
        <v>10</v>
      </c>
      <c r="L46" s="1067">
        <v>10</v>
      </c>
    </row>
    <row r="47" spans="1:12" x14ac:dyDescent="0.25">
      <c r="A47" s="1067" t="s">
        <v>204</v>
      </c>
      <c r="B47" s="1067" t="s">
        <v>248</v>
      </c>
      <c r="C47" s="1067" t="s">
        <v>379</v>
      </c>
      <c r="D47" s="1067" t="s">
        <v>70</v>
      </c>
      <c r="E47" s="1067">
        <v>13</v>
      </c>
      <c r="F47" s="1067">
        <v>1</v>
      </c>
      <c r="G47" s="1067"/>
      <c r="H47" s="1067">
        <v>0</v>
      </c>
      <c r="I47" s="1067">
        <v>0</v>
      </c>
      <c r="J47" s="1067">
        <v>4</v>
      </c>
      <c r="K47" s="1067">
        <v>7</v>
      </c>
      <c r="L47" s="1067">
        <v>1</v>
      </c>
    </row>
    <row r="48" spans="1:12" x14ac:dyDescent="0.25">
      <c r="A48" s="1067" t="s">
        <v>204</v>
      </c>
      <c r="B48" s="1067" t="s">
        <v>248</v>
      </c>
      <c r="C48" s="1067" t="s">
        <v>1075</v>
      </c>
      <c r="D48" s="1067" t="s">
        <v>50</v>
      </c>
      <c r="E48" s="1067">
        <v>14</v>
      </c>
      <c r="F48" s="1067">
        <v>1</v>
      </c>
      <c r="G48" s="1067"/>
      <c r="H48" s="1067">
        <v>1</v>
      </c>
      <c r="I48" s="1067">
        <v>0</v>
      </c>
      <c r="J48" s="1067">
        <v>2</v>
      </c>
      <c r="K48" s="1067">
        <v>6</v>
      </c>
      <c r="L48" s="1067">
        <v>4</v>
      </c>
    </row>
    <row r="49" spans="1:12" x14ac:dyDescent="0.25">
      <c r="A49" s="1067" t="s">
        <v>204</v>
      </c>
      <c r="B49" s="1067" t="s">
        <v>248</v>
      </c>
      <c r="C49" s="1067" t="s">
        <v>380</v>
      </c>
      <c r="D49" s="1067" t="s">
        <v>57</v>
      </c>
      <c r="E49" s="1067">
        <v>10</v>
      </c>
      <c r="F49" s="1067">
        <v>1</v>
      </c>
      <c r="G49" s="1067"/>
      <c r="H49" s="1067">
        <v>0</v>
      </c>
      <c r="I49" s="1067">
        <v>0</v>
      </c>
      <c r="J49" s="1067">
        <v>3</v>
      </c>
      <c r="K49" s="1067">
        <v>4</v>
      </c>
      <c r="L49" s="1067">
        <v>2</v>
      </c>
    </row>
    <row r="50" spans="1:12" x14ac:dyDescent="0.25">
      <c r="A50" s="1067" t="s">
        <v>204</v>
      </c>
      <c r="B50" s="1067" t="s">
        <v>248</v>
      </c>
      <c r="C50" s="1067" t="s">
        <v>1072</v>
      </c>
      <c r="D50" s="1067" t="s">
        <v>1071</v>
      </c>
      <c r="E50" s="1067">
        <v>8</v>
      </c>
      <c r="F50" s="1067">
        <v>1</v>
      </c>
      <c r="G50" s="1067"/>
      <c r="H50" s="1067">
        <v>0</v>
      </c>
      <c r="I50" s="1067">
        <v>0</v>
      </c>
      <c r="J50" s="1067">
        <v>3</v>
      </c>
      <c r="K50" s="1067">
        <v>4</v>
      </c>
      <c r="L50" s="1067">
        <v>0</v>
      </c>
    </row>
    <row r="51" spans="1:12" x14ac:dyDescent="0.25">
      <c r="A51" s="1067" t="s">
        <v>204</v>
      </c>
      <c r="B51" s="1067" t="s">
        <v>248</v>
      </c>
      <c r="C51" s="1067" t="s">
        <v>381</v>
      </c>
      <c r="D51" s="1067" t="s">
        <v>71</v>
      </c>
      <c r="E51" s="1067">
        <v>9</v>
      </c>
      <c r="F51" s="1067">
        <v>1</v>
      </c>
      <c r="G51" s="1067"/>
      <c r="H51" s="1067">
        <v>0</v>
      </c>
      <c r="I51" s="1067">
        <v>0</v>
      </c>
      <c r="J51" s="1067">
        <v>3</v>
      </c>
      <c r="K51" s="1067">
        <v>5</v>
      </c>
      <c r="L51" s="1067">
        <v>0</v>
      </c>
    </row>
    <row r="52" spans="1:12" x14ac:dyDescent="0.25">
      <c r="A52" s="1067" t="s">
        <v>204</v>
      </c>
      <c r="B52" s="1067" t="s">
        <v>248</v>
      </c>
      <c r="C52" s="1067" t="s">
        <v>371</v>
      </c>
      <c r="D52" s="1067" t="s">
        <v>65</v>
      </c>
      <c r="E52" s="1067">
        <v>11</v>
      </c>
      <c r="F52" s="1067">
        <v>1</v>
      </c>
      <c r="G52" s="1067"/>
      <c r="H52" s="1067">
        <v>0</v>
      </c>
      <c r="I52" s="1067">
        <v>0</v>
      </c>
      <c r="J52" s="1067">
        <v>3</v>
      </c>
      <c r="K52" s="1067">
        <v>5</v>
      </c>
      <c r="L52" s="1067">
        <v>2</v>
      </c>
    </row>
    <row r="53" spans="1:12" x14ac:dyDescent="0.25">
      <c r="A53" s="1067" t="s">
        <v>204</v>
      </c>
      <c r="B53" s="1067" t="s">
        <v>248</v>
      </c>
      <c r="C53" s="1067" t="s">
        <v>1073</v>
      </c>
      <c r="D53" s="1067" t="s">
        <v>43</v>
      </c>
      <c r="E53" s="1067">
        <v>21</v>
      </c>
      <c r="F53" s="1067">
        <v>1</v>
      </c>
      <c r="G53" s="1067"/>
      <c r="H53" s="1067">
        <v>0</v>
      </c>
      <c r="I53" s="1067">
        <v>0</v>
      </c>
      <c r="J53" s="1067">
        <v>3</v>
      </c>
      <c r="K53" s="1067">
        <v>6</v>
      </c>
      <c r="L53" s="1067">
        <v>11</v>
      </c>
    </row>
    <row r="54" spans="1:12" x14ac:dyDescent="0.25">
      <c r="A54" s="1067" t="s">
        <v>204</v>
      </c>
      <c r="B54" s="1067" t="s">
        <v>249</v>
      </c>
      <c r="C54" s="1067" t="s">
        <v>403</v>
      </c>
      <c r="D54" s="1067" t="s">
        <v>173</v>
      </c>
      <c r="E54" s="1067">
        <v>111</v>
      </c>
      <c r="F54" s="1067">
        <v>3</v>
      </c>
      <c r="G54" s="1067">
        <v>1</v>
      </c>
      <c r="H54" s="1067">
        <v>8</v>
      </c>
      <c r="I54" s="1067">
        <v>0</v>
      </c>
      <c r="J54" s="1067">
        <v>12</v>
      </c>
      <c r="K54" s="1067">
        <v>8</v>
      </c>
      <c r="L54" s="1067">
        <v>79</v>
      </c>
    </row>
    <row r="55" spans="1:12" x14ac:dyDescent="0.25">
      <c r="A55" s="1067" t="s">
        <v>204</v>
      </c>
      <c r="B55" s="1067" t="s">
        <v>249</v>
      </c>
      <c r="C55" s="1067" t="s">
        <v>402</v>
      </c>
      <c r="D55" s="1067" t="s">
        <v>174</v>
      </c>
      <c r="E55" s="1067">
        <v>80</v>
      </c>
      <c r="F55" s="1067">
        <v>1</v>
      </c>
      <c r="G55" s="1067">
        <v>1</v>
      </c>
      <c r="H55" s="1067">
        <v>8</v>
      </c>
      <c r="I55" s="1067">
        <v>3</v>
      </c>
      <c r="J55" s="1067">
        <v>3</v>
      </c>
      <c r="K55" s="1067">
        <v>15</v>
      </c>
      <c r="L55" s="1067">
        <v>49</v>
      </c>
    </row>
    <row r="56" spans="1:12" x14ac:dyDescent="0.25">
      <c r="A56" s="1067" t="s">
        <v>204</v>
      </c>
      <c r="B56" s="1067" t="s">
        <v>249</v>
      </c>
      <c r="C56" s="1067" t="s">
        <v>404</v>
      </c>
      <c r="D56" s="1067" t="s">
        <v>172</v>
      </c>
      <c r="E56" s="1067">
        <v>77</v>
      </c>
      <c r="F56" s="1067">
        <v>2</v>
      </c>
      <c r="G56" s="1067">
        <v>1</v>
      </c>
      <c r="H56" s="1067">
        <v>24</v>
      </c>
      <c r="I56" s="1067">
        <v>1</v>
      </c>
      <c r="J56" s="1067">
        <v>9</v>
      </c>
      <c r="K56" s="1067">
        <v>10</v>
      </c>
      <c r="L56" s="1067">
        <v>30</v>
      </c>
    </row>
    <row r="57" spans="1:12" x14ac:dyDescent="0.25">
      <c r="A57" s="1067" t="s">
        <v>204</v>
      </c>
      <c r="B57" s="1067" t="s">
        <v>250</v>
      </c>
      <c r="C57" s="1067" t="s">
        <v>382</v>
      </c>
      <c r="D57" s="1067" t="s">
        <v>259</v>
      </c>
      <c r="E57" s="1067">
        <v>56</v>
      </c>
      <c r="F57" s="1067">
        <v>5</v>
      </c>
      <c r="G57" s="1067">
        <v>6</v>
      </c>
      <c r="H57" s="1067">
        <v>7</v>
      </c>
      <c r="I57" s="1067">
        <v>0</v>
      </c>
      <c r="J57" s="1067">
        <v>22</v>
      </c>
      <c r="K57" s="1067">
        <v>5</v>
      </c>
      <c r="L57" s="1067">
        <v>11</v>
      </c>
    </row>
    <row r="58" spans="1:12" x14ac:dyDescent="0.25">
      <c r="A58" s="1067" t="s">
        <v>203</v>
      </c>
      <c r="B58" s="1067" t="s">
        <v>247</v>
      </c>
      <c r="C58" s="1067" t="s">
        <v>282</v>
      </c>
      <c r="D58" s="1067" t="s">
        <v>35</v>
      </c>
      <c r="E58" s="1067">
        <v>37</v>
      </c>
      <c r="F58" s="1067"/>
      <c r="G58" s="1067"/>
      <c r="H58" s="1067">
        <v>8</v>
      </c>
      <c r="I58" s="1067">
        <v>25</v>
      </c>
      <c r="J58" s="1067"/>
      <c r="K58" s="1067">
        <v>0</v>
      </c>
      <c r="L58" s="1067">
        <v>4</v>
      </c>
    </row>
    <row r="59" spans="1:12" x14ac:dyDescent="0.25">
      <c r="A59" s="1067" t="s">
        <v>203</v>
      </c>
      <c r="B59" s="1067" t="s">
        <v>247</v>
      </c>
      <c r="C59" s="1067" t="s">
        <v>283</v>
      </c>
      <c r="D59" s="1067" t="s">
        <v>36</v>
      </c>
      <c r="E59" s="1067">
        <v>69</v>
      </c>
      <c r="F59" s="1067"/>
      <c r="G59" s="1067"/>
      <c r="H59" s="1067">
        <v>11</v>
      </c>
      <c r="I59" s="1067">
        <v>52</v>
      </c>
      <c r="J59" s="1067"/>
      <c r="K59" s="1067">
        <v>0</v>
      </c>
      <c r="L59" s="1067">
        <v>6</v>
      </c>
    </row>
    <row r="60" spans="1:12" x14ac:dyDescent="0.25">
      <c r="A60" s="1067" t="s">
        <v>203</v>
      </c>
      <c r="B60" s="1067" t="s">
        <v>247</v>
      </c>
      <c r="C60" s="1067" t="s">
        <v>284</v>
      </c>
      <c r="D60" s="1067" t="s">
        <v>38</v>
      </c>
      <c r="E60" s="1067">
        <v>56</v>
      </c>
      <c r="F60" s="1067"/>
      <c r="G60" s="1067"/>
      <c r="H60" s="1067">
        <v>9</v>
      </c>
      <c r="I60" s="1067">
        <v>39</v>
      </c>
      <c r="J60" s="1067"/>
      <c r="K60" s="1067">
        <v>0</v>
      </c>
      <c r="L60" s="1067">
        <v>8</v>
      </c>
    </row>
    <row r="61" spans="1:12" x14ac:dyDescent="0.25">
      <c r="A61" s="1067" t="s">
        <v>203</v>
      </c>
      <c r="B61" s="1067" t="s">
        <v>247</v>
      </c>
      <c r="C61" s="1067" t="s">
        <v>285</v>
      </c>
      <c r="D61" s="1067" t="s">
        <v>40</v>
      </c>
      <c r="E61" s="1067">
        <v>28</v>
      </c>
      <c r="F61" s="1067"/>
      <c r="G61" s="1067"/>
      <c r="H61" s="1067">
        <v>3</v>
      </c>
      <c r="I61" s="1067">
        <v>21</v>
      </c>
      <c r="J61" s="1067"/>
      <c r="K61" s="1067">
        <v>0</v>
      </c>
      <c r="L61" s="1067">
        <v>4</v>
      </c>
    </row>
    <row r="62" spans="1:12" x14ac:dyDescent="0.25">
      <c r="A62" s="1067" t="s">
        <v>203</v>
      </c>
      <c r="B62" s="1067" t="s">
        <v>247</v>
      </c>
      <c r="C62" s="1067" t="s">
        <v>286</v>
      </c>
      <c r="D62" s="1067" t="s">
        <v>41</v>
      </c>
      <c r="E62" s="1067">
        <v>57</v>
      </c>
      <c r="F62" s="1067"/>
      <c r="G62" s="1067"/>
      <c r="H62" s="1067">
        <v>13</v>
      </c>
      <c r="I62" s="1067">
        <v>35</v>
      </c>
      <c r="J62" s="1067"/>
      <c r="K62" s="1067">
        <v>0</v>
      </c>
      <c r="L62" s="1067">
        <v>9</v>
      </c>
    </row>
    <row r="63" spans="1:12" x14ac:dyDescent="0.25">
      <c r="A63" s="1067" t="s">
        <v>203</v>
      </c>
      <c r="B63" s="1067" t="s">
        <v>247</v>
      </c>
      <c r="C63" s="1067" t="s">
        <v>287</v>
      </c>
      <c r="D63" s="1067" t="s">
        <v>48</v>
      </c>
      <c r="E63" s="1067">
        <v>0</v>
      </c>
      <c r="F63" s="1067"/>
      <c r="G63" s="1067"/>
      <c r="H63" s="1067">
        <v>0</v>
      </c>
      <c r="I63" s="1067">
        <v>0</v>
      </c>
      <c r="J63" s="1067"/>
      <c r="K63" s="1067">
        <v>0</v>
      </c>
      <c r="L63" s="1067">
        <v>0</v>
      </c>
    </row>
    <row r="64" spans="1:12" x14ac:dyDescent="0.25">
      <c r="A64" s="1067" t="s">
        <v>203</v>
      </c>
      <c r="B64" s="1067" t="s">
        <v>247</v>
      </c>
      <c r="C64" s="1067" t="s">
        <v>288</v>
      </c>
      <c r="D64" s="1067" t="s">
        <v>42</v>
      </c>
      <c r="E64" s="1067">
        <v>94</v>
      </c>
      <c r="F64" s="1067"/>
      <c r="G64" s="1067"/>
      <c r="H64" s="1067">
        <v>17</v>
      </c>
      <c r="I64" s="1067">
        <v>60</v>
      </c>
      <c r="J64" s="1067"/>
      <c r="K64" s="1067">
        <v>2</v>
      </c>
      <c r="L64" s="1067">
        <v>15</v>
      </c>
    </row>
    <row r="65" spans="1:12" x14ac:dyDescent="0.25">
      <c r="A65" s="1067" t="s">
        <v>203</v>
      </c>
      <c r="B65" s="1067" t="s">
        <v>247</v>
      </c>
      <c r="C65" s="1067" t="s">
        <v>289</v>
      </c>
      <c r="D65" s="1067" t="s">
        <v>44</v>
      </c>
      <c r="E65" s="1067">
        <v>81</v>
      </c>
      <c r="F65" s="1067"/>
      <c r="G65" s="1067"/>
      <c r="H65" s="1067">
        <v>11</v>
      </c>
      <c r="I65" s="1067">
        <v>57</v>
      </c>
      <c r="J65" s="1067"/>
      <c r="K65" s="1067">
        <v>1</v>
      </c>
      <c r="L65" s="1067">
        <v>12</v>
      </c>
    </row>
    <row r="66" spans="1:12" x14ac:dyDescent="0.25">
      <c r="A66" s="1067" t="s">
        <v>203</v>
      </c>
      <c r="B66" s="1067" t="s">
        <v>247</v>
      </c>
      <c r="C66" s="1067" t="s">
        <v>290</v>
      </c>
      <c r="D66" s="1067" t="s">
        <v>45</v>
      </c>
      <c r="E66" s="1067">
        <v>77</v>
      </c>
      <c r="F66" s="1067"/>
      <c r="G66" s="1067"/>
      <c r="H66" s="1067">
        <v>16</v>
      </c>
      <c r="I66" s="1067">
        <v>49</v>
      </c>
      <c r="J66" s="1067"/>
      <c r="K66" s="1067">
        <v>0</v>
      </c>
      <c r="L66" s="1067">
        <v>12</v>
      </c>
    </row>
    <row r="67" spans="1:12" x14ac:dyDescent="0.25">
      <c r="A67" s="1067" t="s">
        <v>203</v>
      </c>
      <c r="B67" s="1067" t="s">
        <v>247</v>
      </c>
      <c r="C67" s="1067" t="s">
        <v>291</v>
      </c>
      <c r="D67" s="1067" t="s">
        <v>46</v>
      </c>
      <c r="E67" s="1067">
        <v>35</v>
      </c>
      <c r="F67" s="1067"/>
      <c r="G67" s="1067"/>
      <c r="H67" s="1067">
        <v>4</v>
      </c>
      <c r="I67" s="1067">
        <v>26</v>
      </c>
      <c r="J67" s="1067"/>
      <c r="K67" s="1067">
        <v>0</v>
      </c>
      <c r="L67" s="1067">
        <v>5</v>
      </c>
    </row>
    <row r="68" spans="1:12" x14ac:dyDescent="0.25">
      <c r="A68" s="1067" t="s">
        <v>203</v>
      </c>
      <c r="B68" s="1067" t="s">
        <v>247</v>
      </c>
      <c r="C68" s="1067" t="s">
        <v>292</v>
      </c>
      <c r="D68" s="1067" t="s">
        <v>47</v>
      </c>
      <c r="E68" s="1067">
        <v>21</v>
      </c>
      <c r="F68" s="1067"/>
      <c r="G68" s="1067"/>
      <c r="H68" s="1067">
        <v>3</v>
      </c>
      <c r="I68" s="1067">
        <v>14</v>
      </c>
      <c r="J68" s="1067"/>
      <c r="K68" s="1067">
        <v>0</v>
      </c>
      <c r="L68" s="1067">
        <v>4</v>
      </c>
    </row>
    <row r="69" spans="1:12" x14ac:dyDescent="0.25">
      <c r="A69" s="1067" t="s">
        <v>203</v>
      </c>
      <c r="B69" s="1067" t="s">
        <v>247</v>
      </c>
      <c r="C69" s="1067" t="s">
        <v>293</v>
      </c>
      <c r="D69" s="1067" t="s">
        <v>49</v>
      </c>
      <c r="E69" s="1067">
        <v>78</v>
      </c>
      <c r="F69" s="1067"/>
      <c r="G69" s="1067"/>
      <c r="H69" s="1067">
        <v>14</v>
      </c>
      <c r="I69" s="1067">
        <v>50</v>
      </c>
      <c r="J69" s="1067"/>
      <c r="K69" s="1067">
        <v>0</v>
      </c>
      <c r="L69" s="1067">
        <v>14</v>
      </c>
    </row>
    <row r="70" spans="1:12" x14ac:dyDescent="0.25">
      <c r="A70" s="1067" t="s">
        <v>203</v>
      </c>
      <c r="B70" s="1067" t="s">
        <v>247</v>
      </c>
      <c r="C70" s="1067" t="s">
        <v>294</v>
      </c>
      <c r="D70" s="1067" t="s">
        <v>51</v>
      </c>
      <c r="E70" s="1067">
        <v>0</v>
      </c>
      <c r="F70" s="1067"/>
      <c r="G70" s="1067"/>
      <c r="H70" s="1067">
        <v>0</v>
      </c>
      <c r="I70" s="1067">
        <v>0</v>
      </c>
      <c r="J70" s="1067"/>
      <c r="K70" s="1067">
        <v>0</v>
      </c>
      <c r="L70" s="1067">
        <v>0</v>
      </c>
    </row>
    <row r="71" spans="1:12" x14ac:dyDescent="0.25">
      <c r="A71" s="1067" t="s">
        <v>203</v>
      </c>
      <c r="B71" s="1067" t="s">
        <v>247</v>
      </c>
      <c r="C71" s="1067" t="s">
        <v>295</v>
      </c>
      <c r="D71" s="1067" t="s">
        <v>52</v>
      </c>
      <c r="E71" s="1067">
        <v>86</v>
      </c>
      <c r="F71" s="1067"/>
      <c r="G71" s="1067"/>
      <c r="H71" s="1067">
        <v>16</v>
      </c>
      <c r="I71" s="1067">
        <v>58</v>
      </c>
      <c r="J71" s="1067"/>
      <c r="K71" s="1067">
        <v>1</v>
      </c>
      <c r="L71" s="1067">
        <v>11</v>
      </c>
    </row>
    <row r="72" spans="1:12" x14ac:dyDescent="0.25">
      <c r="A72" s="1067" t="s">
        <v>203</v>
      </c>
      <c r="B72" s="1067" t="s">
        <v>247</v>
      </c>
      <c r="C72" s="1067" t="s">
        <v>296</v>
      </c>
      <c r="D72" s="1067" t="s">
        <v>54</v>
      </c>
      <c r="E72" s="1067">
        <v>73</v>
      </c>
      <c r="F72" s="1067"/>
      <c r="G72" s="1067"/>
      <c r="H72" s="1067">
        <v>11</v>
      </c>
      <c r="I72" s="1067">
        <v>51</v>
      </c>
      <c r="J72" s="1067"/>
      <c r="K72" s="1067">
        <v>0</v>
      </c>
      <c r="L72" s="1067">
        <v>11</v>
      </c>
    </row>
    <row r="73" spans="1:12" x14ac:dyDescent="0.25">
      <c r="A73" s="1067" t="s">
        <v>203</v>
      </c>
      <c r="B73" s="1067" t="s">
        <v>247</v>
      </c>
      <c r="C73" s="1067" t="s">
        <v>297</v>
      </c>
      <c r="D73" s="1067" t="s">
        <v>55</v>
      </c>
      <c r="E73" s="1067">
        <v>0</v>
      </c>
      <c r="F73" s="1067"/>
      <c r="G73" s="1067"/>
      <c r="H73" s="1067">
        <v>0</v>
      </c>
      <c r="I73" s="1067">
        <v>0</v>
      </c>
      <c r="J73" s="1067"/>
      <c r="K73" s="1067">
        <v>0</v>
      </c>
      <c r="L73" s="1067">
        <v>0</v>
      </c>
    </row>
    <row r="74" spans="1:12" x14ac:dyDescent="0.25">
      <c r="A74" s="1067" t="s">
        <v>203</v>
      </c>
      <c r="B74" s="1067" t="s">
        <v>247</v>
      </c>
      <c r="C74" s="1067" t="s">
        <v>298</v>
      </c>
      <c r="D74" s="1067" t="s">
        <v>56</v>
      </c>
      <c r="E74" s="1067">
        <v>60</v>
      </c>
      <c r="F74" s="1067"/>
      <c r="G74" s="1067"/>
      <c r="H74" s="1067">
        <v>9</v>
      </c>
      <c r="I74" s="1067">
        <v>43</v>
      </c>
      <c r="J74" s="1067"/>
      <c r="K74" s="1067">
        <v>0</v>
      </c>
      <c r="L74" s="1067">
        <v>8</v>
      </c>
    </row>
    <row r="75" spans="1:12" x14ac:dyDescent="0.25">
      <c r="A75" s="1067" t="s">
        <v>203</v>
      </c>
      <c r="B75" s="1067" t="s">
        <v>247</v>
      </c>
      <c r="C75" s="1067" t="s">
        <v>299</v>
      </c>
      <c r="D75" s="1067" t="s">
        <v>57</v>
      </c>
      <c r="E75" s="1067">
        <v>187</v>
      </c>
      <c r="F75" s="1067"/>
      <c r="G75" s="1067"/>
      <c r="H75" s="1067">
        <v>35</v>
      </c>
      <c r="I75" s="1067">
        <v>126</v>
      </c>
      <c r="J75" s="1067"/>
      <c r="K75" s="1067">
        <v>2</v>
      </c>
      <c r="L75" s="1067">
        <v>24</v>
      </c>
    </row>
    <row r="76" spans="1:12" x14ac:dyDescent="0.25">
      <c r="A76" s="1067" t="s">
        <v>203</v>
      </c>
      <c r="B76" s="1067" t="s">
        <v>247</v>
      </c>
      <c r="C76" s="1067" t="s">
        <v>300</v>
      </c>
      <c r="D76" s="1067" t="s">
        <v>58</v>
      </c>
      <c r="E76" s="1067">
        <v>55</v>
      </c>
      <c r="F76" s="1067"/>
      <c r="G76" s="1067"/>
      <c r="H76" s="1067">
        <v>10</v>
      </c>
      <c r="I76" s="1067">
        <v>37</v>
      </c>
      <c r="J76" s="1067"/>
      <c r="K76" s="1067">
        <v>0</v>
      </c>
      <c r="L76" s="1067">
        <v>8</v>
      </c>
    </row>
    <row r="77" spans="1:12" x14ac:dyDescent="0.25">
      <c r="A77" s="1067" t="s">
        <v>203</v>
      </c>
      <c r="B77" s="1067" t="s">
        <v>247</v>
      </c>
      <c r="C77" s="1067" t="s">
        <v>301</v>
      </c>
      <c r="D77" s="1067" t="s">
        <v>31</v>
      </c>
      <c r="E77" s="1067">
        <v>173</v>
      </c>
      <c r="F77" s="1067"/>
      <c r="G77" s="1067"/>
      <c r="H77" s="1067">
        <v>25</v>
      </c>
      <c r="I77" s="1067">
        <v>122</v>
      </c>
      <c r="J77" s="1067"/>
      <c r="K77" s="1067">
        <v>0</v>
      </c>
      <c r="L77" s="1067">
        <v>26</v>
      </c>
    </row>
    <row r="78" spans="1:12" x14ac:dyDescent="0.25">
      <c r="A78" s="1067" t="s">
        <v>203</v>
      </c>
      <c r="B78" s="1067" t="s">
        <v>247</v>
      </c>
      <c r="C78" s="1067" t="s">
        <v>302</v>
      </c>
      <c r="D78" s="1067" t="s">
        <v>32</v>
      </c>
      <c r="E78" s="1067">
        <v>23</v>
      </c>
      <c r="F78" s="1067"/>
      <c r="G78" s="1067"/>
      <c r="H78" s="1067">
        <v>3</v>
      </c>
      <c r="I78" s="1067">
        <v>18</v>
      </c>
      <c r="J78" s="1067"/>
      <c r="K78" s="1067">
        <v>0</v>
      </c>
      <c r="L78" s="1067">
        <v>2</v>
      </c>
    </row>
    <row r="79" spans="1:12" x14ac:dyDescent="0.25">
      <c r="A79" s="1067" t="s">
        <v>203</v>
      </c>
      <c r="B79" s="1067" t="s">
        <v>247</v>
      </c>
      <c r="C79" s="1067" t="s">
        <v>303</v>
      </c>
      <c r="D79" s="1067" t="s">
        <v>34</v>
      </c>
      <c r="E79" s="1067">
        <v>54</v>
      </c>
      <c r="F79" s="1067"/>
      <c r="G79" s="1067"/>
      <c r="H79" s="1067">
        <v>10</v>
      </c>
      <c r="I79" s="1067">
        <v>27</v>
      </c>
      <c r="J79" s="1067"/>
      <c r="K79" s="1067">
        <v>2</v>
      </c>
      <c r="L79" s="1067">
        <v>15</v>
      </c>
    </row>
    <row r="80" spans="1:12" x14ac:dyDescent="0.25">
      <c r="A80" s="1067" t="s">
        <v>203</v>
      </c>
      <c r="B80" s="1067" t="s">
        <v>247</v>
      </c>
      <c r="C80" s="1067" t="s">
        <v>304</v>
      </c>
      <c r="D80" s="1067" t="s">
        <v>258</v>
      </c>
      <c r="E80" s="1067">
        <v>348</v>
      </c>
      <c r="F80" s="1067"/>
      <c r="G80" s="1067"/>
      <c r="H80" s="1067">
        <v>64</v>
      </c>
      <c r="I80" s="1067">
        <v>257</v>
      </c>
      <c r="J80" s="1067"/>
      <c r="K80" s="1067">
        <v>1</v>
      </c>
      <c r="L80" s="1067">
        <v>26</v>
      </c>
    </row>
    <row r="81" spans="1:12" x14ac:dyDescent="0.25">
      <c r="A81" s="1067" t="s">
        <v>203</v>
      </c>
      <c r="B81" s="1067" t="s">
        <v>247</v>
      </c>
      <c r="C81" s="1067" t="s">
        <v>305</v>
      </c>
      <c r="D81" s="1067" t="s">
        <v>53</v>
      </c>
      <c r="E81" s="1067">
        <v>115</v>
      </c>
      <c r="F81" s="1067"/>
      <c r="G81" s="1067"/>
      <c r="H81" s="1067">
        <v>23</v>
      </c>
      <c r="I81" s="1067">
        <v>72</v>
      </c>
      <c r="J81" s="1067"/>
      <c r="K81" s="1067">
        <v>0</v>
      </c>
      <c r="L81" s="1067">
        <v>20</v>
      </c>
    </row>
    <row r="82" spans="1:12" x14ac:dyDescent="0.25">
      <c r="A82" s="1067" t="s">
        <v>203</v>
      </c>
      <c r="B82" s="1067" t="s">
        <v>247</v>
      </c>
      <c r="C82" s="1067" t="s">
        <v>306</v>
      </c>
      <c r="D82" s="1067" t="s">
        <v>59</v>
      </c>
      <c r="E82" s="1067">
        <v>74</v>
      </c>
      <c r="F82" s="1067"/>
      <c r="G82" s="1067"/>
      <c r="H82" s="1067">
        <v>20</v>
      </c>
      <c r="I82" s="1067">
        <v>45</v>
      </c>
      <c r="J82" s="1067"/>
      <c r="K82" s="1067">
        <v>0</v>
      </c>
      <c r="L82" s="1067">
        <v>9</v>
      </c>
    </row>
    <row r="83" spans="1:12" x14ac:dyDescent="0.25">
      <c r="A83" s="1067" t="s">
        <v>203</v>
      </c>
      <c r="B83" s="1067" t="s">
        <v>247</v>
      </c>
      <c r="C83" s="1067" t="s">
        <v>307</v>
      </c>
      <c r="D83" s="1067" t="s">
        <v>60</v>
      </c>
      <c r="E83" s="1067">
        <v>79</v>
      </c>
      <c r="F83" s="1067"/>
      <c r="G83" s="1067"/>
      <c r="H83" s="1067">
        <v>9</v>
      </c>
      <c r="I83" s="1067">
        <v>59</v>
      </c>
      <c r="J83" s="1067"/>
      <c r="K83" s="1067">
        <v>1</v>
      </c>
      <c r="L83" s="1067">
        <v>10</v>
      </c>
    </row>
    <row r="84" spans="1:12" x14ac:dyDescent="0.25">
      <c r="A84" s="1067" t="s">
        <v>203</v>
      </c>
      <c r="B84" s="1067" t="s">
        <v>247</v>
      </c>
      <c r="C84" s="1067" t="s">
        <v>308</v>
      </c>
      <c r="D84" s="1067" t="s">
        <v>33</v>
      </c>
      <c r="E84" s="1067">
        <v>27</v>
      </c>
      <c r="F84" s="1067"/>
      <c r="G84" s="1067"/>
      <c r="H84" s="1067">
        <v>0</v>
      </c>
      <c r="I84" s="1067">
        <v>22</v>
      </c>
      <c r="J84" s="1067"/>
      <c r="K84" s="1067">
        <v>1</v>
      </c>
      <c r="L84" s="1067">
        <v>4</v>
      </c>
    </row>
    <row r="85" spans="1:12" x14ac:dyDescent="0.25">
      <c r="A85" s="1067" t="s">
        <v>203</v>
      </c>
      <c r="B85" s="1067" t="s">
        <v>247</v>
      </c>
      <c r="C85" s="1067" t="s">
        <v>309</v>
      </c>
      <c r="D85" s="1067" t="s">
        <v>37</v>
      </c>
      <c r="E85" s="1067">
        <v>207</v>
      </c>
      <c r="F85" s="1067"/>
      <c r="G85" s="1067"/>
      <c r="H85" s="1067">
        <v>27</v>
      </c>
      <c r="I85" s="1067">
        <v>158</v>
      </c>
      <c r="J85" s="1067"/>
      <c r="K85" s="1067">
        <v>1</v>
      </c>
      <c r="L85" s="1067">
        <v>21</v>
      </c>
    </row>
    <row r="86" spans="1:12" x14ac:dyDescent="0.25">
      <c r="A86" s="1067" t="s">
        <v>203</v>
      </c>
      <c r="B86" s="1067" t="s">
        <v>247</v>
      </c>
      <c r="C86" s="1067" t="s">
        <v>310</v>
      </c>
      <c r="D86" s="1067" t="s">
        <v>50</v>
      </c>
      <c r="E86" s="1067">
        <v>187</v>
      </c>
      <c r="F86" s="1067"/>
      <c r="G86" s="1067"/>
      <c r="H86" s="1067">
        <v>37</v>
      </c>
      <c r="I86" s="1067">
        <v>125</v>
      </c>
      <c r="J86" s="1067"/>
      <c r="K86" s="1067">
        <v>1</v>
      </c>
      <c r="L86" s="1067">
        <v>24</v>
      </c>
    </row>
    <row r="87" spans="1:12" x14ac:dyDescent="0.25">
      <c r="A87" s="1067" t="s">
        <v>203</v>
      </c>
      <c r="B87" s="1067" t="s">
        <v>247</v>
      </c>
      <c r="C87" s="1067" t="s">
        <v>311</v>
      </c>
      <c r="D87" s="1067" t="s">
        <v>39</v>
      </c>
      <c r="E87" s="1067">
        <v>72</v>
      </c>
      <c r="F87" s="1067"/>
      <c r="G87" s="1067"/>
      <c r="H87" s="1067">
        <v>14</v>
      </c>
      <c r="I87" s="1067">
        <v>44</v>
      </c>
      <c r="J87" s="1067"/>
      <c r="K87" s="1067">
        <v>0</v>
      </c>
      <c r="L87" s="1067">
        <v>14</v>
      </c>
    </row>
    <row r="88" spans="1:12" x14ac:dyDescent="0.25">
      <c r="A88" s="1067" t="s">
        <v>203</v>
      </c>
      <c r="B88" s="1067" t="s">
        <v>247</v>
      </c>
      <c r="C88" s="1067" t="s">
        <v>312</v>
      </c>
      <c r="D88" s="1067" t="s">
        <v>121</v>
      </c>
      <c r="E88" s="1067">
        <v>544</v>
      </c>
      <c r="F88" s="1067"/>
      <c r="G88" s="1067"/>
      <c r="H88" s="1067">
        <v>116</v>
      </c>
      <c r="I88" s="1067">
        <v>362</v>
      </c>
      <c r="J88" s="1067"/>
      <c r="K88" s="1067">
        <v>1</v>
      </c>
      <c r="L88" s="1067">
        <v>65</v>
      </c>
    </row>
    <row r="89" spans="1:12" x14ac:dyDescent="0.25">
      <c r="A89" s="1067" t="s">
        <v>203</v>
      </c>
      <c r="B89" s="1067" t="s">
        <v>247</v>
      </c>
      <c r="C89" s="1067" t="s">
        <v>313</v>
      </c>
      <c r="D89" s="1067" t="s">
        <v>43</v>
      </c>
      <c r="E89" s="1067">
        <v>288</v>
      </c>
      <c r="F89" s="1067"/>
      <c r="G89" s="1067"/>
      <c r="H89" s="1067">
        <v>54</v>
      </c>
      <c r="I89" s="1067">
        <v>209</v>
      </c>
      <c r="J89" s="1067"/>
      <c r="K89" s="1067">
        <v>0</v>
      </c>
      <c r="L89" s="1067">
        <v>25</v>
      </c>
    </row>
    <row r="90" spans="1:12" x14ac:dyDescent="0.25">
      <c r="A90" s="1067" t="s">
        <v>203</v>
      </c>
      <c r="B90" s="1067" t="s">
        <v>248</v>
      </c>
      <c r="C90" s="1067" t="s">
        <v>369</v>
      </c>
      <c r="D90" s="1067" t="s">
        <v>31</v>
      </c>
      <c r="E90" s="1067">
        <v>18</v>
      </c>
      <c r="F90" s="1067">
        <v>1</v>
      </c>
      <c r="G90" s="1067"/>
      <c r="H90" s="1067">
        <v>0</v>
      </c>
      <c r="I90" s="1067">
        <v>0</v>
      </c>
      <c r="J90" s="1067">
        <v>3</v>
      </c>
      <c r="K90" s="1067">
        <v>7</v>
      </c>
      <c r="L90" s="1067">
        <v>7</v>
      </c>
    </row>
    <row r="91" spans="1:12" x14ac:dyDescent="0.25">
      <c r="A91" s="1067" t="s">
        <v>203</v>
      </c>
      <c r="B91" s="1067" t="s">
        <v>248</v>
      </c>
      <c r="C91" s="1067" t="s">
        <v>370</v>
      </c>
      <c r="D91" s="1067" t="s">
        <v>63</v>
      </c>
      <c r="E91" s="1067">
        <v>18</v>
      </c>
      <c r="F91" s="1067">
        <v>1</v>
      </c>
      <c r="G91" s="1067"/>
      <c r="H91" s="1067">
        <v>0</v>
      </c>
      <c r="I91" s="1067">
        <v>2</v>
      </c>
      <c r="J91" s="1067">
        <v>1</v>
      </c>
      <c r="K91" s="1067">
        <v>4</v>
      </c>
      <c r="L91" s="1067">
        <v>10</v>
      </c>
    </row>
    <row r="92" spans="1:12" x14ac:dyDescent="0.25">
      <c r="A92" s="1067" t="s">
        <v>203</v>
      </c>
      <c r="B92" s="1067" t="s">
        <v>248</v>
      </c>
      <c r="C92" s="1067" t="s">
        <v>372</v>
      </c>
      <c r="D92" s="1067" t="s">
        <v>64</v>
      </c>
      <c r="E92" s="1067">
        <v>21</v>
      </c>
      <c r="F92" s="1067">
        <v>1</v>
      </c>
      <c r="G92" s="1067"/>
      <c r="H92" s="1067">
        <v>0</v>
      </c>
      <c r="I92" s="1067">
        <v>1</v>
      </c>
      <c r="J92" s="1067">
        <v>7</v>
      </c>
      <c r="K92" s="1067">
        <v>5</v>
      </c>
      <c r="L92" s="1067">
        <v>7</v>
      </c>
    </row>
    <row r="93" spans="1:12" x14ac:dyDescent="0.25">
      <c r="A93" s="1067" t="s">
        <v>203</v>
      </c>
      <c r="B93" s="1067" t="s">
        <v>248</v>
      </c>
      <c r="C93" s="1067" t="s">
        <v>373</v>
      </c>
      <c r="D93" s="1067" t="s">
        <v>36</v>
      </c>
      <c r="E93" s="1067">
        <v>18</v>
      </c>
      <c r="F93" s="1067">
        <v>0</v>
      </c>
      <c r="G93" s="1067"/>
      <c r="H93" s="1067">
        <v>0</v>
      </c>
      <c r="I93" s="1067">
        <v>1</v>
      </c>
      <c r="J93" s="1067">
        <v>2</v>
      </c>
      <c r="K93" s="1067">
        <v>5</v>
      </c>
      <c r="L93" s="1067">
        <v>10</v>
      </c>
    </row>
    <row r="94" spans="1:12" x14ac:dyDescent="0.25">
      <c r="A94" s="1067" t="s">
        <v>203</v>
      </c>
      <c r="B94" s="1067" t="s">
        <v>248</v>
      </c>
      <c r="C94" s="1067" t="s">
        <v>374</v>
      </c>
      <c r="D94" s="1067" t="s">
        <v>66</v>
      </c>
      <c r="E94" s="1067">
        <v>20</v>
      </c>
      <c r="F94" s="1067">
        <v>1</v>
      </c>
      <c r="G94" s="1067"/>
      <c r="H94" s="1067">
        <v>0</v>
      </c>
      <c r="I94" s="1067">
        <v>0</v>
      </c>
      <c r="J94" s="1067">
        <v>7</v>
      </c>
      <c r="K94" s="1067">
        <v>7</v>
      </c>
      <c r="L94" s="1067">
        <v>5</v>
      </c>
    </row>
    <row r="95" spans="1:12" x14ac:dyDescent="0.25">
      <c r="A95" s="1067" t="s">
        <v>203</v>
      </c>
      <c r="B95" s="1067" t="s">
        <v>248</v>
      </c>
      <c r="C95" s="1067" t="s">
        <v>375</v>
      </c>
      <c r="D95" s="1067" t="s">
        <v>67</v>
      </c>
      <c r="E95" s="1067">
        <v>17</v>
      </c>
      <c r="F95" s="1067">
        <v>1</v>
      </c>
      <c r="G95" s="1067"/>
      <c r="H95" s="1067">
        <v>0</v>
      </c>
      <c r="I95" s="1067">
        <v>4</v>
      </c>
      <c r="J95" s="1067">
        <v>5</v>
      </c>
      <c r="K95" s="1067">
        <v>1</v>
      </c>
      <c r="L95" s="1067">
        <v>6</v>
      </c>
    </row>
    <row r="96" spans="1:12" x14ac:dyDescent="0.25">
      <c r="A96" s="1067" t="s">
        <v>203</v>
      </c>
      <c r="B96" s="1067" t="s">
        <v>248</v>
      </c>
      <c r="C96" s="1067" t="s">
        <v>376</v>
      </c>
      <c r="D96" s="1067" t="s">
        <v>68</v>
      </c>
      <c r="E96" s="1067">
        <v>12</v>
      </c>
      <c r="F96" s="1067">
        <v>1</v>
      </c>
      <c r="G96" s="1067"/>
      <c r="H96" s="1067">
        <v>0</v>
      </c>
      <c r="I96" s="1067">
        <v>0</v>
      </c>
      <c r="J96" s="1067">
        <v>3</v>
      </c>
      <c r="K96" s="1067">
        <v>5</v>
      </c>
      <c r="L96" s="1067">
        <v>3</v>
      </c>
    </row>
    <row r="97" spans="1:12" x14ac:dyDescent="0.25">
      <c r="A97" s="1067" t="s">
        <v>203</v>
      </c>
      <c r="B97" s="1067" t="s">
        <v>248</v>
      </c>
      <c r="C97" s="1067" t="s">
        <v>377</v>
      </c>
      <c r="D97" s="1067" t="s">
        <v>175</v>
      </c>
      <c r="E97" s="1067">
        <v>24</v>
      </c>
      <c r="F97" s="1067">
        <v>2</v>
      </c>
      <c r="G97" s="1067"/>
      <c r="H97" s="1067">
        <v>2</v>
      </c>
      <c r="I97" s="1067">
        <v>2</v>
      </c>
      <c r="J97" s="1067">
        <v>8</v>
      </c>
      <c r="K97" s="1067">
        <v>4</v>
      </c>
      <c r="L97" s="1067">
        <v>6</v>
      </c>
    </row>
    <row r="98" spans="1:12" x14ac:dyDescent="0.25">
      <c r="A98" s="1067" t="s">
        <v>203</v>
      </c>
      <c r="B98" s="1067" t="s">
        <v>248</v>
      </c>
      <c r="C98" s="1067" t="s">
        <v>378</v>
      </c>
      <c r="D98" s="1067" t="s">
        <v>69</v>
      </c>
      <c r="E98" s="1067">
        <v>13</v>
      </c>
      <c r="F98" s="1067">
        <v>1</v>
      </c>
      <c r="G98" s="1067"/>
      <c r="H98" s="1067">
        <v>0</v>
      </c>
      <c r="I98" s="1067">
        <v>1</v>
      </c>
      <c r="J98" s="1067">
        <v>3</v>
      </c>
      <c r="K98" s="1067">
        <v>3</v>
      </c>
      <c r="L98" s="1067">
        <v>5</v>
      </c>
    </row>
    <row r="99" spans="1:12" x14ac:dyDescent="0.25">
      <c r="A99" s="1067" t="s">
        <v>203</v>
      </c>
      <c r="B99" s="1067" t="s">
        <v>248</v>
      </c>
      <c r="C99" s="1067" t="s">
        <v>1074</v>
      </c>
      <c r="D99" s="1067" t="s">
        <v>121</v>
      </c>
      <c r="E99" s="1067">
        <v>25</v>
      </c>
      <c r="F99" s="1067">
        <v>1</v>
      </c>
      <c r="G99" s="1067"/>
      <c r="H99" s="1067">
        <v>1</v>
      </c>
      <c r="I99" s="1067">
        <v>2</v>
      </c>
      <c r="J99" s="1067">
        <v>4</v>
      </c>
      <c r="K99" s="1067">
        <v>8</v>
      </c>
      <c r="L99" s="1067">
        <v>9</v>
      </c>
    </row>
    <row r="100" spans="1:12" x14ac:dyDescent="0.25">
      <c r="A100" s="1067" t="s">
        <v>203</v>
      </c>
      <c r="B100" s="1067" t="s">
        <v>248</v>
      </c>
      <c r="C100" s="1067" t="s">
        <v>379</v>
      </c>
      <c r="D100" s="1067" t="s">
        <v>70</v>
      </c>
      <c r="E100" s="1067">
        <v>13</v>
      </c>
      <c r="F100" s="1067">
        <v>1</v>
      </c>
      <c r="G100" s="1067"/>
      <c r="H100" s="1067">
        <v>0</v>
      </c>
      <c r="I100" s="1067">
        <v>0</v>
      </c>
      <c r="J100" s="1067">
        <v>6</v>
      </c>
      <c r="K100" s="1067">
        <v>5</v>
      </c>
      <c r="L100" s="1067">
        <v>1</v>
      </c>
    </row>
    <row r="101" spans="1:12" x14ac:dyDescent="0.25">
      <c r="A101" s="1067" t="s">
        <v>203</v>
      </c>
      <c r="B101" s="1067" t="s">
        <v>248</v>
      </c>
      <c r="C101" s="1067" t="s">
        <v>1075</v>
      </c>
      <c r="D101" s="1067" t="s">
        <v>50</v>
      </c>
      <c r="E101" s="1067">
        <v>16</v>
      </c>
      <c r="F101" s="1067">
        <v>2</v>
      </c>
      <c r="G101" s="1067"/>
      <c r="H101" s="1067">
        <v>1</v>
      </c>
      <c r="I101" s="1067">
        <v>1</v>
      </c>
      <c r="J101" s="1067">
        <v>3</v>
      </c>
      <c r="K101" s="1067">
        <v>5</v>
      </c>
      <c r="L101" s="1067">
        <v>4</v>
      </c>
    </row>
    <row r="102" spans="1:12" x14ac:dyDescent="0.25">
      <c r="A102" s="1067" t="s">
        <v>203</v>
      </c>
      <c r="B102" s="1067" t="s">
        <v>248</v>
      </c>
      <c r="C102" s="1067" t="s">
        <v>380</v>
      </c>
      <c r="D102" s="1067" t="s">
        <v>57</v>
      </c>
      <c r="E102" s="1067">
        <v>10</v>
      </c>
      <c r="F102" s="1067">
        <v>1</v>
      </c>
      <c r="G102" s="1067"/>
      <c r="H102" s="1067">
        <v>0</v>
      </c>
      <c r="I102" s="1067">
        <v>0</v>
      </c>
      <c r="J102" s="1067">
        <v>4</v>
      </c>
      <c r="K102" s="1067">
        <v>2</v>
      </c>
      <c r="L102" s="1067">
        <v>3</v>
      </c>
    </row>
    <row r="103" spans="1:12" x14ac:dyDescent="0.25">
      <c r="A103" s="1067" t="s">
        <v>203</v>
      </c>
      <c r="B103" s="1067" t="s">
        <v>248</v>
      </c>
      <c r="C103" s="1067" t="s">
        <v>1072</v>
      </c>
      <c r="D103" s="1067" t="s">
        <v>1071</v>
      </c>
      <c r="E103" s="1067">
        <v>5</v>
      </c>
      <c r="F103" s="1067">
        <v>0</v>
      </c>
      <c r="G103" s="1067"/>
      <c r="H103" s="1067">
        <v>0</v>
      </c>
      <c r="I103" s="1067">
        <v>0</v>
      </c>
      <c r="J103" s="1067">
        <v>1</v>
      </c>
      <c r="K103" s="1067">
        <v>4</v>
      </c>
      <c r="L103" s="1067">
        <v>0</v>
      </c>
    </row>
    <row r="104" spans="1:12" x14ac:dyDescent="0.25">
      <c r="A104" s="1067" t="s">
        <v>203</v>
      </c>
      <c r="B104" s="1067" t="s">
        <v>248</v>
      </c>
      <c r="C104" s="1067" t="s">
        <v>381</v>
      </c>
      <c r="D104" s="1067" t="s">
        <v>71</v>
      </c>
      <c r="E104" s="1067">
        <v>7</v>
      </c>
      <c r="F104" s="1067">
        <v>1</v>
      </c>
      <c r="G104" s="1067"/>
      <c r="H104" s="1067">
        <v>0</v>
      </c>
      <c r="I104" s="1067">
        <v>0</v>
      </c>
      <c r="J104" s="1067">
        <v>3</v>
      </c>
      <c r="K104" s="1067">
        <v>3</v>
      </c>
      <c r="L104" s="1067">
        <v>0</v>
      </c>
    </row>
    <row r="105" spans="1:12" x14ac:dyDescent="0.25">
      <c r="A105" s="1067" t="s">
        <v>203</v>
      </c>
      <c r="B105" s="1067" t="s">
        <v>248</v>
      </c>
      <c r="C105" s="1067" t="s">
        <v>371</v>
      </c>
      <c r="D105" s="1067" t="s">
        <v>65</v>
      </c>
      <c r="E105" s="1067">
        <v>12</v>
      </c>
      <c r="F105" s="1067">
        <v>1</v>
      </c>
      <c r="G105" s="1067"/>
      <c r="H105" s="1067">
        <v>0</v>
      </c>
      <c r="I105" s="1067">
        <v>0</v>
      </c>
      <c r="J105" s="1067">
        <v>3</v>
      </c>
      <c r="K105" s="1067">
        <v>5</v>
      </c>
      <c r="L105" s="1067">
        <v>3</v>
      </c>
    </row>
    <row r="106" spans="1:12" x14ac:dyDescent="0.25">
      <c r="A106" s="1067" t="s">
        <v>203</v>
      </c>
      <c r="B106" s="1067" t="s">
        <v>248</v>
      </c>
      <c r="C106" s="1067" t="s">
        <v>1073</v>
      </c>
      <c r="D106" s="1067" t="s">
        <v>43</v>
      </c>
      <c r="E106" s="1067">
        <v>21</v>
      </c>
      <c r="F106" s="1067">
        <v>2</v>
      </c>
      <c r="G106" s="1067"/>
      <c r="H106" s="1067">
        <v>0</v>
      </c>
      <c r="I106" s="1067">
        <v>0</v>
      </c>
      <c r="J106" s="1067">
        <v>2</v>
      </c>
      <c r="K106" s="1067">
        <v>6</v>
      </c>
      <c r="L106" s="1067">
        <v>11</v>
      </c>
    </row>
    <row r="107" spans="1:12" x14ac:dyDescent="0.25">
      <c r="A107" s="1067" t="s">
        <v>203</v>
      </c>
      <c r="B107" s="1067" t="s">
        <v>249</v>
      </c>
      <c r="C107" s="1067" t="s">
        <v>403</v>
      </c>
      <c r="D107" s="1067" t="s">
        <v>173</v>
      </c>
      <c r="E107" s="1067">
        <v>105</v>
      </c>
      <c r="F107" s="1067">
        <v>2</v>
      </c>
      <c r="G107" s="1067"/>
      <c r="H107" s="1067">
        <v>9</v>
      </c>
      <c r="I107" s="1067">
        <v>0</v>
      </c>
      <c r="J107" s="1067">
        <v>15</v>
      </c>
      <c r="K107" s="1067">
        <v>4</v>
      </c>
      <c r="L107" s="1067">
        <v>75</v>
      </c>
    </row>
    <row r="108" spans="1:12" x14ac:dyDescent="0.25">
      <c r="A108" s="1067" t="s">
        <v>203</v>
      </c>
      <c r="B108" s="1067" t="s">
        <v>249</v>
      </c>
      <c r="C108" s="1067" t="s">
        <v>402</v>
      </c>
      <c r="D108" s="1067" t="s">
        <v>174</v>
      </c>
      <c r="E108" s="1067">
        <v>78</v>
      </c>
      <c r="F108" s="1067">
        <v>1</v>
      </c>
      <c r="G108" s="1067"/>
      <c r="H108" s="1067">
        <v>4</v>
      </c>
      <c r="I108" s="1067">
        <v>6</v>
      </c>
      <c r="J108" s="1067">
        <v>4</v>
      </c>
      <c r="K108" s="1067">
        <v>17</v>
      </c>
      <c r="L108" s="1067">
        <v>46</v>
      </c>
    </row>
    <row r="109" spans="1:12" x14ac:dyDescent="0.25">
      <c r="A109" s="1067" t="s">
        <v>203</v>
      </c>
      <c r="B109" s="1067" t="s">
        <v>249</v>
      </c>
      <c r="C109" s="1067" t="s">
        <v>404</v>
      </c>
      <c r="D109" s="1067" t="s">
        <v>172</v>
      </c>
      <c r="E109" s="1067">
        <v>66</v>
      </c>
      <c r="F109" s="1067">
        <v>1</v>
      </c>
      <c r="G109" s="1067"/>
      <c r="H109" s="1067">
        <v>21</v>
      </c>
      <c r="I109" s="1067">
        <v>1</v>
      </c>
      <c r="J109" s="1067">
        <v>7</v>
      </c>
      <c r="K109" s="1067">
        <v>10</v>
      </c>
      <c r="L109" s="1067">
        <v>26</v>
      </c>
    </row>
    <row r="110" spans="1:12" x14ac:dyDescent="0.25">
      <c r="A110" s="1067" t="s">
        <v>203</v>
      </c>
      <c r="B110" s="1067" t="s">
        <v>250</v>
      </c>
      <c r="C110" s="1067" t="s">
        <v>382</v>
      </c>
      <c r="D110" s="1067" t="s">
        <v>259</v>
      </c>
      <c r="E110" s="1067">
        <v>52</v>
      </c>
      <c r="F110" s="1067">
        <v>11</v>
      </c>
      <c r="G110" s="1067">
        <v>7</v>
      </c>
      <c r="H110" s="1067">
        <v>4</v>
      </c>
      <c r="I110" s="1067">
        <v>1</v>
      </c>
      <c r="J110" s="1067">
        <v>12</v>
      </c>
      <c r="K110" s="1067">
        <v>6</v>
      </c>
      <c r="L110" s="1067">
        <v>11</v>
      </c>
    </row>
    <row r="111" spans="1:12" x14ac:dyDescent="0.25">
      <c r="A111" s="1067" t="s">
        <v>202</v>
      </c>
      <c r="B111" s="1067" t="s">
        <v>247</v>
      </c>
      <c r="C111" s="1067" t="s">
        <v>282</v>
      </c>
      <c r="D111" s="1067" t="s">
        <v>35</v>
      </c>
      <c r="E111" s="1067">
        <v>26</v>
      </c>
      <c r="F111" s="1067"/>
      <c r="G111" s="1067"/>
      <c r="H111" s="1067">
        <v>5</v>
      </c>
      <c r="I111" s="1067">
        <v>17</v>
      </c>
      <c r="J111" s="1067"/>
      <c r="K111" s="1067">
        <v>0</v>
      </c>
      <c r="L111" s="1067">
        <v>4</v>
      </c>
    </row>
    <row r="112" spans="1:12" x14ac:dyDescent="0.25">
      <c r="A112" s="1067" t="s">
        <v>202</v>
      </c>
      <c r="B112" s="1067" t="s">
        <v>247</v>
      </c>
      <c r="C112" s="1067" t="s">
        <v>283</v>
      </c>
      <c r="D112" s="1067" t="s">
        <v>36</v>
      </c>
      <c r="E112" s="1067">
        <v>65</v>
      </c>
      <c r="F112" s="1067"/>
      <c r="G112" s="1067"/>
      <c r="H112" s="1067">
        <v>14</v>
      </c>
      <c r="I112" s="1067">
        <v>48</v>
      </c>
      <c r="J112" s="1067"/>
      <c r="K112" s="1067">
        <v>0</v>
      </c>
      <c r="L112" s="1067">
        <v>3</v>
      </c>
    </row>
    <row r="113" spans="1:12" x14ac:dyDescent="0.25">
      <c r="A113" s="1067" t="s">
        <v>202</v>
      </c>
      <c r="B113" s="1067" t="s">
        <v>247</v>
      </c>
      <c r="C113" s="1067" t="s">
        <v>284</v>
      </c>
      <c r="D113" s="1067" t="s">
        <v>38</v>
      </c>
      <c r="E113" s="1067">
        <v>53</v>
      </c>
      <c r="F113" s="1067"/>
      <c r="G113" s="1067"/>
      <c r="H113" s="1067">
        <v>7</v>
      </c>
      <c r="I113" s="1067">
        <v>41</v>
      </c>
      <c r="J113" s="1067"/>
      <c r="K113" s="1067">
        <v>0</v>
      </c>
      <c r="L113" s="1067">
        <v>5</v>
      </c>
    </row>
    <row r="114" spans="1:12" x14ac:dyDescent="0.25">
      <c r="A114" s="1067" t="s">
        <v>202</v>
      </c>
      <c r="B114" s="1067" t="s">
        <v>247</v>
      </c>
      <c r="C114" s="1067" t="s">
        <v>285</v>
      </c>
      <c r="D114" s="1067" t="s">
        <v>40</v>
      </c>
      <c r="E114" s="1067">
        <v>27</v>
      </c>
      <c r="F114" s="1067"/>
      <c r="G114" s="1067"/>
      <c r="H114" s="1067">
        <v>4</v>
      </c>
      <c r="I114" s="1067">
        <v>19</v>
      </c>
      <c r="J114" s="1067"/>
      <c r="K114" s="1067">
        <v>0</v>
      </c>
      <c r="L114" s="1067">
        <v>4</v>
      </c>
    </row>
    <row r="115" spans="1:12" x14ac:dyDescent="0.25">
      <c r="A115" s="1067" t="s">
        <v>202</v>
      </c>
      <c r="B115" s="1067" t="s">
        <v>247</v>
      </c>
      <c r="C115" s="1067" t="s">
        <v>286</v>
      </c>
      <c r="D115" s="1067" t="s">
        <v>41</v>
      </c>
      <c r="E115" s="1067">
        <v>53</v>
      </c>
      <c r="F115" s="1067"/>
      <c r="G115" s="1067"/>
      <c r="H115" s="1067">
        <v>10</v>
      </c>
      <c r="I115" s="1067">
        <v>34</v>
      </c>
      <c r="J115" s="1067"/>
      <c r="K115" s="1067">
        <v>0</v>
      </c>
      <c r="L115" s="1067">
        <v>9</v>
      </c>
    </row>
    <row r="116" spans="1:12" x14ac:dyDescent="0.25">
      <c r="A116" s="1067" t="s">
        <v>202</v>
      </c>
      <c r="B116" s="1067" t="s">
        <v>247</v>
      </c>
      <c r="C116" s="1067" t="s">
        <v>287</v>
      </c>
      <c r="D116" s="1067" t="s">
        <v>48</v>
      </c>
      <c r="E116" s="1067">
        <v>0</v>
      </c>
      <c r="F116" s="1067"/>
      <c r="G116" s="1067"/>
      <c r="H116" s="1067">
        <v>0</v>
      </c>
      <c r="I116" s="1067">
        <v>0</v>
      </c>
      <c r="J116" s="1067"/>
      <c r="K116" s="1067">
        <v>0</v>
      </c>
      <c r="L116" s="1067">
        <v>0</v>
      </c>
    </row>
    <row r="117" spans="1:12" x14ac:dyDescent="0.25">
      <c r="A117" s="1067" t="s">
        <v>202</v>
      </c>
      <c r="B117" s="1067" t="s">
        <v>247</v>
      </c>
      <c r="C117" s="1067" t="s">
        <v>288</v>
      </c>
      <c r="D117" s="1067" t="s">
        <v>42</v>
      </c>
      <c r="E117" s="1067">
        <v>95</v>
      </c>
      <c r="F117" s="1067"/>
      <c r="G117" s="1067"/>
      <c r="H117" s="1067">
        <v>17</v>
      </c>
      <c r="I117" s="1067">
        <v>66</v>
      </c>
      <c r="J117" s="1067"/>
      <c r="K117" s="1067">
        <v>0</v>
      </c>
      <c r="L117" s="1067">
        <v>12</v>
      </c>
    </row>
    <row r="118" spans="1:12" x14ac:dyDescent="0.25">
      <c r="A118" s="1067" t="s">
        <v>202</v>
      </c>
      <c r="B118" s="1067" t="s">
        <v>247</v>
      </c>
      <c r="C118" s="1067" t="s">
        <v>289</v>
      </c>
      <c r="D118" s="1067" t="s">
        <v>44</v>
      </c>
      <c r="E118" s="1067">
        <v>68</v>
      </c>
      <c r="F118" s="1067"/>
      <c r="G118" s="1067"/>
      <c r="H118" s="1067">
        <v>11</v>
      </c>
      <c r="I118" s="1067">
        <v>53</v>
      </c>
      <c r="J118" s="1067"/>
      <c r="K118" s="1067">
        <v>0</v>
      </c>
      <c r="L118" s="1067">
        <v>4</v>
      </c>
    </row>
    <row r="119" spans="1:12" x14ac:dyDescent="0.25">
      <c r="A119" s="1067" t="s">
        <v>202</v>
      </c>
      <c r="B119" s="1067" t="s">
        <v>247</v>
      </c>
      <c r="C119" s="1067" t="s">
        <v>290</v>
      </c>
      <c r="D119" s="1067" t="s">
        <v>45</v>
      </c>
      <c r="E119" s="1067">
        <v>70</v>
      </c>
      <c r="F119" s="1067"/>
      <c r="G119" s="1067"/>
      <c r="H119" s="1067">
        <v>12</v>
      </c>
      <c r="I119" s="1067">
        <v>48</v>
      </c>
      <c r="J119" s="1067"/>
      <c r="K119" s="1067">
        <v>1</v>
      </c>
      <c r="L119" s="1067">
        <v>9</v>
      </c>
    </row>
    <row r="120" spans="1:12" x14ac:dyDescent="0.25">
      <c r="A120" s="1067" t="s">
        <v>202</v>
      </c>
      <c r="B120" s="1067" t="s">
        <v>247</v>
      </c>
      <c r="C120" s="1067" t="s">
        <v>291</v>
      </c>
      <c r="D120" s="1067" t="s">
        <v>46</v>
      </c>
      <c r="E120" s="1067">
        <v>23</v>
      </c>
      <c r="F120" s="1067"/>
      <c r="G120" s="1067"/>
      <c r="H120" s="1067">
        <v>4</v>
      </c>
      <c r="I120" s="1067">
        <v>16</v>
      </c>
      <c r="J120" s="1067"/>
      <c r="K120" s="1067">
        <v>0</v>
      </c>
      <c r="L120" s="1067">
        <v>3</v>
      </c>
    </row>
    <row r="121" spans="1:12" x14ac:dyDescent="0.25">
      <c r="A121" s="1067" t="s">
        <v>202</v>
      </c>
      <c r="B121" s="1067" t="s">
        <v>247</v>
      </c>
      <c r="C121" s="1067" t="s">
        <v>292</v>
      </c>
      <c r="D121" s="1067" t="s">
        <v>47</v>
      </c>
      <c r="E121" s="1067">
        <v>31</v>
      </c>
      <c r="F121" s="1067"/>
      <c r="G121" s="1067"/>
      <c r="H121" s="1067">
        <v>5</v>
      </c>
      <c r="I121" s="1067">
        <v>21</v>
      </c>
      <c r="J121" s="1067"/>
      <c r="K121" s="1067">
        <v>0</v>
      </c>
      <c r="L121" s="1067">
        <v>5</v>
      </c>
    </row>
    <row r="122" spans="1:12" x14ac:dyDescent="0.25">
      <c r="A122" s="1067" t="s">
        <v>202</v>
      </c>
      <c r="B122" s="1067" t="s">
        <v>247</v>
      </c>
      <c r="C122" s="1067" t="s">
        <v>293</v>
      </c>
      <c r="D122" s="1067" t="s">
        <v>49</v>
      </c>
      <c r="E122" s="1067">
        <v>78</v>
      </c>
      <c r="F122" s="1067"/>
      <c r="G122" s="1067"/>
      <c r="H122" s="1067">
        <v>14</v>
      </c>
      <c r="I122" s="1067">
        <v>52</v>
      </c>
      <c r="J122" s="1067"/>
      <c r="K122" s="1067">
        <v>0</v>
      </c>
      <c r="L122" s="1067">
        <v>12</v>
      </c>
    </row>
    <row r="123" spans="1:12" x14ac:dyDescent="0.25">
      <c r="A123" s="1067" t="s">
        <v>202</v>
      </c>
      <c r="B123" s="1067" t="s">
        <v>247</v>
      </c>
      <c r="C123" s="1067" t="s">
        <v>294</v>
      </c>
      <c r="D123" s="1067" t="s">
        <v>51</v>
      </c>
      <c r="E123" s="1067">
        <v>0</v>
      </c>
      <c r="F123" s="1067"/>
      <c r="G123" s="1067"/>
      <c r="H123" s="1067">
        <v>0</v>
      </c>
      <c r="I123" s="1067">
        <v>0</v>
      </c>
      <c r="J123" s="1067"/>
      <c r="K123" s="1067">
        <v>0</v>
      </c>
      <c r="L123" s="1067">
        <v>0</v>
      </c>
    </row>
    <row r="124" spans="1:12" x14ac:dyDescent="0.25">
      <c r="A124" s="1067" t="s">
        <v>202</v>
      </c>
      <c r="B124" s="1067" t="s">
        <v>247</v>
      </c>
      <c r="C124" s="1067" t="s">
        <v>295</v>
      </c>
      <c r="D124" s="1067" t="s">
        <v>52</v>
      </c>
      <c r="E124" s="1067">
        <v>73</v>
      </c>
      <c r="F124" s="1067"/>
      <c r="G124" s="1067"/>
      <c r="H124" s="1067">
        <v>13</v>
      </c>
      <c r="I124" s="1067">
        <v>56</v>
      </c>
      <c r="J124" s="1067"/>
      <c r="K124" s="1067">
        <v>0</v>
      </c>
      <c r="L124" s="1067">
        <v>4</v>
      </c>
    </row>
    <row r="125" spans="1:12" x14ac:dyDescent="0.25">
      <c r="A125" s="1067" t="s">
        <v>202</v>
      </c>
      <c r="B125" s="1067" t="s">
        <v>247</v>
      </c>
      <c r="C125" s="1067" t="s">
        <v>296</v>
      </c>
      <c r="D125" s="1067" t="s">
        <v>54</v>
      </c>
      <c r="E125" s="1067">
        <v>71</v>
      </c>
      <c r="F125" s="1067"/>
      <c r="G125" s="1067"/>
      <c r="H125" s="1067">
        <v>12</v>
      </c>
      <c r="I125" s="1067">
        <v>50</v>
      </c>
      <c r="J125" s="1067"/>
      <c r="K125" s="1067">
        <v>0</v>
      </c>
      <c r="L125" s="1067">
        <v>9</v>
      </c>
    </row>
    <row r="126" spans="1:12" x14ac:dyDescent="0.25">
      <c r="A126" s="1067" t="s">
        <v>202</v>
      </c>
      <c r="B126" s="1067" t="s">
        <v>247</v>
      </c>
      <c r="C126" s="1067" t="s">
        <v>297</v>
      </c>
      <c r="D126" s="1067" t="s">
        <v>55</v>
      </c>
      <c r="E126" s="1067">
        <v>0</v>
      </c>
      <c r="F126" s="1067"/>
      <c r="G126" s="1067"/>
      <c r="H126" s="1067">
        <v>0</v>
      </c>
      <c r="I126" s="1067">
        <v>0</v>
      </c>
      <c r="J126" s="1067"/>
      <c r="K126" s="1067">
        <v>0</v>
      </c>
      <c r="L126" s="1067">
        <v>0</v>
      </c>
    </row>
    <row r="127" spans="1:12" x14ac:dyDescent="0.25">
      <c r="A127" s="1067" t="s">
        <v>202</v>
      </c>
      <c r="B127" s="1067" t="s">
        <v>247</v>
      </c>
      <c r="C127" s="1067" t="s">
        <v>298</v>
      </c>
      <c r="D127" s="1067" t="s">
        <v>56</v>
      </c>
      <c r="E127" s="1067">
        <v>55</v>
      </c>
      <c r="F127" s="1067"/>
      <c r="G127" s="1067"/>
      <c r="H127" s="1067">
        <v>10</v>
      </c>
      <c r="I127" s="1067">
        <v>40</v>
      </c>
      <c r="J127" s="1067"/>
      <c r="K127" s="1067">
        <v>0</v>
      </c>
      <c r="L127" s="1067">
        <v>5</v>
      </c>
    </row>
    <row r="128" spans="1:12" x14ac:dyDescent="0.25">
      <c r="A128" s="1067" t="s">
        <v>202</v>
      </c>
      <c r="B128" s="1067" t="s">
        <v>247</v>
      </c>
      <c r="C128" s="1067" t="s">
        <v>299</v>
      </c>
      <c r="D128" s="1067" t="s">
        <v>57</v>
      </c>
      <c r="E128" s="1067">
        <v>178</v>
      </c>
      <c r="F128" s="1067"/>
      <c r="G128" s="1067"/>
      <c r="H128" s="1067">
        <v>28</v>
      </c>
      <c r="I128" s="1067">
        <v>132</v>
      </c>
      <c r="J128" s="1067"/>
      <c r="K128" s="1067">
        <v>0</v>
      </c>
      <c r="L128" s="1067">
        <v>18</v>
      </c>
    </row>
    <row r="129" spans="1:12" x14ac:dyDescent="0.25">
      <c r="A129" s="1067" t="s">
        <v>202</v>
      </c>
      <c r="B129" s="1067" t="s">
        <v>247</v>
      </c>
      <c r="C129" s="1067" t="s">
        <v>300</v>
      </c>
      <c r="D129" s="1067" t="s">
        <v>58</v>
      </c>
      <c r="E129" s="1067">
        <v>51</v>
      </c>
      <c r="F129" s="1067"/>
      <c r="G129" s="1067"/>
      <c r="H129" s="1067">
        <v>9</v>
      </c>
      <c r="I129" s="1067">
        <v>40</v>
      </c>
      <c r="J129" s="1067"/>
      <c r="K129" s="1067">
        <v>0</v>
      </c>
      <c r="L129" s="1067">
        <v>2</v>
      </c>
    </row>
    <row r="130" spans="1:12" x14ac:dyDescent="0.25">
      <c r="A130" s="1067" t="s">
        <v>202</v>
      </c>
      <c r="B130" s="1067" t="s">
        <v>247</v>
      </c>
      <c r="C130" s="1067" t="s">
        <v>301</v>
      </c>
      <c r="D130" s="1067" t="s">
        <v>31</v>
      </c>
      <c r="E130" s="1067">
        <v>144</v>
      </c>
      <c r="F130" s="1067"/>
      <c r="G130" s="1067"/>
      <c r="H130" s="1067">
        <v>22</v>
      </c>
      <c r="I130" s="1067">
        <v>109</v>
      </c>
      <c r="J130" s="1067"/>
      <c r="K130" s="1067">
        <v>0</v>
      </c>
      <c r="L130" s="1067">
        <v>13</v>
      </c>
    </row>
    <row r="131" spans="1:12" x14ac:dyDescent="0.25">
      <c r="A131" s="1067" t="s">
        <v>202</v>
      </c>
      <c r="B131" s="1067" t="s">
        <v>247</v>
      </c>
      <c r="C131" s="1067" t="s">
        <v>302</v>
      </c>
      <c r="D131" s="1067" t="s">
        <v>32</v>
      </c>
      <c r="E131" s="1067">
        <v>32</v>
      </c>
      <c r="F131" s="1067"/>
      <c r="G131" s="1067"/>
      <c r="H131" s="1067">
        <v>6</v>
      </c>
      <c r="I131" s="1067">
        <v>22</v>
      </c>
      <c r="J131" s="1067"/>
      <c r="K131" s="1067">
        <v>0</v>
      </c>
      <c r="L131" s="1067">
        <v>4</v>
      </c>
    </row>
    <row r="132" spans="1:12" x14ac:dyDescent="0.25">
      <c r="A132" s="1067" t="s">
        <v>202</v>
      </c>
      <c r="B132" s="1067" t="s">
        <v>247</v>
      </c>
      <c r="C132" s="1067" t="s">
        <v>303</v>
      </c>
      <c r="D132" s="1067" t="s">
        <v>34</v>
      </c>
      <c r="E132" s="1067">
        <v>55</v>
      </c>
      <c r="F132" s="1067"/>
      <c r="G132" s="1067"/>
      <c r="H132" s="1067">
        <v>8</v>
      </c>
      <c r="I132" s="1067">
        <v>37</v>
      </c>
      <c r="J132" s="1067"/>
      <c r="K132" s="1067">
        <v>0</v>
      </c>
      <c r="L132" s="1067">
        <v>10</v>
      </c>
    </row>
    <row r="133" spans="1:12" x14ac:dyDescent="0.25">
      <c r="A133" s="1067" t="s">
        <v>202</v>
      </c>
      <c r="B133" s="1067" t="s">
        <v>247</v>
      </c>
      <c r="C133" s="1067" t="s">
        <v>304</v>
      </c>
      <c r="D133" s="1067" t="s">
        <v>258</v>
      </c>
      <c r="E133" s="1067">
        <v>315</v>
      </c>
      <c r="F133" s="1067"/>
      <c r="G133" s="1067"/>
      <c r="H133" s="1067">
        <v>48</v>
      </c>
      <c r="I133" s="1067">
        <v>248</v>
      </c>
      <c r="J133" s="1067"/>
      <c r="K133" s="1067">
        <v>0</v>
      </c>
      <c r="L133" s="1067">
        <v>19</v>
      </c>
    </row>
    <row r="134" spans="1:12" x14ac:dyDescent="0.25">
      <c r="A134" s="1067" t="s">
        <v>202</v>
      </c>
      <c r="B134" s="1067" t="s">
        <v>247</v>
      </c>
      <c r="C134" s="1067" t="s">
        <v>305</v>
      </c>
      <c r="D134" s="1067" t="s">
        <v>53</v>
      </c>
      <c r="E134" s="1067">
        <v>92</v>
      </c>
      <c r="F134" s="1067"/>
      <c r="G134" s="1067"/>
      <c r="H134" s="1067">
        <v>15</v>
      </c>
      <c r="I134" s="1067">
        <v>62</v>
      </c>
      <c r="J134" s="1067"/>
      <c r="K134" s="1067">
        <v>0</v>
      </c>
      <c r="L134" s="1067">
        <v>15</v>
      </c>
    </row>
    <row r="135" spans="1:12" x14ac:dyDescent="0.25">
      <c r="A135" s="1067" t="s">
        <v>202</v>
      </c>
      <c r="B135" s="1067" t="s">
        <v>247</v>
      </c>
      <c r="C135" s="1067" t="s">
        <v>306</v>
      </c>
      <c r="D135" s="1067" t="s">
        <v>59</v>
      </c>
      <c r="E135" s="1067">
        <v>70</v>
      </c>
      <c r="F135" s="1067"/>
      <c r="G135" s="1067"/>
      <c r="H135" s="1067">
        <v>11</v>
      </c>
      <c r="I135" s="1067">
        <v>49</v>
      </c>
      <c r="J135" s="1067"/>
      <c r="K135" s="1067">
        <v>0</v>
      </c>
      <c r="L135" s="1067">
        <v>10</v>
      </c>
    </row>
    <row r="136" spans="1:12" x14ac:dyDescent="0.25">
      <c r="A136" s="1067" t="s">
        <v>202</v>
      </c>
      <c r="B136" s="1067" t="s">
        <v>247</v>
      </c>
      <c r="C136" s="1067" t="s">
        <v>307</v>
      </c>
      <c r="D136" s="1067" t="s">
        <v>60</v>
      </c>
      <c r="E136" s="1067">
        <v>61</v>
      </c>
      <c r="F136" s="1067"/>
      <c r="G136" s="1067"/>
      <c r="H136" s="1067">
        <v>9</v>
      </c>
      <c r="I136" s="1067">
        <v>44</v>
      </c>
      <c r="J136" s="1067"/>
      <c r="K136" s="1067">
        <v>0</v>
      </c>
      <c r="L136" s="1067">
        <v>8</v>
      </c>
    </row>
    <row r="137" spans="1:12" x14ac:dyDescent="0.25">
      <c r="A137" s="1067" t="s">
        <v>202</v>
      </c>
      <c r="B137" s="1067" t="s">
        <v>247</v>
      </c>
      <c r="C137" s="1067" t="s">
        <v>308</v>
      </c>
      <c r="D137" s="1067" t="s">
        <v>33</v>
      </c>
      <c r="E137" s="1067">
        <v>36</v>
      </c>
      <c r="F137" s="1067"/>
      <c r="G137" s="1067"/>
      <c r="H137" s="1067">
        <v>8</v>
      </c>
      <c r="I137" s="1067">
        <v>25</v>
      </c>
      <c r="J137" s="1067"/>
      <c r="K137" s="1067">
        <v>0</v>
      </c>
      <c r="L137" s="1067">
        <v>3</v>
      </c>
    </row>
    <row r="138" spans="1:12" x14ac:dyDescent="0.25">
      <c r="A138" s="1067" t="s">
        <v>202</v>
      </c>
      <c r="B138" s="1067" t="s">
        <v>247</v>
      </c>
      <c r="C138" s="1067" t="s">
        <v>309</v>
      </c>
      <c r="D138" s="1067" t="s">
        <v>37</v>
      </c>
      <c r="E138" s="1067">
        <v>176</v>
      </c>
      <c r="F138" s="1067"/>
      <c r="G138" s="1067"/>
      <c r="H138" s="1067">
        <v>26</v>
      </c>
      <c r="I138" s="1067">
        <v>135</v>
      </c>
      <c r="J138" s="1067"/>
      <c r="K138" s="1067">
        <v>1</v>
      </c>
      <c r="L138" s="1067">
        <v>14</v>
      </c>
    </row>
    <row r="139" spans="1:12" x14ac:dyDescent="0.25">
      <c r="A139" s="1067" t="s">
        <v>202</v>
      </c>
      <c r="B139" s="1067" t="s">
        <v>247</v>
      </c>
      <c r="C139" s="1067" t="s">
        <v>310</v>
      </c>
      <c r="D139" s="1067" t="s">
        <v>50</v>
      </c>
      <c r="E139" s="1067">
        <v>180</v>
      </c>
      <c r="F139" s="1067"/>
      <c r="G139" s="1067"/>
      <c r="H139" s="1067">
        <v>28</v>
      </c>
      <c r="I139" s="1067">
        <v>136</v>
      </c>
      <c r="J139" s="1067"/>
      <c r="K139" s="1067">
        <v>0</v>
      </c>
      <c r="L139" s="1067">
        <v>16</v>
      </c>
    </row>
    <row r="140" spans="1:12" x14ac:dyDescent="0.25">
      <c r="A140" s="1067" t="s">
        <v>202</v>
      </c>
      <c r="B140" s="1067" t="s">
        <v>247</v>
      </c>
      <c r="C140" s="1067" t="s">
        <v>311</v>
      </c>
      <c r="D140" s="1067" t="s">
        <v>39</v>
      </c>
      <c r="E140" s="1067">
        <v>70</v>
      </c>
      <c r="F140" s="1067"/>
      <c r="G140" s="1067"/>
      <c r="H140" s="1067">
        <v>9</v>
      </c>
      <c r="I140" s="1067">
        <v>46</v>
      </c>
      <c r="J140" s="1067"/>
      <c r="K140" s="1067">
        <v>0</v>
      </c>
      <c r="L140" s="1067">
        <v>15</v>
      </c>
    </row>
    <row r="141" spans="1:12" x14ac:dyDescent="0.25">
      <c r="A141" s="1067" t="s">
        <v>202</v>
      </c>
      <c r="B141" s="1067" t="s">
        <v>247</v>
      </c>
      <c r="C141" s="1067" t="s">
        <v>312</v>
      </c>
      <c r="D141" s="1067" t="s">
        <v>121</v>
      </c>
      <c r="E141" s="1067">
        <v>499</v>
      </c>
      <c r="F141" s="1067"/>
      <c r="G141" s="1067"/>
      <c r="H141" s="1067">
        <v>99</v>
      </c>
      <c r="I141" s="1067">
        <v>350</v>
      </c>
      <c r="J141" s="1067"/>
      <c r="K141" s="1067">
        <v>0</v>
      </c>
      <c r="L141" s="1067">
        <v>50</v>
      </c>
    </row>
    <row r="142" spans="1:12" x14ac:dyDescent="0.25">
      <c r="A142" s="1067" t="s">
        <v>202</v>
      </c>
      <c r="B142" s="1067" t="s">
        <v>247</v>
      </c>
      <c r="C142" s="1067" t="s">
        <v>313</v>
      </c>
      <c r="D142" s="1067" t="s">
        <v>43</v>
      </c>
      <c r="E142" s="1067">
        <v>278</v>
      </c>
      <c r="F142" s="1067"/>
      <c r="G142" s="1067"/>
      <c r="H142" s="1067">
        <v>47</v>
      </c>
      <c r="I142" s="1067">
        <v>211</v>
      </c>
      <c r="J142" s="1067"/>
      <c r="K142" s="1067">
        <v>0</v>
      </c>
      <c r="L142" s="1067">
        <v>20</v>
      </c>
    </row>
    <row r="143" spans="1:12" x14ac:dyDescent="0.25">
      <c r="A143" s="1067" t="s">
        <v>202</v>
      </c>
      <c r="B143" s="1067" t="s">
        <v>248</v>
      </c>
      <c r="C143" s="1067" t="s">
        <v>369</v>
      </c>
      <c r="D143" s="1067" t="s">
        <v>31</v>
      </c>
      <c r="E143" s="1067">
        <v>16</v>
      </c>
      <c r="F143" s="1067">
        <v>1</v>
      </c>
      <c r="G143" s="1067"/>
      <c r="H143" s="1067">
        <v>0</v>
      </c>
      <c r="I143" s="1067">
        <v>3</v>
      </c>
      <c r="J143" s="1067">
        <v>3</v>
      </c>
      <c r="K143" s="1067">
        <v>2</v>
      </c>
      <c r="L143" s="1067">
        <v>7</v>
      </c>
    </row>
    <row r="144" spans="1:12" x14ac:dyDescent="0.25">
      <c r="A144" s="1067" t="s">
        <v>202</v>
      </c>
      <c r="B144" s="1067" t="s">
        <v>248</v>
      </c>
      <c r="C144" s="1067" t="s">
        <v>370</v>
      </c>
      <c r="D144" s="1067" t="s">
        <v>63</v>
      </c>
      <c r="E144" s="1067">
        <v>27</v>
      </c>
      <c r="F144" s="1067">
        <v>1</v>
      </c>
      <c r="G144" s="1067"/>
      <c r="H144" s="1067">
        <v>7</v>
      </c>
      <c r="I144" s="1067">
        <v>1</v>
      </c>
      <c r="J144" s="1067">
        <v>2</v>
      </c>
      <c r="K144" s="1067">
        <v>6</v>
      </c>
      <c r="L144" s="1067">
        <v>10</v>
      </c>
    </row>
    <row r="145" spans="1:12" x14ac:dyDescent="0.25">
      <c r="A145" s="1067" t="s">
        <v>202</v>
      </c>
      <c r="B145" s="1067" t="s">
        <v>248</v>
      </c>
      <c r="C145" s="1067" t="s">
        <v>372</v>
      </c>
      <c r="D145" s="1067" t="s">
        <v>64</v>
      </c>
      <c r="E145" s="1067">
        <v>25</v>
      </c>
      <c r="F145" s="1067">
        <v>1</v>
      </c>
      <c r="G145" s="1067"/>
      <c r="H145" s="1067">
        <v>2</v>
      </c>
      <c r="I145" s="1067">
        <v>4</v>
      </c>
      <c r="J145" s="1067">
        <v>5</v>
      </c>
      <c r="K145" s="1067">
        <v>7</v>
      </c>
      <c r="L145" s="1067">
        <v>6</v>
      </c>
    </row>
    <row r="146" spans="1:12" x14ac:dyDescent="0.25">
      <c r="A146" s="1067" t="s">
        <v>202</v>
      </c>
      <c r="B146" s="1067" t="s">
        <v>248</v>
      </c>
      <c r="C146" s="1067" t="s">
        <v>373</v>
      </c>
      <c r="D146" s="1067" t="s">
        <v>36</v>
      </c>
      <c r="E146" s="1067">
        <v>19</v>
      </c>
      <c r="F146" s="1067">
        <v>0</v>
      </c>
      <c r="G146" s="1067"/>
      <c r="H146" s="1067">
        <v>0</v>
      </c>
      <c r="I146" s="1067">
        <v>2</v>
      </c>
      <c r="J146" s="1067">
        <v>2</v>
      </c>
      <c r="K146" s="1067">
        <v>5</v>
      </c>
      <c r="L146" s="1067">
        <v>10</v>
      </c>
    </row>
    <row r="147" spans="1:12" x14ac:dyDescent="0.25">
      <c r="A147" s="1067" t="s">
        <v>202</v>
      </c>
      <c r="B147" s="1067" t="s">
        <v>248</v>
      </c>
      <c r="C147" s="1067" t="s">
        <v>374</v>
      </c>
      <c r="D147" s="1067" t="s">
        <v>66</v>
      </c>
      <c r="E147" s="1067">
        <v>29</v>
      </c>
      <c r="F147" s="1067">
        <v>1</v>
      </c>
      <c r="G147" s="1067"/>
      <c r="H147" s="1067">
        <v>4</v>
      </c>
      <c r="I147" s="1067">
        <v>2</v>
      </c>
      <c r="J147" s="1067">
        <v>6</v>
      </c>
      <c r="K147" s="1067">
        <v>7</v>
      </c>
      <c r="L147" s="1067">
        <v>9</v>
      </c>
    </row>
    <row r="148" spans="1:12" x14ac:dyDescent="0.25">
      <c r="A148" s="1067" t="s">
        <v>202</v>
      </c>
      <c r="B148" s="1067" t="s">
        <v>248</v>
      </c>
      <c r="C148" s="1067" t="s">
        <v>375</v>
      </c>
      <c r="D148" s="1067" t="s">
        <v>67</v>
      </c>
      <c r="E148" s="1067">
        <v>38</v>
      </c>
      <c r="F148" s="1067">
        <v>1</v>
      </c>
      <c r="G148" s="1067"/>
      <c r="H148" s="1067">
        <v>10</v>
      </c>
      <c r="I148" s="1067">
        <v>5</v>
      </c>
      <c r="J148" s="1067">
        <v>5</v>
      </c>
      <c r="K148" s="1067">
        <v>6</v>
      </c>
      <c r="L148" s="1067">
        <v>11</v>
      </c>
    </row>
    <row r="149" spans="1:12" x14ac:dyDescent="0.25">
      <c r="A149" s="1067" t="s">
        <v>202</v>
      </c>
      <c r="B149" s="1067" t="s">
        <v>248</v>
      </c>
      <c r="C149" s="1067" t="s">
        <v>376</v>
      </c>
      <c r="D149" s="1067" t="s">
        <v>68</v>
      </c>
      <c r="E149" s="1067">
        <v>17</v>
      </c>
      <c r="F149" s="1067">
        <v>1</v>
      </c>
      <c r="G149" s="1067"/>
      <c r="H149" s="1067">
        <v>1</v>
      </c>
      <c r="I149" s="1067">
        <v>3</v>
      </c>
      <c r="J149" s="1067">
        <v>2</v>
      </c>
      <c r="K149" s="1067">
        <v>3</v>
      </c>
      <c r="L149" s="1067">
        <v>7</v>
      </c>
    </row>
    <row r="150" spans="1:12" x14ac:dyDescent="0.25">
      <c r="A150" s="1067" t="s">
        <v>202</v>
      </c>
      <c r="B150" s="1067" t="s">
        <v>248</v>
      </c>
      <c r="C150" s="1067" t="s">
        <v>377</v>
      </c>
      <c r="D150" s="1067" t="s">
        <v>175</v>
      </c>
      <c r="E150" s="1067">
        <v>27</v>
      </c>
      <c r="F150" s="1067">
        <v>0</v>
      </c>
      <c r="G150" s="1067"/>
      <c r="H150" s="1067">
        <v>5</v>
      </c>
      <c r="I150" s="1067">
        <v>4</v>
      </c>
      <c r="J150" s="1067">
        <v>7</v>
      </c>
      <c r="K150" s="1067">
        <v>2</v>
      </c>
      <c r="L150" s="1067">
        <v>9</v>
      </c>
    </row>
    <row r="151" spans="1:12" x14ac:dyDescent="0.25">
      <c r="A151" s="1067" t="s">
        <v>202</v>
      </c>
      <c r="B151" s="1067" t="s">
        <v>248</v>
      </c>
      <c r="C151" s="1067" t="s">
        <v>378</v>
      </c>
      <c r="D151" s="1067" t="s">
        <v>69</v>
      </c>
      <c r="E151" s="1067">
        <v>16</v>
      </c>
      <c r="F151" s="1067">
        <v>1</v>
      </c>
      <c r="G151" s="1067"/>
      <c r="H151" s="1067">
        <v>1</v>
      </c>
      <c r="I151" s="1067">
        <v>2</v>
      </c>
      <c r="J151" s="1067">
        <v>2</v>
      </c>
      <c r="K151" s="1067">
        <v>3</v>
      </c>
      <c r="L151" s="1067">
        <v>7</v>
      </c>
    </row>
    <row r="152" spans="1:12" x14ac:dyDescent="0.25">
      <c r="A152" s="1067" t="s">
        <v>202</v>
      </c>
      <c r="B152" s="1067" t="s">
        <v>248</v>
      </c>
      <c r="C152" s="1067" t="s">
        <v>1074</v>
      </c>
      <c r="D152" s="1067" t="s">
        <v>121</v>
      </c>
      <c r="E152" s="1067">
        <v>32</v>
      </c>
      <c r="F152" s="1067">
        <v>1</v>
      </c>
      <c r="G152" s="1067"/>
      <c r="H152" s="1067">
        <v>1</v>
      </c>
      <c r="I152" s="1067">
        <v>2</v>
      </c>
      <c r="J152" s="1067">
        <v>5</v>
      </c>
      <c r="K152" s="1067">
        <v>8</v>
      </c>
      <c r="L152" s="1067">
        <v>15</v>
      </c>
    </row>
    <row r="153" spans="1:12" x14ac:dyDescent="0.25">
      <c r="A153" s="1067" t="s">
        <v>202</v>
      </c>
      <c r="B153" s="1067" t="s">
        <v>248</v>
      </c>
      <c r="C153" s="1067" t="s">
        <v>379</v>
      </c>
      <c r="D153" s="1067" t="s">
        <v>70</v>
      </c>
      <c r="E153" s="1067">
        <v>29</v>
      </c>
      <c r="F153" s="1067">
        <v>1</v>
      </c>
      <c r="G153" s="1067"/>
      <c r="H153" s="1067">
        <v>7</v>
      </c>
      <c r="I153" s="1067">
        <v>0</v>
      </c>
      <c r="J153" s="1067">
        <v>6</v>
      </c>
      <c r="K153" s="1067">
        <v>8</v>
      </c>
      <c r="L153" s="1067">
        <v>7</v>
      </c>
    </row>
    <row r="154" spans="1:12" x14ac:dyDescent="0.25">
      <c r="A154" s="1067" t="s">
        <v>202</v>
      </c>
      <c r="B154" s="1067" t="s">
        <v>248</v>
      </c>
      <c r="C154" s="1067" t="s">
        <v>1075</v>
      </c>
      <c r="D154" s="1067" t="s">
        <v>50</v>
      </c>
      <c r="E154" s="1067">
        <v>20</v>
      </c>
      <c r="F154" s="1067">
        <v>1</v>
      </c>
      <c r="G154" s="1067"/>
      <c r="H154" s="1067">
        <v>3</v>
      </c>
      <c r="I154" s="1067">
        <v>0</v>
      </c>
      <c r="J154" s="1067">
        <v>3</v>
      </c>
      <c r="K154" s="1067">
        <v>4</v>
      </c>
      <c r="L154" s="1067">
        <v>9</v>
      </c>
    </row>
    <row r="155" spans="1:12" x14ac:dyDescent="0.25">
      <c r="A155" s="1067" t="s">
        <v>202</v>
      </c>
      <c r="B155" s="1067" t="s">
        <v>248</v>
      </c>
      <c r="C155" s="1067" t="s">
        <v>380</v>
      </c>
      <c r="D155" s="1067" t="s">
        <v>57</v>
      </c>
      <c r="E155" s="1067">
        <v>16</v>
      </c>
      <c r="F155" s="1067">
        <v>1</v>
      </c>
      <c r="G155" s="1067"/>
      <c r="H155" s="1067">
        <v>3</v>
      </c>
      <c r="I155" s="1067">
        <v>1</v>
      </c>
      <c r="J155" s="1067">
        <v>3</v>
      </c>
      <c r="K155" s="1067">
        <v>5</v>
      </c>
      <c r="L155" s="1067">
        <v>3</v>
      </c>
    </row>
    <row r="156" spans="1:12" x14ac:dyDescent="0.25">
      <c r="A156" s="1067" t="s">
        <v>202</v>
      </c>
      <c r="B156" s="1067" t="s">
        <v>248</v>
      </c>
      <c r="C156" s="1067" t="s">
        <v>1072</v>
      </c>
      <c r="D156" s="1067" t="s">
        <v>1071</v>
      </c>
      <c r="E156" s="1067">
        <v>13</v>
      </c>
      <c r="F156" s="1067">
        <v>0</v>
      </c>
      <c r="G156" s="1067"/>
      <c r="H156" s="1067">
        <v>2</v>
      </c>
      <c r="I156" s="1067">
        <v>1</v>
      </c>
      <c r="J156" s="1067">
        <v>2</v>
      </c>
      <c r="K156" s="1067">
        <v>5</v>
      </c>
      <c r="L156" s="1067">
        <v>3</v>
      </c>
    </row>
    <row r="157" spans="1:12" x14ac:dyDescent="0.25">
      <c r="A157" s="1067" t="s">
        <v>202</v>
      </c>
      <c r="B157" s="1067" t="s">
        <v>248</v>
      </c>
      <c r="C157" s="1067" t="s">
        <v>381</v>
      </c>
      <c r="D157" s="1067" t="s">
        <v>71</v>
      </c>
      <c r="E157" s="1067">
        <v>11</v>
      </c>
      <c r="F157" s="1067">
        <v>1</v>
      </c>
      <c r="G157" s="1067"/>
      <c r="H157" s="1067">
        <v>1</v>
      </c>
      <c r="I157" s="1067">
        <v>0</v>
      </c>
      <c r="J157" s="1067">
        <v>3</v>
      </c>
      <c r="K157" s="1067">
        <v>5</v>
      </c>
      <c r="L157" s="1067">
        <v>1</v>
      </c>
    </row>
    <row r="158" spans="1:12" x14ac:dyDescent="0.25">
      <c r="A158" s="1067" t="s">
        <v>202</v>
      </c>
      <c r="B158" s="1067" t="s">
        <v>248</v>
      </c>
      <c r="C158" s="1067" t="s">
        <v>371</v>
      </c>
      <c r="D158" s="1067" t="s">
        <v>65</v>
      </c>
      <c r="E158" s="1067">
        <v>24</v>
      </c>
      <c r="F158" s="1067">
        <v>1</v>
      </c>
      <c r="G158" s="1067"/>
      <c r="H158" s="1067">
        <v>0</v>
      </c>
      <c r="I158" s="1067">
        <v>1</v>
      </c>
      <c r="J158" s="1067">
        <v>4</v>
      </c>
      <c r="K158" s="1067">
        <v>10</v>
      </c>
      <c r="L158" s="1067">
        <v>8</v>
      </c>
    </row>
    <row r="159" spans="1:12" x14ac:dyDescent="0.25">
      <c r="A159" s="1067" t="s">
        <v>202</v>
      </c>
      <c r="B159" s="1067" t="s">
        <v>248</v>
      </c>
      <c r="C159" s="1067" t="s">
        <v>1073</v>
      </c>
      <c r="D159" s="1067" t="s">
        <v>43</v>
      </c>
      <c r="E159" s="1067">
        <v>26</v>
      </c>
      <c r="F159" s="1067">
        <v>1</v>
      </c>
      <c r="G159" s="1067"/>
      <c r="H159" s="1067">
        <v>3</v>
      </c>
      <c r="I159" s="1067">
        <v>4</v>
      </c>
      <c r="J159" s="1067">
        <v>2</v>
      </c>
      <c r="K159" s="1067">
        <v>5</v>
      </c>
      <c r="L159" s="1067">
        <v>11</v>
      </c>
    </row>
    <row r="160" spans="1:12" x14ac:dyDescent="0.25">
      <c r="A160" s="1067" t="s">
        <v>202</v>
      </c>
      <c r="B160" s="1067" t="s">
        <v>249</v>
      </c>
      <c r="C160" s="1067" t="s">
        <v>403</v>
      </c>
      <c r="D160" s="1067" t="s">
        <v>173</v>
      </c>
      <c r="E160" s="1067">
        <v>16</v>
      </c>
      <c r="F160" s="1067">
        <v>1</v>
      </c>
      <c r="G160" s="1067"/>
      <c r="H160" s="1067">
        <v>3</v>
      </c>
      <c r="I160" s="1067"/>
      <c r="J160" s="1067">
        <v>5</v>
      </c>
      <c r="K160" s="1067">
        <v>3</v>
      </c>
      <c r="L160" s="1067">
        <v>4</v>
      </c>
    </row>
    <row r="161" spans="1:12" x14ac:dyDescent="0.25">
      <c r="A161" s="1067" t="s">
        <v>202</v>
      </c>
      <c r="B161" s="1067" t="s">
        <v>249</v>
      </c>
      <c r="C161" s="1067" t="s">
        <v>402</v>
      </c>
      <c r="D161" s="1067" t="s">
        <v>174</v>
      </c>
      <c r="E161" s="1067">
        <v>25</v>
      </c>
      <c r="F161" s="1067">
        <v>1</v>
      </c>
      <c r="G161" s="1067"/>
      <c r="H161" s="1067">
        <v>2</v>
      </c>
      <c r="I161" s="1067"/>
      <c r="J161" s="1067">
        <v>2</v>
      </c>
      <c r="K161" s="1067">
        <v>3</v>
      </c>
      <c r="L161" s="1067">
        <v>17</v>
      </c>
    </row>
    <row r="162" spans="1:12" x14ac:dyDescent="0.25">
      <c r="A162" s="1067" t="s">
        <v>202</v>
      </c>
      <c r="B162" s="1067" t="s">
        <v>249</v>
      </c>
      <c r="C162" s="1067" t="s">
        <v>404</v>
      </c>
      <c r="D162" s="1067" t="s">
        <v>172</v>
      </c>
      <c r="E162" s="1067">
        <v>44</v>
      </c>
      <c r="F162" s="1067">
        <v>1</v>
      </c>
      <c r="G162" s="1067"/>
      <c r="H162" s="1067">
        <v>8</v>
      </c>
      <c r="I162" s="1067"/>
      <c r="J162" s="1067">
        <v>2</v>
      </c>
      <c r="K162" s="1067">
        <v>8</v>
      </c>
      <c r="L162" s="1067">
        <v>25</v>
      </c>
    </row>
    <row r="163" spans="1:12" x14ac:dyDescent="0.25">
      <c r="A163" s="1067" t="s">
        <v>202</v>
      </c>
      <c r="B163" s="1067" t="s">
        <v>250</v>
      </c>
      <c r="C163" s="1067" t="s">
        <v>382</v>
      </c>
      <c r="D163" s="1067" t="s">
        <v>259</v>
      </c>
      <c r="E163" s="1067">
        <v>195</v>
      </c>
      <c r="F163" s="1067">
        <v>18</v>
      </c>
      <c r="G163" s="1067">
        <v>4</v>
      </c>
      <c r="H163" s="1067">
        <v>26</v>
      </c>
      <c r="I163" s="1067">
        <v>16</v>
      </c>
      <c r="J163" s="1067">
        <v>19</v>
      </c>
      <c r="K163" s="1067">
        <v>19</v>
      </c>
      <c r="L163" s="1067">
        <v>93</v>
      </c>
    </row>
    <row r="164" spans="1:12" x14ac:dyDescent="0.25">
      <c r="A164" s="1067" t="s">
        <v>273</v>
      </c>
      <c r="B164" s="1067" t="s">
        <v>247</v>
      </c>
      <c r="C164" s="1067" t="s">
        <v>282</v>
      </c>
      <c r="D164" s="1067" t="s">
        <v>35</v>
      </c>
      <c r="E164" s="1067">
        <v>22</v>
      </c>
      <c r="F164" s="1067"/>
      <c r="G164" s="1067"/>
      <c r="H164" s="1067">
        <v>4</v>
      </c>
      <c r="I164" s="1067">
        <v>14</v>
      </c>
      <c r="J164" s="1067"/>
      <c r="K164" s="1067"/>
      <c r="L164" s="1067">
        <v>4</v>
      </c>
    </row>
    <row r="165" spans="1:12" x14ac:dyDescent="0.25">
      <c r="A165" s="1067" t="s">
        <v>273</v>
      </c>
      <c r="B165" s="1067" t="s">
        <v>247</v>
      </c>
      <c r="C165" s="1067" t="s">
        <v>283</v>
      </c>
      <c r="D165" s="1067" t="s">
        <v>36</v>
      </c>
      <c r="E165" s="1067">
        <v>63</v>
      </c>
      <c r="F165" s="1067"/>
      <c r="G165" s="1067"/>
      <c r="H165" s="1067">
        <v>11</v>
      </c>
      <c r="I165" s="1067">
        <v>48</v>
      </c>
      <c r="J165" s="1067"/>
      <c r="K165" s="1067"/>
      <c r="L165" s="1067">
        <v>4</v>
      </c>
    </row>
    <row r="166" spans="1:12" x14ac:dyDescent="0.25">
      <c r="A166" s="1067" t="s">
        <v>273</v>
      </c>
      <c r="B166" s="1067" t="s">
        <v>247</v>
      </c>
      <c r="C166" s="1067" t="s">
        <v>284</v>
      </c>
      <c r="D166" s="1067" t="s">
        <v>38</v>
      </c>
      <c r="E166" s="1067">
        <v>46</v>
      </c>
      <c r="F166" s="1067"/>
      <c r="G166" s="1067"/>
      <c r="H166" s="1067">
        <v>9</v>
      </c>
      <c r="I166" s="1067">
        <v>32</v>
      </c>
      <c r="J166" s="1067"/>
      <c r="K166" s="1067"/>
      <c r="L166" s="1067">
        <v>5</v>
      </c>
    </row>
    <row r="167" spans="1:12" x14ac:dyDescent="0.25">
      <c r="A167" s="1067" t="s">
        <v>273</v>
      </c>
      <c r="B167" s="1067" t="s">
        <v>247</v>
      </c>
      <c r="C167" s="1067" t="s">
        <v>285</v>
      </c>
      <c r="D167" s="1067" t="s">
        <v>40</v>
      </c>
      <c r="E167" s="1067">
        <v>27</v>
      </c>
      <c r="F167" s="1067"/>
      <c r="G167" s="1067"/>
      <c r="H167" s="1067">
        <v>4</v>
      </c>
      <c r="I167" s="1067">
        <v>19</v>
      </c>
      <c r="J167" s="1067"/>
      <c r="K167" s="1067"/>
      <c r="L167" s="1067">
        <v>4</v>
      </c>
    </row>
    <row r="168" spans="1:12" x14ac:dyDescent="0.25">
      <c r="A168" s="1067" t="s">
        <v>273</v>
      </c>
      <c r="B168" s="1067" t="s">
        <v>247</v>
      </c>
      <c r="C168" s="1067" t="s">
        <v>286</v>
      </c>
      <c r="D168" s="1067" t="s">
        <v>41</v>
      </c>
      <c r="E168" s="1067">
        <v>50</v>
      </c>
      <c r="F168" s="1067"/>
      <c r="G168" s="1067"/>
      <c r="H168" s="1067">
        <v>10</v>
      </c>
      <c r="I168" s="1067">
        <v>30</v>
      </c>
      <c r="J168" s="1067"/>
      <c r="K168" s="1067"/>
      <c r="L168" s="1067">
        <v>10</v>
      </c>
    </row>
    <row r="169" spans="1:12" x14ac:dyDescent="0.25">
      <c r="A169" s="1067" t="s">
        <v>273</v>
      </c>
      <c r="B169" s="1067" t="s">
        <v>247</v>
      </c>
      <c r="C169" s="1067" t="s">
        <v>287</v>
      </c>
      <c r="D169" s="1067" t="s">
        <v>48</v>
      </c>
      <c r="E169" s="1067">
        <v>0</v>
      </c>
      <c r="F169" s="1067"/>
      <c r="G169" s="1067"/>
      <c r="H169" s="1067">
        <v>0</v>
      </c>
      <c r="I169" s="1067">
        <v>0</v>
      </c>
      <c r="J169" s="1067"/>
      <c r="K169" s="1067"/>
      <c r="L169" s="1067">
        <v>0</v>
      </c>
    </row>
    <row r="170" spans="1:12" x14ac:dyDescent="0.25">
      <c r="A170" s="1067" t="s">
        <v>273</v>
      </c>
      <c r="B170" s="1067" t="s">
        <v>247</v>
      </c>
      <c r="C170" s="1067" t="s">
        <v>288</v>
      </c>
      <c r="D170" s="1067" t="s">
        <v>42</v>
      </c>
      <c r="E170" s="1067">
        <v>86</v>
      </c>
      <c r="F170" s="1067"/>
      <c r="G170" s="1067"/>
      <c r="H170" s="1067">
        <v>16</v>
      </c>
      <c r="I170" s="1067">
        <v>57</v>
      </c>
      <c r="J170" s="1067"/>
      <c r="K170" s="1067"/>
      <c r="L170" s="1067">
        <v>13</v>
      </c>
    </row>
    <row r="171" spans="1:12" x14ac:dyDescent="0.25">
      <c r="A171" s="1067" t="s">
        <v>273</v>
      </c>
      <c r="B171" s="1067" t="s">
        <v>247</v>
      </c>
      <c r="C171" s="1067" t="s">
        <v>289</v>
      </c>
      <c r="D171" s="1067" t="s">
        <v>44</v>
      </c>
      <c r="E171" s="1067">
        <v>67</v>
      </c>
      <c r="F171" s="1067"/>
      <c r="G171" s="1067"/>
      <c r="H171" s="1067">
        <v>11</v>
      </c>
      <c r="I171" s="1067">
        <v>52</v>
      </c>
      <c r="J171" s="1067"/>
      <c r="K171" s="1067"/>
      <c r="L171" s="1067">
        <v>4</v>
      </c>
    </row>
    <row r="172" spans="1:12" x14ac:dyDescent="0.25">
      <c r="A172" s="1067" t="s">
        <v>273</v>
      </c>
      <c r="B172" s="1067" t="s">
        <v>247</v>
      </c>
      <c r="C172" s="1067" t="s">
        <v>290</v>
      </c>
      <c r="D172" s="1067" t="s">
        <v>45</v>
      </c>
      <c r="E172" s="1067">
        <v>68</v>
      </c>
      <c r="F172" s="1067"/>
      <c r="G172" s="1067"/>
      <c r="H172" s="1067">
        <v>13</v>
      </c>
      <c r="I172" s="1067">
        <v>43</v>
      </c>
      <c r="J172" s="1067"/>
      <c r="K172" s="1067">
        <v>1</v>
      </c>
      <c r="L172" s="1067">
        <v>11</v>
      </c>
    </row>
    <row r="173" spans="1:12" x14ac:dyDescent="0.25">
      <c r="A173" s="1067" t="s">
        <v>273</v>
      </c>
      <c r="B173" s="1067" t="s">
        <v>247</v>
      </c>
      <c r="C173" s="1067" t="s">
        <v>291</v>
      </c>
      <c r="D173" s="1067" t="s">
        <v>46</v>
      </c>
      <c r="E173" s="1067">
        <v>22</v>
      </c>
      <c r="F173" s="1067"/>
      <c r="G173" s="1067"/>
      <c r="H173" s="1067">
        <v>4</v>
      </c>
      <c r="I173" s="1067">
        <v>14</v>
      </c>
      <c r="J173" s="1067"/>
      <c r="K173" s="1067"/>
      <c r="L173" s="1067">
        <v>4</v>
      </c>
    </row>
    <row r="174" spans="1:12" x14ac:dyDescent="0.25">
      <c r="A174" s="1067" t="s">
        <v>273</v>
      </c>
      <c r="B174" s="1067" t="s">
        <v>247</v>
      </c>
      <c r="C174" s="1067" t="s">
        <v>292</v>
      </c>
      <c r="D174" s="1067" t="s">
        <v>47</v>
      </c>
      <c r="E174" s="1067">
        <v>27</v>
      </c>
      <c r="F174" s="1067"/>
      <c r="G174" s="1067"/>
      <c r="H174" s="1067">
        <v>4</v>
      </c>
      <c r="I174" s="1067">
        <v>19</v>
      </c>
      <c r="J174" s="1067"/>
      <c r="K174" s="1067"/>
      <c r="L174" s="1067">
        <v>4</v>
      </c>
    </row>
    <row r="175" spans="1:12" x14ac:dyDescent="0.25">
      <c r="A175" s="1067" t="s">
        <v>273</v>
      </c>
      <c r="B175" s="1067" t="s">
        <v>247</v>
      </c>
      <c r="C175" s="1067" t="s">
        <v>293</v>
      </c>
      <c r="D175" s="1067" t="s">
        <v>49</v>
      </c>
      <c r="E175" s="1067">
        <v>78</v>
      </c>
      <c r="F175" s="1067"/>
      <c r="G175" s="1067"/>
      <c r="H175" s="1067">
        <v>17</v>
      </c>
      <c r="I175" s="1067">
        <v>46</v>
      </c>
      <c r="J175" s="1067"/>
      <c r="K175" s="1067"/>
      <c r="L175" s="1067">
        <v>15</v>
      </c>
    </row>
    <row r="176" spans="1:12" x14ac:dyDescent="0.25">
      <c r="A176" s="1067" t="s">
        <v>273</v>
      </c>
      <c r="B176" s="1067" t="s">
        <v>247</v>
      </c>
      <c r="C176" s="1067" t="s">
        <v>294</v>
      </c>
      <c r="D176" s="1067" t="s">
        <v>51</v>
      </c>
      <c r="E176" s="1067">
        <v>0</v>
      </c>
      <c r="F176" s="1067"/>
      <c r="G176" s="1067"/>
      <c r="H176" s="1067">
        <v>0</v>
      </c>
      <c r="I176" s="1067">
        <v>0</v>
      </c>
      <c r="J176" s="1067"/>
      <c r="K176" s="1067"/>
      <c r="L176" s="1067">
        <v>0</v>
      </c>
    </row>
    <row r="177" spans="1:12" x14ac:dyDescent="0.25">
      <c r="A177" s="1067" t="s">
        <v>273</v>
      </c>
      <c r="B177" s="1067" t="s">
        <v>247</v>
      </c>
      <c r="C177" s="1067" t="s">
        <v>295</v>
      </c>
      <c r="D177" s="1067" t="s">
        <v>52</v>
      </c>
      <c r="E177" s="1067">
        <v>68</v>
      </c>
      <c r="F177" s="1067"/>
      <c r="G177" s="1067"/>
      <c r="H177" s="1067">
        <v>12</v>
      </c>
      <c r="I177" s="1067">
        <v>52</v>
      </c>
      <c r="J177" s="1067"/>
      <c r="K177" s="1067"/>
      <c r="L177" s="1067">
        <v>4</v>
      </c>
    </row>
    <row r="178" spans="1:12" x14ac:dyDescent="0.25">
      <c r="A178" s="1067" t="s">
        <v>273</v>
      </c>
      <c r="B178" s="1067" t="s">
        <v>247</v>
      </c>
      <c r="C178" s="1067" t="s">
        <v>296</v>
      </c>
      <c r="D178" s="1067" t="s">
        <v>54</v>
      </c>
      <c r="E178" s="1067">
        <v>56</v>
      </c>
      <c r="F178" s="1067"/>
      <c r="G178" s="1067"/>
      <c r="H178" s="1067">
        <v>8</v>
      </c>
      <c r="I178" s="1067">
        <v>40</v>
      </c>
      <c r="J178" s="1067"/>
      <c r="K178" s="1067"/>
      <c r="L178" s="1067">
        <v>8</v>
      </c>
    </row>
    <row r="179" spans="1:12" x14ac:dyDescent="0.25">
      <c r="A179" s="1067" t="s">
        <v>273</v>
      </c>
      <c r="B179" s="1067" t="s">
        <v>247</v>
      </c>
      <c r="C179" s="1067" t="s">
        <v>297</v>
      </c>
      <c r="D179" s="1067" t="s">
        <v>55</v>
      </c>
      <c r="E179" s="1067">
        <v>0</v>
      </c>
      <c r="F179" s="1067"/>
      <c r="G179" s="1067"/>
      <c r="H179" s="1067">
        <v>0</v>
      </c>
      <c r="I179" s="1067">
        <v>0</v>
      </c>
      <c r="J179" s="1067"/>
      <c r="K179" s="1067"/>
      <c r="L179" s="1067">
        <v>0</v>
      </c>
    </row>
    <row r="180" spans="1:12" x14ac:dyDescent="0.25">
      <c r="A180" s="1067" t="s">
        <v>273</v>
      </c>
      <c r="B180" s="1067" t="s">
        <v>247</v>
      </c>
      <c r="C180" s="1067" t="s">
        <v>298</v>
      </c>
      <c r="D180" s="1067" t="s">
        <v>56</v>
      </c>
      <c r="E180" s="1067">
        <v>54</v>
      </c>
      <c r="F180" s="1067"/>
      <c r="G180" s="1067"/>
      <c r="H180" s="1067">
        <v>10</v>
      </c>
      <c r="I180" s="1067">
        <v>39</v>
      </c>
      <c r="J180" s="1067"/>
      <c r="K180" s="1067"/>
      <c r="L180" s="1067">
        <v>5</v>
      </c>
    </row>
    <row r="181" spans="1:12" x14ac:dyDescent="0.25">
      <c r="A181" s="1067" t="s">
        <v>273</v>
      </c>
      <c r="B181" s="1067" t="s">
        <v>247</v>
      </c>
      <c r="C181" s="1067" t="s">
        <v>299</v>
      </c>
      <c r="D181" s="1067" t="s">
        <v>57</v>
      </c>
      <c r="E181" s="1067">
        <v>171</v>
      </c>
      <c r="F181" s="1067"/>
      <c r="G181" s="1067"/>
      <c r="H181" s="1067">
        <v>34</v>
      </c>
      <c r="I181" s="1067">
        <v>117</v>
      </c>
      <c r="J181" s="1067"/>
      <c r="K181" s="1067"/>
      <c r="L181" s="1067">
        <v>20</v>
      </c>
    </row>
    <row r="182" spans="1:12" x14ac:dyDescent="0.25">
      <c r="A182" s="1067" t="s">
        <v>273</v>
      </c>
      <c r="B182" s="1067" t="s">
        <v>247</v>
      </c>
      <c r="C182" s="1067" t="s">
        <v>300</v>
      </c>
      <c r="D182" s="1067" t="s">
        <v>58</v>
      </c>
      <c r="E182" s="1067">
        <v>53</v>
      </c>
      <c r="F182" s="1067"/>
      <c r="G182" s="1067"/>
      <c r="H182" s="1067">
        <v>9</v>
      </c>
      <c r="I182" s="1067">
        <v>40</v>
      </c>
      <c r="J182" s="1067"/>
      <c r="K182" s="1067"/>
      <c r="L182" s="1067">
        <v>4</v>
      </c>
    </row>
    <row r="183" spans="1:12" x14ac:dyDescent="0.25">
      <c r="A183" s="1067" t="s">
        <v>273</v>
      </c>
      <c r="B183" s="1067" t="s">
        <v>247</v>
      </c>
      <c r="C183" s="1067" t="s">
        <v>301</v>
      </c>
      <c r="D183" s="1067" t="s">
        <v>31</v>
      </c>
      <c r="E183" s="1067">
        <v>155</v>
      </c>
      <c r="F183" s="1067"/>
      <c r="G183" s="1067"/>
      <c r="H183" s="1067">
        <v>26</v>
      </c>
      <c r="I183" s="1067">
        <v>113</v>
      </c>
      <c r="J183" s="1067"/>
      <c r="K183" s="1067"/>
      <c r="L183" s="1067">
        <v>16</v>
      </c>
    </row>
    <row r="184" spans="1:12" x14ac:dyDescent="0.25">
      <c r="A184" s="1067" t="s">
        <v>273</v>
      </c>
      <c r="B184" s="1067" t="s">
        <v>247</v>
      </c>
      <c r="C184" s="1067" t="s">
        <v>302</v>
      </c>
      <c r="D184" s="1067" t="s">
        <v>32</v>
      </c>
      <c r="E184" s="1067">
        <v>25</v>
      </c>
      <c r="F184" s="1067"/>
      <c r="G184" s="1067"/>
      <c r="H184" s="1067">
        <v>4</v>
      </c>
      <c r="I184" s="1067">
        <v>17</v>
      </c>
      <c r="J184" s="1067"/>
      <c r="K184" s="1067"/>
      <c r="L184" s="1067">
        <v>4</v>
      </c>
    </row>
    <row r="185" spans="1:12" x14ac:dyDescent="0.25">
      <c r="A185" s="1067" t="s">
        <v>273</v>
      </c>
      <c r="B185" s="1067" t="s">
        <v>247</v>
      </c>
      <c r="C185" s="1067" t="s">
        <v>303</v>
      </c>
      <c r="D185" s="1067" t="s">
        <v>34</v>
      </c>
      <c r="E185" s="1067">
        <v>43</v>
      </c>
      <c r="F185" s="1067"/>
      <c r="G185" s="1067"/>
      <c r="H185" s="1067">
        <v>9</v>
      </c>
      <c r="I185" s="1067">
        <v>24</v>
      </c>
      <c r="J185" s="1067"/>
      <c r="K185" s="1067"/>
      <c r="L185" s="1067">
        <v>10</v>
      </c>
    </row>
    <row r="186" spans="1:12" x14ac:dyDescent="0.25">
      <c r="A186" s="1067" t="s">
        <v>273</v>
      </c>
      <c r="B186" s="1067" t="s">
        <v>247</v>
      </c>
      <c r="C186" s="1067" t="s">
        <v>304</v>
      </c>
      <c r="D186" s="1067" t="s">
        <v>258</v>
      </c>
      <c r="E186" s="1067">
        <v>313</v>
      </c>
      <c r="F186" s="1067"/>
      <c r="G186" s="1067"/>
      <c r="H186" s="1067">
        <v>60</v>
      </c>
      <c r="I186" s="1067">
        <v>227</v>
      </c>
      <c r="J186" s="1067"/>
      <c r="K186" s="1067"/>
      <c r="L186" s="1067">
        <v>26</v>
      </c>
    </row>
    <row r="187" spans="1:12" x14ac:dyDescent="0.25">
      <c r="A187" s="1067" t="s">
        <v>273</v>
      </c>
      <c r="B187" s="1067" t="s">
        <v>247</v>
      </c>
      <c r="C187" s="1067" t="s">
        <v>305</v>
      </c>
      <c r="D187" s="1067" t="s">
        <v>53</v>
      </c>
      <c r="E187" s="1067">
        <v>97</v>
      </c>
      <c r="F187" s="1067"/>
      <c r="G187" s="1067"/>
      <c r="H187" s="1067">
        <v>21</v>
      </c>
      <c r="I187" s="1067">
        <v>60</v>
      </c>
      <c r="J187" s="1067"/>
      <c r="K187" s="1067"/>
      <c r="L187" s="1067">
        <v>16</v>
      </c>
    </row>
    <row r="188" spans="1:12" x14ac:dyDescent="0.25">
      <c r="A188" s="1067" t="s">
        <v>273</v>
      </c>
      <c r="B188" s="1067" t="s">
        <v>247</v>
      </c>
      <c r="C188" s="1067" t="s">
        <v>306</v>
      </c>
      <c r="D188" s="1067" t="s">
        <v>59</v>
      </c>
      <c r="E188" s="1067">
        <v>69</v>
      </c>
      <c r="F188" s="1067"/>
      <c r="G188" s="1067"/>
      <c r="H188" s="1067">
        <v>15</v>
      </c>
      <c r="I188" s="1067">
        <v>44</v>
      </c>
      <c r="J188" s="1067"/>
      <c r="K188" s="1067"/>
      <c r="L188" s="1067">
        <v>10</v>
      </c>
    </row>
    <row r="189" spans="1:12" x14ac:dyDescent="0.25">
      <c r="A189" s="1067" t="s">
        <v>273</v>
      </c>
      <c r="B189" s="1067" t="s">
        <v>247</v>
      </c>
      <c r="C189" s="1067" t="s">
        <v>307</v>
      </c>
      <c r="D189" s="1067" t="s">
        <v>60</v>
      </c>
      <c r="E189" s="1067">
        <v>60</v>
      </c>
      <c r="F189" s="1067"/>
      <c r="G189" s="1067"/>
      <c r="H189" s="1067">
        <v>10</v>
      </c>
      <c r="I189" s="1067">
        <v>42</v>
      </c>
      <c r="J189" s="1067"/>
      <c r="K189" s="1067"/>
      <c r="L189" s="1067">
        <v>8</v>
      </c>
    </row>
    <row r="190" spans="1:12" x14ac:dyDescent="0.25">
      <c r="A190" s="1067" t="s">
        <v>273</v>
      </c>
      <c r="B190" s="1067" t="s">
        <v>247</v>
      </c>
      <c r="C190" s="1067" t="s">
        <v>308</v>
      </c>
      <c r="D190" s="1067" t="s">
        <v>33</v>
      </c>
      <c r="E190" s="1067">
        <v>25</v>
      </c>
      <c r="F190" s="1067"/>
      <c r="G190" s="1067"/>
      <c r="H190" s="1067">
        <v>4</v>
      </c>
      <c r="I190" s="1067">
        <v>18</v>
      </c>
      <c r="J190" s="1067"/>
      <c r="K190" s="1067"/>
      <c r="L190" s="1067">
        <v>3</v>
      </c>
    </row>
    <row r="191" spans="1:12" x14ac:dyDescent="0.25">
      <c r="A191" s="1067" t="s">
        <v>273</v>
      </c>
      <c r="B191" s="1067" t="s">
        <v>247</v>
      </c>
      <c r="C191" s="1067" t="s">
        <v>309</v>
      </c>
      <c r="D191" s="1067" t="s">
        <v>37</v>
      </c>
      <c r="E191" s="1067">
        <v>192</v>
      </c>
      <c r="F191" s="1067"/>
      <c r="G191" s="1067"/>
      <c r="H191" s="1067">
        <v>30</v>
      </c>
      <c r="I191" s="1067">
        <v>144</v>
      </c>
      <c r="J191" s="1067"/>
      <c r="K191" s="1067"/>
      <c r="L191" s="1067">
        <v>18</v>
      </c>
    </row>
    <row r="192" spans="1:12" x14ac:dyDescent="0.25">
      <c r="A192" s="1067" t="s">
        <v>273</v>
      </c>
      <c r="B192" s="1067" t="s">
        <v>247</v>
      </c>
      <c r="C192" s="1067" t="s">
        <v>310</v>
      </c>
      <c r="D192" s="1067" t="s">
        <v>50</v>
      </c>
      <c r="E192" s="1067">
        <v>173</v>
      </c>
      <c r="F192" s="1067"/>
      <c r="G192" s="1067"/>
      <c r="H192" s="1067">
        <v>30</v>
      </c>
      <c r="I192" s="1067">
        <v>123</v>
      </c>
      <c r="J192" s="1067"/>
      <c r="K192" s="1067"/>
      <c r="L192" s="1067">
        <v>20</v>
      </c>
    </row>
    <row r="193" spans="1:12" x14ac:dyDescent="0.25">
      <c r="A193" s="1067" t="s">
        <v>273</v>
      </c>
      <c r="B193" s="1067" t="s">
        <v>247</v>
      </c>
      <c r="C193" s="1067" t="s">
        <v>311</v>
      </c>
      <c r="D193" s="1067" t="s">
        <v>39</v>
      </c>
      <c r="E193" s="1067">
        <v>68</v>
      </c>
      <c r="F193" s="1067"/>
      <c r="G193" s="1067"/>
      <c r="H193" s="1067">
        <v>14</v>
      </c>
      <c r="I193" s="1067">
        <v>39</v>
      </c>
      <c r="J193" s="1067"/>
      <c r="K193" s="1067"/>
      <c r="L193" s="1067">
        <v>15</v>
      </c>
    </row>
    <row r="194" spans="1:12" x14ac:dyDescent="0.25">
      <c r="A194" s="1067" t="s">
        <v>273</v>
      </c>
      <c r="B194" s="1067" t="s">
        <v>247</v>
      </c>
      <c r="C194" s="1067" t="s">
        <v>312</v>
      </c>
      <c r="D194" s="1067" t="s">
        <v>121</v>
      </c>
      <c r="E194" s="1067">
        <v>475</v>
      </c>
      <c r="F194" s="1067"/>
      <c r="G194" s="1067"/>
      <c r="H194" s="1067">
        <v>105</v>
      </c>
      <c r="I194" s="1067">
        <v>313</v>
      </c>
      <c r="J194" s="1067"/>
      <c r="K194" s="1067"/>
      <c r="L194" s="1067">
        <v>57</v>
      </c>
    </row>
    <row r="195" spans="1:12" x14ac:dyDescent="0.25">
      <c r="A195" s="1067" t="s">
        <v>273</v>
      </c>
      <c r="B195" s="1067" t="s">
        <v>247</v>
      </c>
      <c r="C195" s="1067" t="s">
        <v>313</v>
      </c>
      <c r="D195" s="1067" t="s">
        <v>43</v>
      </c>
      <c r="E195" s="1067">
        <v>270</v>
      </c>
      <c r="F195" s="1067"/>
      <c r="G195" s="1067"/>
      <c r="H195" s="1067">
        <v>48</v>
      </c>
      <c r="I195" s="1067">
        <v>201</v>
      </c>
      <c r="J195" s="1067"/>
      <c r="K195" s="1067"/>
      <c r="L195" s="1067">
        <v>21</v>
      </c>
    </row>
    <row r="196" spans="1:12" x14ac:dyDescent="0.25">
      <c r="A196" s="1067" t="s">
        <v>273</v>
      </c>
      <c r="B196" s="1067" t="s">
        <v>248</v>
      </c>
      <c r="C196" s="1067" t="s">
        <v>369</v>
      </c>
      <c r="D196" s="1067" t="s">
        <v>31</v>
      </c>
      <c r="E196" s="1067">
        <v>14</v>
      </c>
      <c r="F196" s="1067">
        <v>1</v>
      </c>
      <c r="G196" s="1067"/>
      <c r="H196" s="1067">
        <v>2</v>
      </c>
      <c r="I196" s="1067">
        <v>2</v>
      </c>
      <c r="J196" s="1067">
        <v>1</v>
      </c>
      <c r="K196" s="1067">
        <v>3</v>
      </c>
      <c r="L196" s="1067">
        <v>5</v>
      </c>
    </row>
    <row r="197" spans="1:12" x14ac:dyDescent="0.25">
      <c r="A197" s="1067" t="s">
        <v>273</v>
      </c>
      <c r="B197" s="1067" t="s">
        <v>248</v>
      </c>
      <c r="C197" s="1067" t="s">
        <v>370</v>
      </c>
      <c r="D197" s="1067" t="s">
        <v>63</v>
      </c>
      <c r="E197" s="1067">
        <v>25</v>
      </c>
      <c r="F197" s="1067">
        <v>1</v>
      </c>
      <c r="G197" s="1067"/>
      <c r="H197" s="1067">
        <v>5</v>
      </c>
      <c r="I197" s="1067">
        <v>0</v>
      </c>
      <c r="J197" s="1067">
        <v>2</v>
      </c>
      <c r="K197" s="1067">
        <v>8</v>
      </c>
      <c r="L197" s="1067">
        <v>9</v>
      </c>
    </row>
    <row r="198" spans="1:12" x14ac:dyDescent="0.25">
      <c r="A198" s="1067" t="s">
        <v>273</v>
      </c>
      <c r="B198" s="1067" t="s">
        <v>248</v>
      </c>
      <c r="C198" s="1067" t="s">
        <v>372</v>
      </c>
      <c r="D198" s="1067" t="s">
        <v>64</v>
      </c>
      <c r="E198" s="1067">
        <v>26</v>
      </c>
      <c r="F198" s="1067">
        <v>1</v>
      </c>
      <c r="G198" s="1067"/>
      <c r="H198" s="1067">
        <v>4</v>
      </c>
      <c r="I198" s="1067">
        <v>2</v>
      </c>
      <c r="J198" s="1067">
        <v>3</v>
      </c>
      <c r="K198" s="1067">
        <v>9</v>
      </c>
      <c r="L198" s="1067">
        <v>7</v>
      </c>
    </row>
    <row r="199" spans="1:12" x14ac:dyDescent="0.25">
      <c r="A199" s="1067" t="s">
        <v>273</v>
      </c>
      <c r="B199" s="1067" t="s">
        <v>248</v>
      </c>
      <c r="C199" s="1067" t="s">
        <v>373</v>
      </c>
      <c r="D199" s="1067" t="s">
        <v>36</v>
      </c>
      <c r="E199" s="1067">
        <v>22</v>
      </c>
      <c r="F199" s="1067">
        <v>1</v>
      </c>
      <c r="G199" s="1067"/>
      <c r="H199" s="1067">
        <v>3</v>
      </c>
      <c r="I199" s="1067">
        <v>1</v>
      </c>
      <c r="J199" s="1067">
        <v>2</v>
      </c>
      <c r="K199" s="1067">
        <v>6</v>
      </c>
      <c r="L199" s="1067">
        <v>9</v>
      </c>
    </row>
    <row r="200" spans="1:12" x14ac:dyDescent="0.25">
      <c r="A200" s="1067" t="s">
        <v>273</v>
      </c>
      <c r="B200" s="1067" t="s">
        <v>248</v>
      </c>
      <c r="C200" s="1067" t="s">
        <v>374</v>
      </c>
      <c r="D200" s="1067" t="s">
        <v>66</v>
      </c>
      <c r="E200" s="1067">
        <v>30</v>
      </c>
      <c r="F200" s="1067">
        <v>1</v>
      </c>
      <c r="G200" s="1067"/>
      <c r="H200" s="1067">
        <v>5</v>
      </c>
      <c r="I200" s="1067">
        <v>2</v>
      </c>
      <c r="J200" s="1067">
        <v>4</v>
      </c>
      <c r="K200" s="1067">
        <v>9</v>
      </c>
      <c r="L200" s="1067">
        <v>9</v>
      </c>
    </row>
    <row r="201" spans="1:12" x14ac:dyDescent="0.25">
      <c r="A201" s="1067" t="s">
        <v>273</v>
      </c>
      <c r="B201" s="1067" t="s">
        <v>248</v>
      </c>
      <c r="C201" s="1067" t="s">
        <v>375</v>
      </c>
      <c r="D201" s="1067" t="s">
        <v>67</v>
      </c>
      <c r="E201" s="1067">
        <v>31</v>
      </c>
      <c r="F201" s="1067">
        <v>1</v>
      </c>
      <c r="G201" s="1067"/>
      <c r="H201" s="1067">
        <v>5</v>
      </c>
      <c r="I201" s="1067">
        <v>5</v>
      </c>
      <c r="J201" s="1067">
        <v>4</v>
      </c>
      <c r="K201" s="1067">
        <v>8</v>
      </c>
      <c r="L201" s="1067">
        <v>8</v>
      </c>
    </row>
    <row r="202" spans="1:12" x14ac:dyDescent="0.25">
      <c r="A202" s="1067" t="s">
        <v>273</v>
      </c>
      <c r="B202" s="1067" t="s">
        <v>248</v>
      </c>
      <c r="C202" s="1067" t="s">
        <v>376</v>
      </c>
      <c r="D202" s="1067" t="s">
        <v>68</v>
      </c>
      <c r="E202" s="1067">
        <v>18</v>
      </c>
      <c r="F202" s="1067">
        <v>1</v>
      </c>
      <c r="G202" s="1067"/>
      <c r="H202" s="1067">
        <v>2</v>
      </c>
      <c r="I202" s="1067">
        <v>1</v>
      </c>
      <c r="J202" s="1067">
        <v>3</v>
      </c>
      <c r="K202" s="1067">
        <v>4</v>
      </c>
      <c r="L202" s="1067">
        <v>7</v>
      </c>
    </row>
    <row r="203" spans="1:12" x14ac:dyDescent="0.25">
      <c r="A203" s="1067" t="s">
        <v>273</v>
      </c>
      <c r="B203" s="1067" t="s">
        <v>248</v>
      </c>
      <c r="C203" s="1067" t="s">
        <v>377</v>
      </c>
      <c r="D203" s="1067" t="s">
        <v>175</v>
      </c>
      <c r="E203" s="1067">
        <v>27</v>
      </c>
      <c r="F203" s="1067">
        <v>1</v>
      </c>
      <c r="G203" s="1067"/>
      <c r="H203" s="1067">
        <v>2</v>
      </c>
      <c r="I203" s="1067">
        <v>4</v>
      </c>
      <c r="J203" s="1067">
        <v>3</v>
      </c>
      <c r="K203" s="1067">
        <v>6</v>
      </c>
      <c r="L203" s="1067">
        <v>11</v>
      </c>
    </row>
    <row r="204" spans="1:12" x14ac:dyDescent="0.25">
      <c r="A204" s="1067" t="s">
        <v>273</v>
      </c>
      <c r="B204" s="1067" t="s">
        <v>248</v>
      </c>
      <c r="C204" s="1067" t="s">
        <v>378</v>
      </c>
      <c r="D204" s="1067" t="s">
        <v>69</v>
      </c>
      <c r="E204" s="1067">
        <v>21</v>
      </c>
      <c r="F204" s="1067">
        <v>1</v>
      </c>
      <c r="G204" s="1067"/>
      <c r="H204" s="1067">
        <v>3</v>
      </c>
      <c r="I204" s="1067">
        <v>2</v>
      </c>
      <c r="J204" s="1067">
        <v>2</v>
      </c>
      <c r="K204" s="1067">
        <v>6</v>
      </c>
      <c r="L204" s="1067">
        <v>7</v>
      </c>
    </row>
    <row r="205" spans="1:12" x14ac:dyDescent="0.25">
      <c r="A205" s="1067" t="s">
        <v>273</v>
      </c>
      <c r="B205" s="1067" t="s">
        <v>248</v>
      </c>
      <c r="C205" s="1067" t="s">
        <v>1074</v>
      </c>
      <c r="D205" s="1067" t="s">
        <v>121</v>
      </c>
      <c r="E205" s="1067">
        <v>25</v>
      </c>
      <c r="F205" s="1067">
        <v>1</v>
      </c>
      <c r="G205" s="1067"/>
      <c r="H205" s="1067">
        <v>3</v>
      </c>
      <c r="I205" s="1067">
        <v>2</v>
      </c>
      <c r="J205" s="1067">
        <v>4</v>
      </c>
      <c r="K205" s="1067">
        <v>9</v>
      </c>
      <c r="L205" s="1067">
        <v>6</v>
      </c>
    </row>
    <row r="206" spans="1:12" x14ac:dyDescent="0.25">
      <c r="A206" s="1067" t="s">
        <v>273</v>
      </c>
      <c r="B206" s="1067" t="s">
        <v>248</v>
      </c>
      <c r="C206" s="1067" t="s">
        <v>379</v>
      </c>
      <c r="D206" s="1067" t="s">
        <v>70</v>
      </c>
      <c r="E206" s="1067">
        <v>37</v>
      </c>
      <c r="F206" s="1067">
        <v>1</v>
      </c>
      <c r="G206" s="1067"/>
      <c r="H206" s="1067">
        <v>10</v>
      </c>
      <c r="I206" s="1067">
        <v>1</v>
      </c>
      <c r="J206" s="1067">
        <v>4</v>
      </c>
      <c r="K206" s="1067">
        <v>13</v>
      </c>
      <c r="L206" s="1067">
        <v>8</v>
      </c>
    </row>
    <row r="207" spans="1:12" x14ac:dyDescent="0.25">
      <c r="A207" s="1067" t="s">
        <v>273</v>
      </c>
      <c r="B207" s="1067" t="s">
        <v>248</v>
      </c>
      <c r="C207" s="1067" t="s">
        <v>1075</v>
      </c>
      <c r="D207" s="1067" t="s">
        <v>50</v>
      </c>
      <c r="E207" s="1067">
        <v>15</v>
      </c>
      <c r="F207" s="1067">
        <v>1</v>
      </c>
      <c r="G207" s="1067"/>
      <c r="H207" s="1067">
        <v>1</v>
      </c>
      <c r="I207" s="1067">
        <v>1</v>
      </c>
      <c r="J207" s="1067">
        <v>2</v>
      </c>
      <c r="K207" s="1067">
        <v>5</v>
      </c>
      <c r="L207" s="1067">
        <v>5</v>
      </c>
    </row>
    <row r="208" spans="1:12" x14ac:dyDescent="0.25">
      <c r="A208" s="1067" t="s">
        <v>273</v>
      </c>
      <c r="B208" s="1067" t="s">
        <v>248</v>
      </c>
      <c r="C208" s="1067" t="s">
        <v>380</v>
      </c>
      <c r="D208" s="1067" t="s">
        <v>57</v>
      </c>
      <c r="E208" s="1067">
        <v>15</v>
      </c>
      <c r="F208" s="1067">
        <v>1</v>
      </c>
      <c r="G208" s="1067"/>
      <c r="H208" s="1067">
        <v>2</v>
      </c>
      <c r="I208" s="1067">
        <v>1</v>
      </c>
      <c r="J208" s="1067">
        <v>2</v>
      </c>
      <c r="K208" s="1067">
        <v>5</v>
      </c>
      <c r="L208" s="1067">
        <v>4</v>
      </c>
    </row>
    <row r="209" spans="1:12" x14ac:dyDescent="0.25">
      <c r="A209" s="1067" t="s">
        <v>273</v>
      </c>
      <c r="B209" s="1067" t="s">
        <v>248</v>
      </c>
      <c r="C209" s="1067" t="s">
        <v>1072</v>
      </c>
      <c r="D209" s="1067" t="s">
        <v>1071</v>
      </c>
      <c r="E209" s="1067">
        <v>15</v>
      </c>
      <c r="F209" s="1067">
        <v>0</v>
      </c>
      <c r="G209" s="1067"/>
      <c r="H209" s="1067">
        <v>3</v>
      </c>
      <c r="I209" s="1067">
        <v>1</v>
      </c>
      <c r="J209" s="1067">
        <v>2</v>
      </c>
      <c r="K209" s="1067">
        <v>4</v>
      </c>
      <c r="L209" s="1067">
        <v>5</v>
      </c>
    </row>
    <row r="210" spans="1:12" x14ac:dyDescent="0.25">
      <c r="A210" s="1067" t="s">
        <v>273</v>
      </c>
      <c r="B210" s="1067" t="s">
        <v>248</v>
      </c>
      <c r="C210" s="1067" t="s">
        <v>381</v>
      </c>
      <c r="D210" s="1067" t="s">
        <v>71</v>
      </c>
      <c r="E210" s="1067">
        <v>16</v>
      </c>
      <c r="F210" s="1067">
        <v>1</v>
      </c>
      <c r="G210" s="1067"/>
      <c r="H210" s="1067">
        <v>6</v>
      </c>
      <c r="I210" s="1067">
        <v>0</v>
      </c>
      <c r="J210" s="1067">
        <v>3</v>
      </c>
      <c r="K210" s="1067">
        <v>5</v>
      </c>
      <c r="L210" s="1067">
        <v>1</v>
      </c>
    </row>
    <row r="211" spans="1:12" x14ac:dyDescent="0.25">
      <c r="A211" s="1067" t="s">
        <v>273</v>
      </c>
      <c r="B211" s="1067" t="s">
        <v>248</v>
      </c>
      <c r="C211" s="1067" t="s">
        <v>371</v>
      </c>
      <c r="D211" s="1067" t="s">
        <v>65</v>
      </c>
      <c r="E211" s="1067">
        <v>28</v>
      </c>
      <c r="F211" s="1067">
        <v>1</v>
      </c>
      <c r="G211" s="1067"/>
      <c r="H211" s="1067">
        <v>2</v>
      </c>
      <c r="I211" s="1067">
        <v>2</v>
      </c>
      <c r="J211" s="1067">
        <v>4</v>
      </c>
      <c r="K211" s="1067">
        <v>9</v>
      </c>
      <c r="L211" s="1067">
        <v>10</v>
      </c>
    </row>
    <row r="212" spans="1:12" x14ac:dyDescent="0.25">
      <c r="A212" s="1067" t="s">
        <v>273</v>
      </c>
      <c r="B212" s="1067" t="s">
        <v>248</v>
      </c>
      <c r="C212" s="1067" t="s">
        <v>1073</v>
      </c>
      <c r="D212" s="1067" t="s">
        <v>43</v>
      </c>
      <c r="E212" s="1067">
        <v>24</v>
      </c>
      <c r="F212" s="1067">
        <v>1</v>
      </c>
      <c r="G212" s="1067"/>
      <c r="H212" s="1067">
        <v>3</v>
      </c>
      <c r="I212" s="1067">
        <v>3</v>
      </c>
      <c r="J212" s="1067">
        <v>2</v>
      </c>
      <c r="K212" s="1067">
        <v>7</v>
      </c>
      <c r="L212" s="1067">
        <v>8</v>
      </c>
    </row>
    <row r="213" spans="1:12" x14ac:dyDescent="0.25">
      <c r="A213" s="1067" t="s">
        <v>273</v>
      </c>
      <c r="B213" s="1067" t="s">
        <v>249</v>
      </c>
      <c r="C213" s="1067" t="s">
        <v>403</v>
      </c>
      <c r="D213" s="1067" t="s">
        <v>173</v>
      </c>
      <c r="E213" s="1067">
        <v>68</v>
      </c>
      <c r="F213" s="1067">
        <v>1</v>
      </c>
      <c r="G213" s="1067"/>
      <c r="H213" s="1067">
        <v>10</v>
      </c>
      <c r="I213" s="1067">
        <v>1</v>
      </c>
      <c r="J213" s="1067">
        <v>3</v>
      </c>
      <c r="K213" s="1067">
        <v>11</v>
      </c>
      <c r="L213" s="1067">
        <v>42</v>
      </c>
    </row>
    <row r="214" spans="1:12" x14ac:dyDescent="0.25">
      <c r="A214" s="1067" t="s">
        <v>273</v>
      </c>
      <c r="B214" s="1067" t="s">
        <v>249</v>
      </c>
      <c r="C214" s="1067" t="s">
        <v>402</v>
      </c>
      <c r="D214" s="1067" t="s">
        <v>174</v>
      </c>
      <c r="E214" s="1067">
        <v>38</v>
      </c>
      <c r="F214" s="1067">
        <v>1</v>
      </c>
      <c r="G214" s="1067"/>
      <c r="H214" s="1067">
        <v>6</v>
      </c>
      <c r="I214" s="1067">
        <v>1</v>
      </c>
      <c r="J214" s="1067">
        <v>5</v>
      </c>
      <c r="K214" s="1067">
        <v>5</v>
      </c>
      <c r="L214" s="1067">
        <v>20</v>
      </c>
    </row>
    <row r="215" spans="1:12" x14ac:dyDescent="0.25">
      <c r="A215" s="1067" t="s">
        <v>273</v>
      </c>
      <c r="B215" s="1067" t="s">
        <v>249</v>
      </c>
      <c r="C215" s="1067" t="s">
        <v>404</v>
      </c>
      <c r="D215" s="1067" t="s">
        <v>172</v>
      </c>
      <c r="E215" s="1067">
        <v>45</v>
      </c>
      <c r="F215" s="1067">
        <v>1</v>
      </c>
      <c r="G215" s="1067"/>
      <c r="H215" s="1067">
        <v>6</v>
      </c>
      <c r="I215" s="1067">
        <v>1</v>
      </c>
      <c r="J215" s="1067">
        <v>4</v>
      </c>
      <c r="K215" s="1067">
        <v>9</v>
      </c>
      <c r="L215" s="1067">
        <v>24</v>
      </c>
    </row>
    <row r="216" spans="1:12" x14ac:dyDescent="0.25">
      <c r="A216" s="1067" t="s">
        <v>273</v>
      </c>
      <c r="B216" s="1067" t="s">
        <v>250</v>
      </c>
      <c r="C216" s="1067" t="s">
        <v>382</v>
      </c>
      <c r="D216" s="1067" t="s">
        <v>259</v>
      </c>
      <c r="E216" s="1067">
        <v>182</v>
      </c>
      <c r="F216" s="1067">
        <v>15</v>
      </c>
      <c r="G216" s="1067">
        <v>4</v>
      </c>
      <c r="H216" s="1067">
        <v>0</v>
      </c>
      <c r="I216" s="1067">
        <v>101</v>
      </c>
      <c r="J216" s="1067">
        <v>11</v>
      </c>
      <c r="K216" s="1067">
        <v>9</v>
      </c>
      <c r="L216" s="1067">
        <v>42</v>
      </c>
    </row>
    <row r="217" spans="1:12" x14ac:dyDescent="0.25">
      <c r="A217" s="1067" t="s">
        <v>255</v>
      </c>
      <c r="B217" s="1067" t="s">
        <v>247</v>
      </c>
      <c r="C217" s="1067" t="s">
        <v>282</v>
      </c>
      <c r="D217" s="1067" t="s">
        <v>35</v>
      </c>
      <c r="E217" s="1067">
        <v>25</v>
      </c>
      <c r="F217" s="1067"/>
      <c r="G217" s="1067"/>
      <c r="H217" s="1067">
        <v>5</v>
      </c>
      <c r="I217" s="1067">
        <v>15</v>
      </c>
      <c r="J217" s="1067"/>
      <c r="K217" s="1067"/>
      <c r="L217" s="1067">
        <v>5</v>
      </c>
    </row>
    <row r="218" spans="1:12" x14ac:dyDescent="0.25">
      <c r="A218" s="1067" t="s">
        <v>255</v>
      </c>
      <c r="B218" s="1067" t="s">
        <v>247</v>
      </c>
      <c r="C218" s="1067" t="s">
        <v>283</v>
      </c>
      <c r="D218" s="1067" t="s">
        <v>36</v>
      </c>
      <c r="E218" s="1067">
        <v>54</v>
      </c>
      <c r="F218" s="1067"/>
      <c r="G218" s="1067"/>
      <c r="H218" s="1067">
        <v>11</v>
      </c>
      <c r="I218" s="1067">
        <v>38</v>
      </c>
      <c r="J218" s="1067"/>
      <c r="K218" s="1067"/>
      <c r="L218" s="1067">
        <v>5</v>
      </c>
    </row>
    <row r="219" spans="1:12" x14ac:dyDescent="0.25">
      <c r="A219" s="1067" t="s">
        <v>255</v>
      </c>
      <c r="B219" s="1067" t="s">
        <v>247</v>
      </c>
      <c r="C219" s="1067" t="s">
        <v>284</v>
      </c>
      <c r="D219" s="1067" t="s">
        <v>38</v>
      </c>
      <c r="E219" s="1067">
        <v>49</v>
      </c>
      <c r="F219" s="1067"/>
      <c r="G219" s="1067"/>
      <c r="H219" s="1067">
        <v>10</v>
      </c>
      <c r="I219" s="1067">
        <v>34</v>
      </c>
      <c r="J219" s="1067"/>
      <c r="K219" s="1067"/>
      <c r="L219" s="1067">
        <v>5</v>
      </c>
    </row>
    <row r="220" spans="1:12" x14ac:dyDescent="0.25">
      <c r="A220" s="1067" t="s">
        <v>255</v>
      </c>
      <c r="B220" s="1067" t="s">
        <v>247</v>
      </c>
      <c r="C220" s="1067" t="s">
        <v>285</v>
      </c>
      <c r="D220" s="1067" t="s">
        <v>40</v>
      </c>
      <c r="E220" s="1067">
        <v>23</v>
      </c>
      <c r="F220" s="1067"/>
      <c r="G220" s="1067"/>
      <c r="H220" s="1067">
        <v>5</v>
      </c>
      <c r="I220" s="1067">
        <v>13</v>
      </c>
      <c r="J220" s="1067"/>
      <c r="K220" s="1067"/>
      <c r="L220" s="1067">
        <v>5</v>
      </c>
    </row>
    <row r="221" spans="1:12" x14ac:dyDescent="0.25">
      <c r="A221" s="1067" t="s">
        <v>255</v>
      </c>
      <c r="B221" s="1067" t="s">
        <v>247</v>
      </c>
      <c r="C221" s="1067" t="s">
        <v>286</v>
      </c>
      <c r="D221" s="1067" t="s">
        <v>41</v>
      </c>
      <c r="E221" s="1067">
        <v>51</v>
      </c>
      <c r="F221" s="1067"/>
      <c r="G221" s="1067"/>
      <c r="H221" s="1067">
        <v>10</v>
      </c>
      <c r="I221" s="1067">
        <v>30</v>
      </c>
      <c r="J221" s="1067"/>
      <c r="K221" s="1067"/>
      <c r="L221" s="1067">
        <v>11</v>
      </c>
    </row>
    <row r="222" spans="1:12" x14ac:dyDescent="0.25">
      <c r="A222" s="1067" t="s">
        <v>255</v>
      </c>
      <c r="B222" s="1067" t="s">
        <v>247</v>
      </c>
      <c r="C222" s="1067" t="s">
        <v>288</v>
      </c>
      <c r="D222" s="1067" t="s">
        <v>42</v>
      </c>
      <c r="E222" s="1067">
        <v>87</v>
      </c>
      <c r="F222" s="1067"/>
      <c r="G222" s="1067"/>
      <c r="H222" s="1067">
        <v>22</v>
      </c>
      <c r="I222" s="1067">
        <v>49</v>
      </c>
      <c r="J222" s="1067"/>
      <c r="K222" s="1067"/>
      <c r="L222" s="1067">
        <v>16</v>
      </c>
    </row>
    <row r="223" spans="1:12" x14ac:dyDescent="0.25">
      <c r="A223" s="1067" t="s">
        <v>255</v>
      </c>
      <c r="B223" s="1067" t="s">
        <v>247</v>
      </c>
      <c r="C223" s="1067" t="s">
        <v>289</v>
      </c>
      <c r="D223" s="1067" t="s">
        <v>44</v>
      </c>
      <c r="E223" s="1067">
        <v>68</v>
      </c>
      <c r="F223" s="1067"/>
      <c r="G223" s="1067"/>
      <c r="H223" s="1067">
        <v>15</v>
      </c>
      <c r="I223" s="1067">
        <v>49</v>
      </c>
      <c r="J223" s="1067"/>
      <c r="K223" s="1067"/>
      <c r="L223" s="1067">
        <v>4</v>
      </c>
    </row>
    <row r="224" spans="1:12" x14ac:dyDescent="0.25">
      <c r="A224" s="1067" t="s">
        <v>255</v>
      </c>
      <c r="B224" s="1067" t="s">
        <v>247</v>
      </c>
      <c r="C224" s="1067" t="s">
        <v>290</v>
      </c>
      <c r="D224" s="1067" t="s">
        <v>45</v>
      </c>
      <c r="E224" s="1067">
        <v>72</v>
      </c>
      <c r="F224" s="1067"/>
      <c r="G224" s="1067"/>
      <c r="H224" s="1067">
        <v>15</v>
      </c>
      <c r="I224" s="1067">
        <v>44</v>
      </c>
      <c r="J224" s="1067"/>
      <c r="K224" s="1067"/>
      <c r="L224" s="1067">
        <v>13</v>
      </c>
    </row>
    <row r="225" spans="1:12" x14ac:dyDescent="0.25">
      <c r="A225" s="1067" t="s">
        <v>255</v>
      </c>
      <c r="B225" s="1067" t="s">
        <v>247</v>
      </c>
      <c r="C225" s="1067" t="s">
        <v>291</v>
      </c>
      <c r="D225" s="1067" t="s">
        <v>46</v>
      </c>
      <c r="E225" s="1067">
        <v>28</v>
      </c>
      <c r="F225" s="1067"/>
      <c r="G225" s="1067"/>
      <c r="H225" s="1067">
        <v>5</v>
      </c>
      <c r="I225" s="1067">
        <v>18</v>
      </c>
      <c r="J225" s="1067"/>
      <c r="K225" s="1067"/>
      <c r="L225" s="1067">
        <v>5</v>
      </c>
    </row>
    <row r="226" spans="1:12" x14ac:dyDescent="0.25">
      <c r="A226" s="1067" t="s">
        <v>255</v>
      </c>
      <c r="B226" s="1067" t="s">
        <v>247</v>
      </c>
      <c r="C226" s="1067" t="s">
        <v>292</v>
      </c>
      <c r="D226" s="1067" t="s">
        <v>47</v>
      </c>
      <c r="E226" s="1067">
        <v>29</v>
      </c>
      <c r="F226" s="1067"/>
      <c r="G226" s="1067"/>
      <c r="H226" s="1067">
        <v>5</v>
      </c>
      <c r="I226" s="1067">
        <v>19</v>
      </c>
      <c r="J226" s="1067"/>
      <c r="K226" s="1067"/>
      <c r="L226" s="1067">
        <v>5</v>
      </c>
    </row>
    <row r="227" spans="1:12" x14ac:dyDescent="0.25">
      <c r="A227" s="1067" t="s">
        <v>255</v>
      </c>
      <c r="B227" s="1067" t="s">
        <v>247</v>
      </c>
      <c r="C227" s="1067" t="s">
        <v>293</v>
      </c>
      <c r="D227" s="1067" t="s">
        <v>49</v>
      </c>
      <c r="E227" s="1067">
        <v>76</v>
      </c>
      <c r="F227" s="1067"/>
      <c r="G227" s="1067"/>
      <c r="H227" s="1067">
        <v>16</v>
      </c>
      <c r="I227" s="1067">
        <v>45</v>
      </c>
      <c r="J227" s="1067"/>
      <c r="K227" s="1067"/>
      <c r="L227" s="1067">
        <v>15</v>
      </c>
    </row>
    <row r="228" spans="1:12" x14ac:dyDescent="0.25">
      <c r="A228" s="1067" t="s">
        <v>255</v>
      </c>
      <c r="B228" s="1067" t="s">
        <v>247</v>
      </c>
      <c r="C228" s="1067" t="s">
        <v>295</v>
      </c>
      <c r="D228" s="1067" t="s">
        <v>52</v>
      </c>
      <c r="E228" s="1067">
        <v>69</v>
      </c>
      <c r="F228" s="1067"/>
      <c r="G228" s="1067"/>
      <c r="H228" s="1067">
        <v>10</v>
      </c>
      <c r="I228" s="1067">
        <v>54</v>
      </c>
      <c r="J228" s="1067"/>
      <c r="K228" s="1067"/>
      <c r="L228" s="1067">
        <v>5</v>
      </c>
    </row>
    <row r="229" spans="1:12" x14ac:dyDescent="0.25">
      <c r="A229" s="1067" t="s">
        <v>255</v>
      </c>
      <c r="B229" s="1067" t="s">
        <v>247</v>
      </c>
      <c r="C229" s="1067" t="s">
        <v>296</v>
      </c>
      <c r="D229" s="1067" t="s">
        <v>54</v>
      </c>
      <c r="E229" s="1067">
        <v>51</v>
      </c>
      <c r="F229" s="1067"/>
      <c r="G229" s="1067"/>
      <c r="H229" s="1067">
        <v>9</v>
      </c>
      <c r="I229" s="1067">
        <v>32</v>
      </c>
      <c r="J229" s="1067"/>
      <c r="K229" s="1067"/>
      <c r="L229" s="1067">
        <v>10</v>
      </c>
    </row>
    <row r="230" spans="1:12" x14ac:dyDescent="0.25">
      <c r="A230" s="1067" t="s">
        <v>255</v>
      </c>
      <c r="B230" s="1067" t="s">
        <v>247</v>
      </c>
      <c r="C230" s="1067" t="s">
        <v>298</v>
      </c>
      <c r="D230" s="1067" t="s">
        <v>56</v>
      </c>
      <c r="E230" s="1067">
        <v>50</v>
      </c>
      <c r="F230" s="1067"/>
      <c r="G230" s="1067"/>
      <c r="H230" s="1067">
        <v>10</v>
      </c>
      <c r="I230" s="1067">
        <v>35</v>
      </c>
      <c r="J230" s="1067"/>
      <c r="K230" s="1067"/>
      <c r="L230" s="1067">
        <v>5</v>
      </c>
    </row>
    <row r="231" spans="1:12" x14ac:dyDescent="0.25">
      <c r="A231" s="1067" t="s">
        <v>255</v>
      </c>
      <c r="B231" s="1067" t="s">
        <v>247</v>
      </c>
      <c r="C231" s="1067" t="s">
        <v>299</v>
      </c>
      <c r="D231" s="1067" t="s">
        <v>57</v>
      </c>
      <c r="E231" s="1067">
        <v>166</v>
      </c>
      <c r="F231" s="1067"/>
      <c r="G231" s="1067"/>
      <c r="H231" s="1067">
        <v>35</v>
      </c>
      <c r="I231" s="1067">
        <v>111</v>
      </c>
      <c r="J231" s="1067"/>
      <c r="K231" s="1067"/>
      <c r="L231" s="1067">
        <v>20</v>
      </c>
    </row>
    <row r="232" spans="1:12" x14ac:dyDescent="0.25">
      <c r="A232" s="1067" t="s">
        <v>255</v>
      </c>
      <c r="B232" s="1067" t="s">
        <v>247</v>
      </c>
      <c r="C232" s="1067" t="s">
        <v>300</v>
      </c>
      <c r="D232" s="1067" t="s">
        <v>58</v>
      </c>
      <c r="E232" s="1067">
        <v>48</v>
      </c>
      <c r="F232" s="1067"/>
      <c r="G232" s="1067"/>
      <c r="H232" s="1067">
        <v>9</v>
      </c>
      <c r="I232" s="1067">
        <v>34</v>
      </c>
      <c r="J232" s="1067"/>
      <c r="K232" s="1067"/>
      <c r="L232" s="1067">
        <v>5</v>
      </c>
    </row>
    <row r="233" spans="1:12" x14ac:dyDescent="0.25">
      <c r="A233" s="1067" t="s">
        <v>255</v>
      </c>
      <c r="B233" s="1067" t="s">
        <v>247</v>
      </c>
      <c r="C233" s="1067" t="s">
        <v>301</v>
      </c>
      <c r="D233" s="1067" t="s">
        <v>31</v>
      </c>
      <c r="E233" s="1067">
        <v>145</v>
      </c>
      <c r="F233" s="1067"/>
      <c r="G233" s="1067"/>
      <c r="H233" s="1067">
        <v>33</v>
      </c>
      <c r="I233" s="1067">
        <v>97</v>
      </c>
      <c r="J233" s="1067"/>
      <c r="K233" s="1067"/>
      <c r="L233" s="1067">
        <v>15</v>
      </c>
    </row>
    <row r="234" spans="1:12" x14ac:dyDescent="0.25">
      <c r="A234" s="1067" t="s">
        <v>255</v>
      </c>
      <c r="B234" s="1067" t="s">
        <v>247</v>
      </c>
      <c r="C234" s="1067" t="s">
        <v>302</v>
      </c>
      <c r="D234" s="1067" t="s">
        <v>32</v>
      </c>
      <c r="E234" s="1067">
        <v>24</v>
      </c>
      <c r="F234" s="1067"/>
      <c r="G234" s="1067"/>
      <c r="H234" s="1067">
        <v>5</v>
      </c>
      <c r="I234" s="1067">
        <v>14</v>
      </c>
      <c r="J234" s="1067"/>
      <c r="K234" s="1067"/>
      <c r="L234" s="1067">
        <v>5</v>
      </c>
    </row>
    <row r="235" spans="1:12" x14ac:dyDescent="0.25">
      <c r="A235" s="1067" t="s">
        <v>255</v>
      </c>
      <c r="B235" s="1067" t="s">
        <v>247</v>
      </c>
      <c r="C235" s="1067" t="s">
        <v>303</v>
      </c>
      <c r="D235" s="1067" t="s">
        <v>34</v>
      </c>
      <c r="E235" s="1067">
        <v>50</v>
      </c>
      <c r="F235" s="1067"/>
      <c r="G235" s="1067"/>
      <c r="H235" s="1067">
        <v>10</v>
      </c>
      <c r="I235" s="1067">
        <v>30</v>
      </c>
      <c r="J235" s="1067"/>
      <c r="K235" s="1067"/>
      <c r="L235" s="1067">
        <v>10</v>
      </c>
    </row>
    <row r="236" spans="1:12" x14ac:dyDescent="0.25">
      <c r="A236" s="1067" t="s">
        <v>255</v>
      </c>
      <c r="B236" s="1067" t="s">
        <v>247</v>
      </c>
      <c r="C236" s="1067" t="s">
        <v>304</v>
      </c>
      <c r="D236" s="1067" t="s">
        <v>258</v>
      </c>
      <c r="E236" s="1067">
        <v>293</v>
      </c>
      <c r="F236" s="1067"/>
      <c r="G236" s="1067"/>
      <c r="H236" s="1067">
        <v>54</v>
      </c>
      <c r="I236" s="1067">
        <v>204</v>
      </c>
      <c r="J236" s="1067"/>
      <c r="K236" s="1067"/>
      <c r="L236" s="1067">
        <v>35</v>
      </c>
    </row>
    <row r="237" spans="1:12" x14ac:dyDescent="0.25">
      <c r="A237" s="1067" t="s">
        <v>255</v>
      </c>
      <c r="B237" s="1067" t="s">
        <v>247</v>
      </c>
      <c r="C237" s="1067" t="s">
        <v>305</v>
      </c>
      <c r="D237" s="1067" t="s">
        <v>53</v>
      </c>
      <c r="E237" s="1067">
        <v>94</v>
      </c>
      <c r="F237" s="1067"/>
      <c r="G237" s="1067"/>
      <c r="H237" s="1067">
        <v>20</v>
      </c>
      <c r="I237" s="1067">
        <v>59</v>
      </c>
      <c r="J237" s="1067"/>
      <c r="K237" s="1067"/>
      <c r="L237" s="1067">
        <v>15</v>
      </c>
    </row>
    <row r="238" spans="1:12" x14ac:dyDescent="0.25">
      <c r="A238" s="1067" t="s">
        <v>255</v>
      </c>
      <c r="B238" s="1067" t="s">
        <v>247</v>
      </c>
      <c r="C238" s="1067" t="s">
        <v>306</v>
      </c>
      <c r="D238" s="1067" t="s">
        <v>59</v>
      </c>
      <c r="E238" s="1067">
        <v>68</v>
      </c>
      <c r="F238" s="1067"/>
      <c r="G238" s="1067"/>
      <c r="H238" s="1067">
        <v>15</v>
      </c>
      <c r="I238" s="1067">
        <v>43</v>
      </c>
      <c r="J238" s="1067"/>
      <c r="K238" s="1067"/>
      <c r="L238" s="1067">
        <v>10</v>
      </c>
    </row>
    <row r="239" spans="1:12" x14ac:dyDescent="0.25">
      <c r="A239" s="1067" t="s">
        <v>255</v>
      </c>
      <c r="B239" s="1067" t="s">
        <v>247</v>
      </c>
      <c r="C239" s="1067" t="s">
        <v>307</v>
      </c>
      <c r="D239" s="1067" t="s">
        <v>60</v>
      </c>
      <c r="E239" s="1067">
        <v>58</v>
      </c>
      <c r="F239" s="1067"/>
      <c r="G239" s="1067"/>
      <c r="H239" s="1067">
        <v>11</v>
      </c>
      <c r="I239" s="1067">
        <v>37</v>
      </c>
      <c r="J239" s="1067"/>
      <c r="K239" s="1067"/>
      <c r="L239" s="1067">
        <v>10</v>
      </c>
    </row>
    <row r="240" spans="1:12" x14ac:dyDescent="0.25">
      <c r="A240" s="1067" t="s">
        <v>255</v>
      </c>
      <c r="B240" s="1067" t="s">
        <v>247</v>
      </c>
      <c r="C240" s="1067" t="s">
        <v>308</v>
      </c>
      <c r="D240" s="1067" t="s">
        <v>33</v>
      </c>
      <c r="E240" s="1067">
        <v>28</v>
      </c>
      <c r="F240" s="1067"/>
      <c r="G240" s="1067"/>
      <c r="H240" s="1067">
        <v>5</v>
      </c>
      <c r="I240" s="1067">
        <v>18</v>
      </c>
      <c r="J240" s="1067"/>
      <c r="K240" s="1067"/>
      <c r="L240" s="1067">
        <v>5</v>
      </c>
    </row>
    <row r="241" spans="1:12" x14ac:dyDescent="0.25">
      <c r="A241" s="1067" t="s">
        <v>255</v>
      </c>
      <c r="B241" s="1067" t="s">
        <v>247</v>
      </c>
      <c r="C241" s="1067" t="s">
        <v>309</v>
      </c>
      <c r="D241" s="1067" t="s">
        <v>37</v>
      </c>
      <c r="E241" s="1067">
        <v>178</v>
      </c>
      <c r="F241" s="1067"/>
      <c r="G241" s="1067"/>
      <c r="H241" s="1067">
        <v>35</v>
      </c>
      <c r="I241" s="1067">
        <v>122</v>
      </c>
      <c r="J241" s="1067"/>
      <c r="K241" s="1067"/>
      <c r="L241" s="1067">
        <v>21</v>
      </c>
    </row>
    <row r="242" spans="1:12" x14ac:dyDescent="0.25">
      <c r="A242" s="1067" t="s">
        <v>255</v>
      </c>
      <c r="B242" s="1067" t="s">
        <v>247</v>
      </c>
      <c r="C242" s="1067" t="s">
        <v>310</v>
      </c>
      <c r="D242" s="1067" t="s">
        <v>50</v>
      </c>
      <c r="E242" s="1067">
        <v>163</v>
      </c>
      <c r="F242" s="1067"/>
      <c r="G242" s="1067"/>
      <c r="H242" s="1067">
        <v>31</v>
      </c>
      <c r="I242" s="1067">
        <v>113</v>
      </c>
      <c r="J242" s="1067"/>
      <c r="K242" s="1067"/>
      <c r="L242" s="1067">
        <v>19</v>
      </c>
    </row>
    <row r="243" spans="1:12" x14ac:dyDescent="0.25">
      <c r="A243" s="1067" t="s">
        <v>255</v>
      </c>
      <c r="B243" s="1067" t="s">
        <v>247</v>
      </c>
      <c r="C243" s="1067" t="s">
        <v>311</v>
      </c>
      <c r="D243" s="1067" t="s">
        <v>39</v>
      </c>
      <c r="E243" s="1067">
        <v>78</v>
      </c>
      <c r="F243" s="1067"/>
      <c r="G243" s="1067"/>
      <c r="H243" s="1067">
        <v>15</v>
      </c>
      <c r="I243" s="1067">
        <v>48</v>
      </c>
      <c r="J243" s="1067"/>
      <c r="K243" s="1067"/>
      <c r="L243" s="1067">
        <v>15</v>
      </c>
    </row>
    <row r="244" spans="1:12" x14ac:dyDescent="0.25">
      <c r="A244" s="1067" t="s">
        <v>255</v>
      </c>
      <c r="B244" s="1067" t="s">
        <v>247</v>
      </c>
      <c r="C244" s="1067" t="s">
        <v>312</v>
      </c>
      <c r="D244" s="1067" t="s">
        <v>121</v>
      </c>
      <c r="E244" s="1067">
        <v>489</v>
      </c>
      <c r="F244" s="1067"/>
      <c r="G244" s="1067"/>
      <c r="H244" s="1067">
        <v>113</v>
      </c>
      <c r="I244" s="1067">
        <v>319</v>
      </c>
      <c r="J244" s="1067"/>
      <c r="K244" s="1067"/>
      <c r="L244" s="1067">
        <v>57</v>
      </c>
    </row>
    <row r="245" spans="1:12" x14ac:dyDescent="0.25">
      <c r="A245" s="1067" t="s">
        <v>255</v>
      </c>
      <c r="B245" s="1067" t="s">
        <v>247</v>
      </c>
      <c r="C245" s="1067" t="s">
        <v>313</v>
      </c>
      <c r="D245" s="1067" t="s">
        <v>43</v>
      </c>
      <c r="E245" s="1067">
        <v>254</v>
      </c>
      <c r="F245" s="1067"/>
      <c r="G245" s="1067"/>
      <c r="H245" s="1067">
        <v>49</v>
      </c>
      <c r="I245" s="1067">
        <v>181</v>
      </c>
      <c r="J245" s="1067"/>
      <c r="K245" s="1067"/>
      <c r="L245" s="1067">
        <v>24</v>
      </c>
    </row>
    <row r="246" spans="1:12" x14ac:dyDescent="0.25">
      <c r="A246" s="1067" t="s">
        <v>255</v>
      </c>
      <c r="B246" s="1067" t="s">
        <v>248</v>
      </c>
      <c r="C246" s="1067" t="s">
        <v>369</v>
      </c>
      <c r="D246" s="1067" t="s">
        <v>31</v>
      </c>
      <c r="E246" s="1067">
        <v>15</v>
      </c>
      <c r="F246" s="1067">
        <v>1</v>
      </c>
      <c r="G246" s="1067"/>
      <c r="H246" s="1067">
        <v>2</v>
      </c>
      <c r="I246" s="1067">
        <v>2</v>
      </c>
      <c r="J246" s="1067">
        <v>2</v>
      </c>
      <c r="K246" s="1067">
        <v>3</v>
      </c>
      <c r="L246" s="1067">
        <v>5</v>
      </c>
    </row>
    <row r="247" spans="1:12" x14ac:dyDescent="0.25">
      <c r="A247" s="1067" t="s">
        <v>255</v>
      </c>
      <c r="B247" s="1067" t="s">
        <v>248</v>
      </c>
      <c r="C247" s="1067" t="s">
        <v>370</v>
      </c>
      <c r="D247" s="1067" t="s">
        <v>63</v>
      </c>
      <c r="E247" s="1067">
        <v>25</v>
      </c>
      <c r="F247" s="1067">
        <v>1</v>
      </c>
      <c r="G247" s="1067"/>
      <c r="H247" s="1067">
        <v>7</v>
      </c>
      <c r="I247" s="1067"/>
      <c r="J247" s="1067">
        <v>2</v>
      </c>
      <c r="K247" s="1067">
        <v>7</v>
      </c>
      <c r="L247" s="1067">
        <v>8</v>
      </c>
    </row>
    <row r="248" spans="1:12" x14ac:dyDescent="0.25">
      <c r="A248" s="1067" t="s">
        <v>255</v>
      </c>
      <c r="B248" s="1067" t="s">
        <v>248</v>
      </c>
      <c r="C248" s="1067" t="s">
        <v>372</v>
      </c>
      <c r="D248" s="1067" t="s">
        <v>64</v>
      </c>
      <c r="E248" s="1067">
        <v>26</v>
      </c>
      <c r="F248" s="1067">
        <v>1</v>
      </c>
      <c r="G248" s="1067"/>
      <c r="H248" s="1067">
        <v>6</v>
      </c>
      <c r="I248" s="1067">
        <v>1</v>
      </c>
      <c r="J248" s="1067">
        <v>3</v>
      </c>
      <c r="K248" s="1067">
        <v>9</v>
      </c>
      <c r="L248" s="1067">
        <v>6</v>
      </c>
    </row>
    <row r="249" spans="1:12" x14ac:dyDescent="0.25">
      <c r="A249" s="1067" t="s">
        <v>255</v>
      </c>
      <c r="B249" s="1067" t="s">
        <v>248</v>
      </c>
      <c r="C249" s="1067" t="s">
        <v>373</v>
      </c>
      <c r="D249" s="1067" t="s">
        <v>36</v>
      </c>
      <c r="E249" s="1067">
        <v>22</v>
      </c>
      <c r="F249" s="1067">
        <v>1</v>
      </c>
      <c r="G249" s="1067"/>
      <c r="H249" s="1067">
        <v>4</v>
      </c>
      <c r="I249" s="1067">
        <v>2</v>
      </c>
      <c r="J249" s="1067">
        <v>2</v>
      </c>
      <c r="K249" s="1067">
        <v>6</v>
      </c>
      <c r="L249" s="1067">
        <v>7</v>
      </c>
    </row>
    <row r="250" spans="1:12" x14ac:dyDescent="0.25">
      <c r="A250" s="1067" t="s">
        <v>255</v>
      </c>
      <c r="B250" s="1067" t="s">
        <v>248</v>
      </c>
      <c r="C250" s="1067" t="s">
        <v>374</v>
      </c>
      <c r="D250" s="1067" t="s">
        <v>66</v>
      </c>
      <c r="E250" s="1067">
        <v>27</v>
      </c>
      <c r="F250" s="1067">
        <v>1</v>
      </c>
      <c r="G250" s="1067"/>
      <c r="H250" s="1067">
        <v>5</v>
      </c>
      <c r="I250" s="1067">
        <v>1</v>
      </c>
      <c r="J250" s="1067">
        <v>3</v>
      </c>
      <c r="K250" s="1067">
        <v>9</v>
      </c>
      <c r="L250" s="1067">
        <v>8</v>
      </c>
    </row>
    <row r="251" spans="1:12" x14ac:dyDescent="0.25">
      <c r="A251" s="1067" t="s">
        <v>255</v>
      </c>
      <c r="B251" s="1067" t="s">
        <v>248</v>
      </c>
      <c r="C251" s="1067" t="s">
        <v>375</v>
      </c>
      <c r="D251" s="1067" t="s">
        <v>67</v>
      </c>
      <c r="E251" s="1067">
        <v>27</v>
      </c>
      <c r="F251" s="1067">
        <v>1</v>
      </c>
      <c r="G251" s="1067"/>
      <c r="H251" s="1067">
        <v>3</v>
      </c>
      <c r="I251" s="1067">
        <v>5</v>
      </c>
      <c r="J251" s="1067">
        <v>3</v>
      </c>
      <c r="K251" s="1067">
        <v>7</v>
      </c>
      <c r="L251" s="1067">
        <v>8</v>
      </c>
    </row>
    <row r="252" spans="1:12" x14ac:dyDescent="0.25">
      <c r="A252" s="1067" t="s">
        <v>255</v>
      </c>
      <c r="B252" s="1067" t="s">
        <v>248</v>
      </c>
      <c r="C252" s="1067" t="s">
        <v>376</v>
      </c>
      <c r="D252" s="1067" t="s">
        <v>68</v>
      </c>
      <c r="E252" s="1067">
        <v>16</v>
      </c>
      <c r="F252" s="1067">
        <v>1</v>
      </c>
      <c r="G252" s="1067"/>
      <c r="H252" s="1067">
        <v>2</v>
      </c>
      <c r="I252" s="1067">
        <v>2</v>
      </c>
      <c r="J252" s="1067">
        <v>3</v>
      </c>
      <c r="K252" s="1067">
        <v>4</v>
      </c>
      <c r="L252" s="1067">
        <v>4</v>
      </c>
    </row>
    <row r="253" spans="1:12" x14ac:dyDescent="0.25">
      <c r="A253" s="1067" t="s">
        <v>255</v>
      </c>
      <c r="B253" s="1067" t="s">
        <v>248</v>
      </c>
      <c r="C253" s="1067" t="s">
        <v>377</v>
      </c>
      <c r="D253" s="1067" t="s">
        <v>175</v>
      </c>
      <c r="E253" s="1067">
        <v>31</v>
      </c>
      <c r="F253" s="1067">
        <v>1</v>
      </c>
      <c r="G253" s="1067"/>
      <c r="H253" s="1067">
        <v>6</v>
      </c>
      <c r="I253" s="1067">
        <v>3</v>
      </c>
      <c r="J253" s="1067">
        <v>3</v>
      </c>
      <c r="K253" s="1067">
        <v>7</v>
      </c>
      <c r="L253" s="1067">
        <v>11</v>
      </c>
    </row>
    <row r="254" spans="1:12" x14ac:dyDescent="0.25">
      <c r="A254" s="1067" t="s">
        <v>255</v>
      </c>
      <c r="B254" s="1067" t="s">
        <v>248</v>
      </c>
      <c r="C254" s="1067" t="s">
        <v>378</v>
      </c>
      <c r="D254" s="1067" t="s">
        <v>69</v>
      </c>
      <c r="E254" s="1067">
        <v>19</v>
      </c>
      <c r="F254" s="1067">
        <v>1</v>
      </c>
      <c r="G254" s="1067"/>
      <c r="H254" s="1067">
        <v>3</v>
      </c>
      <c r="I254" s="1067">
        <v>2</v>
      </c>
      <c r="J254" s="1067">
        <v>2</v>
      </c>
      <c r="K254" s="1067">
        <v>5</v>
      </c>
      <c r="L254" s="1067">
        <v>6</v>
      </c>
    </row>
    <row r="255" spans="1:12" x14ac:dyDescent="0.25">
      <c r="A255" s="1067" t="s">
        <v>255</v>
      </c>
      <c r="B255" s="1067" t="s">
        <v>248</v>
      </c>
      <c r="C255" s="1067" t="s">
        <v>1074</v>
      </c>
      <c r="D255" s="1067" t="s">
        <v>121</v>
      </c>
      <c r="E255" s="1067">
        <v>22</v>
      </c>
      <c r="F255" s="1067">
        <v>1</v>
      </c>
      <c r="G255" s="1067"/>
      <c r="H255" s="1067">
        <v>2</v>
      </c>
      <c r="I255" s="1067">
        <v>1</v>
      </c>
      <c r="J255" s="1067">
        <v>4</v>
      </c>
      <c r="K255" s="1067">
        <v>8</v>
      </c>
      <c r="L255" s="1067">
        <v>6</v>
      </c>
    </row>
    <row r="256" spans="1:12" x14ac:dyDescent="0.25">
      <c r="A256" s="1067" t="s">
        <v>255</v>
      </c>
      <c r="B256" s="1067" t="s">
        <v>248</v>
      </c>
      <c r="C256" s="1067" t="s">
        <v>379</v>
      </c>
      <c r="D256" s="1067" t="s">
        <v>70</v>
      </c>
      <c r="E256" s="1067">
        <v>32</v>
      </c>
      <c r="F256" s="1067">
        <v>1</v>
      </c>
      <c r="G256" s="1067"/>
      <c r="H256" s="1067">
        <v>7</v>
      </c>
      <c r="I256" s="1067">
        <v>1</v>
      </c>
      <c r="J256" s="1067">
        <v>4</v>
      </c>
      <c r="K256" s="1067">
        <v>12</v>
      </c>
      <c r="L256" s="1067">
        <v>7</v>
      </c>
    </row>
    <row r="257" spans="1:12" x14ac:dyDescent="0.25">
      <c r="A257" s="1067" t="s">
        <v>255</v>
      </c>
      <c r="B257" s="1067" t="s">
        <v>248</v>
      </c>
      <c r="C257" s="1067" t="s">
        <v>1075</v>
      </c>
      <c r="D257" s="1067" t="s">
        <v>50</v>
      </c>
      <c r="E257" s="1067">
        <v>17</v>
      </c>
      <c r="F257" s="1067">
        <v>1</v>
      </c>
      <c r="G257" s="1067"/>
      <c r="H257" s="1067">
        <v>2</v>
      </c>
      <c r="I257" s="1067">
        <v>1</v>
      </c>
      <c r="J257" s="1067">
        <v>2</v>
      </c>
      <c r="K257" s="1067">
        <v>6</v>
      </c>
      <c r="L257" s="1067">
        <v>5</v>
      </c>
    </row>
    <row r="258" spans="1:12" x14ac:dyDescent="0.25">
      <c r="A258" s="1067" t="s">
        <v>255</v>
      </c>
      <c r="B258" s="1067" t="s">
        <v>248</v>
      </c>
      <c r="C258" s="1067" t="s">
        <v>380</v>
      </c>
      <c r="D258" s="1067" t="s">
        <v>57</v>
      </c>
      <c r="E258" s="1067">
        <v>16</v>
      </c>
      <c r="F258" s="1067">
        <v>1</v>
      </c>
      <c r="G258" s="1067"/>
      <c r="H258" s="1067">
        <v>2</v>
      </c>
      <c r="I258" s="1067">
        <v>1</v>
      </c>
      <c r="J258" s="1067">
        <v>2</v>
      </c>
      <c r="K258" s="1067">
        <v>6</v>
      </c>
      <c r="L258" s="1067">
        <v>4</v>
      </c>
    </row>
    <row r="259" spans="1:12" x14ac:dyDescent="0.25">
      <c r="A259" s="1067" t="s">
        <v>255</v>
      </c>
      <c r="B259" s="1067" t="s">
        <v>248</v>
      </c>
      <c r="C259" s="1067" t="s">
        <v>1072</v>
      </c>
      <c r="D259" s="1067" t="s">
        <v>1071</v>
      </c>
      <c r="E259" s="1067">
        <v>18</v>
      </c>
      <c r="F259" s="1067">
        <v>1</v>
      </c>
      <c r="G259" s="1067"/>
      <c r="H259" s="1067">
        <v>3</v>
      </c>
      <c r="I259" s="1067">
        <v>1</v>
      </c>
      <c r="J259" s="1067">
        <v>3</v>
      </c>
      <c r="K259" s="1067">
        <v>5</v>
      </c>
      <c r="L259" s="1067">
        <v>5</v>
      </c>
    </row>
    <row r="260" spans="1:12" x14ac:dyDescent="0.25">
      <c r="A260" s="1067" t="s">
        <v>255</v>
      </c>
      <c r="B260" s="1067" t="s">
        <v>248</v>
      </c>
      <c r="C260" s="1067" t="s">
        <v>381</v>
      </c>
      <c r="D260" s="1067" t="s">
        <v>71</v>
      </c>
      <c r="E260" s="1067">
        <v>19</v>
      </c>
      <c r="F260" s="1067">
        <v>1</v>
      </c>
      <c r="G260" s="1067"/>
      <c r="H260" s="1067">
        <v>5</v>
      </c>
      <c r="I260" s="1067"/>
      <c r="J260" s="1067">
        <v>2</v>
      </c>
      <c r="K260" s="1067">
        <v>6</v>
      </c>
      <c r="L260" s="1067">
        <v>5</v>
      </c>
    </row>
    <row r="261" spans="1:12" x14ac:dyDescent="0.25">
      <c r="A261" s="1067" t="s">
        <v>255</v>
      </c>
      <c r="B261" s="1067" t="s">
        <v>248</v>
      </c>
      <c r="C261" s="1067" t="s">
        <v>371</v>
      </c>
      <c r="D261" s="1067" t="s">
        <v>65</v>
      </c>
      <c r="E261" s="1067">
        <v>28</v>
      </c>
      <c r="F261" s="1067">
        <v>1</v>
      </c>
      <c r="G261" s="1067"/>
      <c r="H261" s="1067">
        <v>3</v>
      </c>
      <c r="I261" s="1067">
        <v>2</v>
      </c>
      <c r="J261" s="1067">
        <v>4</v>
      </c>
      <c r="K261" s="1067">
        <v>9</v>
      </c>
      <c r="L261" s="1067">
        <v>9</v>
      </c>
    </row>
    <row r="262" spans="1:12" x14ac:dyDescent="0.25">
      <c r="A262" s="1067" t="s">
        <v>255</v>
      </c>
      <c r="B262" s="1067" t="s">
        <v>248</v>
      </c>
      <c r="C262" s="1067" t="s">
        <v>1073</v>
      </c>
      <c r="D262" s="1067" t="s">
        <v>43</v>
      </c>
      <c r="E262" s="1067">
        <v>19</v>
      </c>
      <c r="F262" s="1067"/>
      <c r="G262" s="1067"/>
      <c r="H262" s="1067">
        <v>1</v>
      </c>
      <c r="I262" s="1067">
        <v>4</v>
      </c>
      <c r="J262" s="1067">
        <v>2</v>
      </c>
      <c r="K262" s="1067">
        <v>6</v>
      </c>
      <c r="L262" s="1067">
        <v>6</v>
      </c>
    </row>
    <row r="263" spans="1:12" x14ac:dyDescent="0.25">
      <c r="A263" s="1067" t="s">
        <v>255</v>
      </c>
      <c r="B263" s="1067" t="s">
        <v>249</v>
      </c>
      <c r="C263" s="1067" t="s">
        <v>403</v>
      </c>
      <c r="D263" s="1067" t="s">
        <v>173</v>
      </c>
      <c r="E263" s="1067">
        <v>73</v>
      </c>
      <c r="F263" s="1067">
        <v>1</v>
      </c>
      <c r="G263" s="1067"/>
      <c r="H263" s="1067">
        <v>18</v>
      </c>
      <c r="I263" s="1067"/>
      <c r="J263" s="1067">
        <v>4</v>
      </c>
      <c r="K263" s="1067">
        <v>13</v>
      </c>
      <c r="L263" s="1067">
        <v>37</v>
      </c>
    </row>
    <row r="264" spans="1:12" x14ac:dyDescent="0.25">
      <c r="A264" s="1067" t="s">
        <v>255</v>
      </c>
      <c r="B264" s="1067" t="s">
        <v>249</v>
      </c>
      <c r="C264" s="1067" t="s">
        <v>402</v>
      </c>
      <c r="D264" s="1067" t="s">
        <v>174</v>
      </c>
      <c r="E264" s="1067">
        <v>37</v>
      </c>
      <c r="F264" s="1067">
        <v>1</v>
      </c>
      <c r="G264" s="1067"/>
      <c r="H264" s="1067">
        <v>9</v>
      </c>
      <c r="I264" s="1067"/>
      <c r="J264" s="1067">
        <v>5</v>
      </c>
      <c r="K264" s="1067">
        <v>6</v>
      </c>
      <c r="L264" s="1067">
        <v>16</v>
      </c>
    </row>
    <row r="265" spans="1:12" x14ac:dyDescent="0.25">
      <c r="A265" s="1067" t="s">
        <v>255</v>
      </c>
      <c r="B265" s="1067" t="s">
        <v>249</v>
      </c>
      <c r="C265" s="1067" t="s">
        <v>404</v>
      </c>
      <c r="D265" s="1067" t="s">
        <v>172</v>
      </c>
      <c r="E265" s="1067">
        <v>46</v>
      </c>
      <c r="F265" s="1067">
        <v>1</v>
      </c>
      <c r="G265" s="1067"/>
      <c r="H265" s="1067">
        <v>11</v>
      </c>
      <c r="I265" s="1067"/>
      <c r="J265" s="1067">
        <v>6</v>
      </c>
      <c r="K265" s="1067">
        <v>10</v>
      </c>
      <c r="L265" s="1067">
        <v>18</v>
      </c>
    </row>
    <row r="266" spans="1:12" x14ac:dyDescent="0.25">
      <c r="A266" s="1067" t="s">
        <v>255</v>
      </c>
      <c r="B266" s="1067" t="s">
        <v>250</v>
      </c>
      <c r="C266" s="1067" t="s">
        <v>382</v>
      </c>
      <c r="D266" s="1067" t="s">
        <v>259</v>
      </c>
      <c r="E266" s="1067">
        <v>143</v>
      </c>
      <c r="F266" s="1067">
        <v>15</v>
      </c>
      <c r="G266" s="1067">
        <v>4</v>
      </c>
      <c r="H266" s="1067"/>
      <c r="I266" s="1067">
        <v>55</v>
      </c>
      <c r="J266" s="1067">
        <v>13</v>
      </c>
      <c r="K266" s="1067">
        <v>9</v>
      </c>
      <c r="L266" s="1067">
        <v>47</v>
      </c>
    </row>
    <row r="267" spans="1:12" x14ac:dyDescent="0.25">
      <c r="A267" s="1067" t="s">
        <v>254</v>
      </c>
      <c r="B267" s="1067" t="s">
        <v>247</v>
      </c>
      <c r="C267" s="1067" t="s">
        <v>282</v>
      </c>
      <c r="D267" s="1067" t="s">
        <v>35</v>
      </c>
      <c r="E267" s="1067">
        <v>25</v>
      </c>
      <c r="F267" s="1067"/>
      <c r="G267" s="1067"/>
      <c r="H267" s="1067">
        <v>5</v>
      </c>
      <c r="I267" s="1067">
        <v>15</v>
      </c>
      <c r="J267" s="1067"/>
      <c r="K267" s="1067"/>
      <c r="L267" s="1067">
        <v>5</v>
      </c>
    </row>
    <row r="268" spans="1:12" x14ac:dyDescent="0.25">
      <c r="A268" s="1067" t="s">
        <v>254</v>
      </c>
      <c r="B268" s="1067" t="s">
        <v>247</v>
      </c>
      <c r="C268" s="1067" t="s">
        <v>283</v>
      </c>
      <c r="D268" s="1067" t="s">
        <v>36</v>
      </c>
      <c r="E268" s="1067">
        <v>53</v>
      </c>
      <c r="F268" s="1067"/>
      <c r="G268" s="1067"/>
      <c r="H268" s="1067">
        <v>10</v>
      </c>
      <c r="I268" s="1067">
        <v>38</v>
      </c>
      <c r="J268" s="1067"/>
      <c r="K268" s="1067"/>
      <c r="L268" s="1067">
        <v>5</v>
      </c>
    </row>
    <row r="269" spans="1:12" x14ac:dyDescent="0.25">
      <c r="A269" s="1067" t="s">
        <v>254</v>
      </c>
      <c r="B269" s="1067" t="s">
        <v>247</v>
      </c>
      <c r="C269" s="1067" t="s">
        <v>284</v>
      </c>
      <c r="D269" s="1067" t="s">
        <v>38</v>
      </c>
      <c r="E269" s="1067">
        <v>47</v>
      </c>
      <c r="F269" s="1067"/>
      <c r="G269" s="1067"/>
      <c r="H269" s="1067">
        <v>10</v>
      </c>
      <c r="I269" s="1067">
        <v>32</v>
      </c>
      <c r="J269" s="1067"/>
      <c r="K269" s="1067"/>
      <c r="L269" s="1067">
        <v>5</v>
      </c>
    </row>
    <row r="270" spans="1:12" x14ac:dyDescent="0.25">
      <c r="A270" s="1067" t="s">
        <v>254</v>
      </c>
      <c r="B270" s="1067" t="s">
        <v>247</v>
      </c>
      <c r="C270" s="1067" t="s">
        <v>285</v>
      </c>
      <c r="D270" s="1067" t="s">
        <v>40</v>
      </c>
      <c r="E270" s="1067">
        <v>24</v>
      </c>
      <c r="F270" s="1067"/>
      <c r="G270" s="1067"/>
      <c r="H270" s="1067">
        <v>5</v>
      </c>
      <c r="I270" s="1067">
        <v>14</v>
      </c>
      <c r="J270" s="1067"/>
      <c r="K270" s="1067"/>
      <c r="L270" s="1067">
        <v>5</v>
      </c>
    </row>
    <row r="271" spans="1:12" x14ac:dyDescent="0.25">
      <c r="A271" s="1067" t="s">
        <v>254</v>
      </c>
      <c r="B271" s="1067" t="s">
        <v>247</v>
      </c>
      <c r="C271" s="1067" t="s">
        <v>286</v>
      </c>
      <c r="D271" s="1067" t="s">
        <v>41</v>
      </c>
      <c r="E271" s="1067">
        <v>52</v>
      </c>
      <c r="F271" s="1067"/>
      <c r="G271" s="1067"/>
      <c r="H271" s="1067">
        <v>10</v>
      </c>
      <c r="I271" s="1067">
        <v>31</v>
      </c>
      <c r="J271" s="1067"/>
      <c r="K271" s="1067"/>
      <c r="L271" s="1067">
        <v>11</v>
      </c>
    </row>
    <row r="272" spans="1:12" x14ac:dyDescent="0.25">
      <c r="A272" s="1067" t="s">
        <v>254</v>
      </c>
      <c r="B272" s="1067" t="s">
        <v>247</v>
      </c>
      <c r="C272" s="1067" t="s">
        <v>288</v>
      </c>
      <c r="D272" s="1067" t="s">
        <v>42</v>
      </c>
      <c r="E272" s="1067">
        <v>88</v>
      </c>
      <c r="F272" s="1067"/>
      <c r="G272" s="1067"/>
      <c r="H272" s="1067">
        <v>20</v>
      </c>
      <c r="I272" s="1067">
        <v>53</v>
      </c>
      <c r="J272" s="1067"/>
      <c r="K272" s="1067"/>
      <c r="L272" s="1067">
        <v>15</v>
      </c>
    </row>
    <row r="273" spans="1:12" x14ac:dyDescent="0.25">
      <c r="A273" s="1067" t="s">
        <v>254</v>
      </c>
      <c r="B273" s="1067" t="s">
        <v>247</v>
      </c>
      <c r="C273" s="1067" t="s">
        <v>289</v>
      </c>
      <c r="D273" s="1067" t="s">
        <v>44</v>
      </c>
      <c r="E273" s="1067">
        <v>70</v>
      </c>
      <c r="F273" s="1067"/>
      <c r="G273" s="1067"/>
      <c r="H273" s="1067">
        <v>15</v>
      </c>
      <c r="I273" s="1067">
        <v>50</v>
      </c>
      <c r="J273" s="1067"/>
      <c r="K273" s="1067"/>
      <c r="L273" s="1067">
        <v>5</v>
      </c>
    </row>
    <row r="274" spans="1:12" x14ac:dyDescent="0.25">
      <c r="A274" s="1067" t="s">
        <v>254</v>
      </c>
      <c r="B274" s="1067" t="s">
        <v>247</v>
      </c>
      <c r="C274" s="1067" t="s">
        <v>290</v>
      </c>
      <c r="D274" s="1067" t="s">
        <v>45</v>
      </c>
      <c r="E274" s="1067">
        <v>72</v>
      </c>
      <c r="F274" s="1067"/>
      <c r="G274" s="1067"/>
      <c r="H274" s="1067">
        <v>15</v>
      </c>
      <c r="I274" s="1067">
        <v>47</v>
      </c>
      <c r="J274" s="1067"/>
      <c r="K274" s="1067"/>
      <c r="L274" s="1067">
        <v>10</v>
      </c>
    </row>
    <row r="275" spans="1:12" x14ac:dyDescent="0.25">
      <c r="A275" s="1067" t="s">
        <v>254</v>
      </c>
      <c r="B275" s="1067" t="s">
        <v>247</v>
      </c>
      <c r="C275" s="1067" t="s">
        <v>291</v>
      </c>
      <c r="D275" s="1067" t="s">
        <v>46</v>
      </c>
      <c r="E275" s="1067">
        <v>26</v>
      </c>
      <c r="F275" s="1067"/>
      <c r="G275" s="1067"/>
      <c r="H275" s="1067">
        <v>4</v>
      </c>
      <c r="I275" s="1067">
        <v>17</v>
      </c>
      <c r="J275" s="1067"/>
      <c r="K275" s="1067"/>
      <c r="L275" s="1067">
        <v>5</v>
      </c>
    </row>
    <row r="276" spans="1:12" x14ac:dyDescent="0.25">
      <c r="A276" s="1067" t="s">
        <v>254</v>
      </c>
      <c r="B276" s="1067" t="s">
        <v>247</v>
      </c>
      <c r="C276" s="1067" t="s">
        <v>292</v>
      </c>
      <c r="D276" s="1067" t="s">
        <v>47</v>
      </c>
      <c r="E276" s="1067">
        <v>30</v>
      </c>
      <c r="F276" s="1067"/>
      <c r="G276" s="1067"/>
      <c r="H276" s="1067">
        <v>5</v>
      </c>
      <c r="I276" s="1067">
        <v>20</v>
      </c>
      <c r="J276" s="1067"/>
      <c r="K276" s="1067"/>
      <c r="L276" s="1067">
        <v>5</v>
      </c>
    </row>
    <row r="277" spans="1:12" x14ac:dyDescent="0.25">
      <c r="A277" s="1067" t="s">
        <v>254</v>
      </c>
      <c r="B277" s="1067" t="s">
        <v>247</v>
      </c>
      <c r="C277" s="1067" t="s">
        <v>293</v>
      </c>
      <c r="D277" s="1067" t="s">
        <v>49</v>
      </c>
      <c r="E277" s="1067">
        <v>76</v>
      </c>
      <c r="F277" s="1067"/>
      <c r="G277" s="1067"/>
      <c r="H277" s="1067">
        <v>15</v>
      </c>
      <c r="I277" s="1067">
        <v>45</v>
      </c>
      <c r="J277" s="1067"/>
      <c r="K277" s="1067"/>
      <c r="L277" s="1067">
        <v>16</v>
      </c>
    </row>
    <row r="278" spans="1:12" x14ac:dyDescent="0.25">
      <c r="A278" s="1067" t="s">
        <v>254</v>
      </c>
      <c r="B278" s="1067" t="s">
        <v>247</v>
      </c>
      <c r="C278" s="1067" t="s">
        <v>295</v>
      </c>
      <c r="D278" s="1067" t="s">
        <v>52</v>
      </c>
      <c r="E278" s="1067">
        <v>69</v>
      </c>
      <c r="F278" s="1067"/>
      <c r="G278" s="1067"/>
      <c r="H278" s="1067">
        <v>10</v>
      </c>
      <c r="I278" s="1067">
        <v>54</v>
      </c>
      <c r="J278" s="1067"/>
      <c r="K278" s="1067"/>
      <c r="L278" s="1067">
        <v>5</v>
      </c>
    </row>
    <row r="279" spans="1:12" x14ac:dyDescent="0.25">
      <c r="A279" s="1067" t="s">
        <v>254</v>
      </c>
      <c r="B279" s="1067" t="s">
        <v>247</v>
      </c>
      <c r="C279" s="1067" t="s">
        <v>296</v>
      </c>
      <c r="D279" s="1067" t="s">
        <v>54</v>
      </c>
      <c r="E279" s="1067">
        <v>56</v>
      </c>
      <c r="F279" s="1067"/>
      <c r="G279" s="1067"/>
      <c r="H279" s="1067">
        <v>10</v>
      </c>
      <c r="I279" s="1067">
        <v>36</v>
      </c>
      <c r="J279" s="1067"/>
      <c r="K279" s="1067"/>
      <c r="L279" s="1067">
        <v>10</v>
      </c>
    </row>
    <row r="280" spans="1:12" x14ac:dyDescent="0.25">
      <c r="A280" s="1067" t="s">
        <v>254</v>
      </c>
      <c r="B280" s="1067" t="s">
        <v>247</v>
      </c>
      <c r="C280" s="1067" t="s">
        <v>298</v>
      </c>
      <c r="D280" s="1067" t="s">
        <v>56</v>
      </c>
      <c r="E280" s="1067">
        <v>50</v>
      </c>
      <c r="F280" s="1067"/>
      <c r="G280" s="1067"/>
      <c r="H280" s="1067">
        <v>11</v>
      </c>
      <c r="I280" s="1067">
        <v>34</v>
      </c>
      <c r="J280" s="1067"/>
      <c r="K280" s="1067"/>
      <c r="L280" s="1067">
        <v>5</v>
      </c>
    </row>
    <row r="281" spans="1:12" x14ac:dyDescent="0.25">
      <c r="A281" s="1067" t="s">
        <v>254</v>
      </c>
      <c r="B281" s="1067" t="s">
        <v>247</v>
      </c>
      <c r="C281" s="1067" t="s">
        <v>299</v>
      </c>
      <c r="D281" s="1067" t="s">
        <v>57</v>
      </c>
      <c r="E281" s="1067">
        <v>167</v>
      </c>
      <c r="F281" s="1067"/>
      <c r="G281" s="1067"/>
      <c r="H281" s="1067">
        <v>36</v>
      </c>
      <c r="I281" s="1067">
        <v>111</v>
      </c>
      <c r="J281" s="1067"/>
      <c r="K281" s="1067"/>
      <c r="L281" s="1067">
        <v>20</v>
      </c>
    </row>
    <row r="282" spans="1:12" x14ac:dyDescent="0.25">
      <c r="A282" s="1067" t="s">
        <v>254</v>
      </c>
      <c r="B282" s="1067" t="s">
        <v>247</v>
      </c>
      <c r="C282" s="1067" t="s">
        <v>300</v>
      </c>
      <c r="D282" s="1067" t="s">
        <v>58</v>
      </c>
      <c r="E282" s="1067">
        <v>49</v>
      </c>
      <c r="F282" s="1067"/>
      <c r="G282" s="1067"/>
      <c r="H282" s="1067">
        <v>10</v>
      </c>
      <c r="I282" s="1067">
        <v>34</v>
      </c>
      <c r="J282" s="1067"/>
      <c r="K282" s="1067"/>
      <c r="L282" s="1067">
        <v>5</v>
      </c>
    </row>
    <row r="283" spans="1:12" x14ac:dyDescent="0.25">
      <c r="A283" s="1067" t="s">
        <v>254</v>
      </c>
      <c r="B283" s="1067" t="s">
        <v>247</v>
      </c>
      <c r="C283" s="1067" t="s">
        <v>301</v>
      </c>
      <c r="D283" s="1067" t="s">
        <v>31</v>
      </c>
      <c r="E283" s="1067">
        <v>154</v>
      </c>
      <c r="F283" s="1067"/>
      <c r="G283" s="1067"/>
      <c r="H283" s="1067">
        <v>35</v>
      </c>
      <c r="I283" s="1067">
        <v>104</v>
      </c>
      <c r="J283" s="1067"/>
      <c r="K283" s="1067"/>
      <c r="L283" s="1067">
        <v>15</v>
      </c>
    </row>
    <row r="284" spans="1:12" x14ac:dyDescent="0.25">
      <c r="A284" s="1067" t="s">
        <v>254</v>
      </c>
      <c r="B284" s="1067" t="s">
        <v>247</v>
      </c>
      <c r="C284" s="1067" t="s">
        <v>302</v>
      </c>
      <c r="D284" s="1067" t="s">
        <v>32</v>
      </c>
      <c r="E284" s="1067">
        <v>30</v>
      </c>
      <c r="F284" s="1067"/>
      <c r="G284" s="1067"/>
      <c r="H284" s="1067">
        <v>5</v>
      </c>
      <c r="I284" s="1067">
        <v>20</v>
      </c>
      <c r="J284" s="1067"/>
      <c r="K284" s="1067"/>
      <c r="L284" s="1067">
        <v>5</v>
      </c>
    </row>
    <row r="285" spans="1:12" x14ac:dyDescent="0.25">
      <c r="A285" s="1067" t="s">
        <v>254</v>
      </c>
      <c r="B285" s="1067" t="s">
        <v>247</v>
      </c>
      <c r="C285" s="1067" t="s">
        <v>303</v>
      </c>
      <c r="D285" s="1067" t="s">
        <v>34</v>
      </c>
      <c r="E285" s="1067">
        <v>54</v>
      </c>
      <c r="F285" s="1067"/>
      <c r="G285" s="1067"/>
      <c r="H285" s="1067">
        <v>11</v>
      </c>
      <c r="I285" s="1067">
        <v>33</v>
      </c>
      <c r="J285" s="1067"/>
      <c r="K285" s="1067"/>
      <c r="L285" s="1067">
        <v>10</v>
      </c>
    </row>
    <row r="286" spans="1:12" x14ac:dyDescent="0.25">
      <c r="A286" s="1067" t="s">
        <v>254</v>
      </c>
      <c r="B286" s="1067" t="s">
        <v>247</v>
      </c>
      <c r="C286" s="1067" t="s">
        <v>304</v>
      </c>
      <c r="D286" s="1067" t="s">
        <v>258</v>
      </c>
      <c r="E286" s="1067">
        <v>297</v>
      </c>
      <c r="F286" s="1067"/>
      <c r="G286" s="1067"/>
      <c r="H286" s="1067">
        <v>59</v>
      </c>
      <c r="I286" s="1067">
        <v>203</v>
      </c>
      <c r="J286" s="1067"/>
      <c r="K286" s="1067"/>
      <c r="L286" s="1067">
        <v>35</v>
      </c>
    </row>
    <row r="287" spans="1:12" x14ac:dyDescent="0.25">
      <c r="A287" s="1067" t="s">
        <v>254</v>
      </c>
      <c r="B287" s="1067" t="s">
        <v>247</v>
      </c>
      <c r="C287" s="1067" t="s">
        <v>305</v>
      </c>
      <c r="D287" s="1067" t="s">
        <v>53</v>
      </c>
      <c r="E287" s="1067">
        <v>99</v>
      </c>
      <c r="F287" s="1067"/>
      <c r="G287" s="1067"/>
      <c r="H287" s="1067">
        <v>18</v>
      </c>
      <c r="I287" s="1067">
        <v>65</v>
      </c>
      <c r="J287" s="1067"/>
      <c r="K287" s="1067"/>
      <c r="L287" s="1067">
        <v>16</v>
      </c>
    </row>
    <row r="288" spans="1:12" x14ac:dyDescent="0.25">
      <c r="A288" s="1067" t="s">
        <v>254</v>
      </c>
      <c r="B288" s="1067" t="s">
        <v>247</v>
      </c>
      <c r="C288" s="1067" t="s">
        <v>306</v>
      </c>
      <c r="D288" s="1067" t="s">
        <v>59</v>
      </c>
      <c r="E288" s="1067">
        <v>73</v>
      </c>
      <c r="F288" s="1067"/>
      <c r="G288" s="1067"/>
      <c r="H288" s="1067">
        <v>15</v>
      </c>
      <c r="I288" s="1067">
        <v>48</v>
      </c>
      <c r="J288" s="1067"/>
      <c r="K288" s="1067"/>
      <c r="L288" s="1067">
        <v>10</v>
      </c>
    </row>
    <row r="289" spans="1:12" x14ac:dyDescent="0.25">
      <c r="A289" s="1067" t="s">
        <v>254</v>
      </c>
      <c r="B289" s="1067" t="s">
        <v>247</v>
      </c>
      <c r="C289" s="1067" t="s">
        <v>307</v>
      </c>
      <c r="D289" s="1067" t="s">
        <v>60</v>
      </c>
      <c r="E289" s="1067">
        <v>56</v>
      </c>
      <c r="F289" s="1067"/>
      <c r="G289" s="1067"/>
      <c r="H289" s="1067">
        <v>10</v>
      </c>
      <c r="I289" s="1067">
        <v>36</v>
      </c>
      <c r="J289" s="1067"/>
      <c r="K289" s="1067"/>
      <c r="L289" s="1067">
        <v>10</v>
      </c>
    </row>
    <row r="290" spans="1:12" x14ac:dyDescent="0.25">
      <c r="A290" s="1067" t="s">
        <v>254</v>
      </c>
      <c r="B290" s="1067" t="s">
        <v>247</v>
      </c>
      <c r="C290" s="1067" t="s">
        <v>308</v>
      </c>
      <c r="D290" s="1067" t="s">
        <v>33</v>
      </c>
      <c r="E290" s="1067">
        <v>28</v>
      </c>
      <c r="F290" s="1067"/>
      <c r="G290" s="1067"/>
      <c r="H290" s="1067">
        <v>5</v>
      </c>
      <c r="I290" s="1067">
        <v>18</v>
      </c>
      <c r="J290" s="1067"/>
      <c r="K290" s="1067"/>
      <c r="L290" s="1067">
        <v>5</v>
      </c>
    </row>
    <row r="291" spans="1:12" x14ac:dyDescent="0.25">
      <c r="A291" s="1067" t="s">
        <v>254</v>
      </c>
      <c r="B291" s="1067" t="s">
        <v>247</v>
      </c>
      <c r="C291" s="1067" t="s">
        <v>309</v>
      </c>
      <c r="D291" s="1067" t="s">
        <v>37</v>
      </c>
      <c r="E291" s="1067">
        <v>177</v>
      </c>
      <c r="F291" s="1067"/>
      <c r="G291" s="1067"/>
      <c r="H291" s="1067">
        <v>35</v>
      </c>
      <c r="I291" s="1067">
        <v>122</v>
      </c>
      <c r="J291" s="1067"/>
      <c r="K291" s="1067"/>
      <c r="L291" s="1067">
        <v>20</v>
      </c>
    </row>
    <row r="292" spans="1:12" x14ac:dyDescent="0.25">
      <c r="A292" s="1067" t="s">
        <v>254</v>
      </c>
      <c r="B292" s="1067" t="s">
        <v>247</v>
      </c>
      <c r="C292" s="1067" t="s">
        <v>310</v>
      </c>
      <c r="D292" s="1067" t="s">
        <v>50</v>
      </c>
      <c r="E292" s="1067">
        <v>166</v>
      </c>
      <c r="F292" s="1067"/>
      <c r="G292" s="1067"/>
      <c r="H292" s="1067">
        <v>35</v>
      </c>
      <c r="I292" s="1067">
        <v>111</v>
      </c>
      <c r="J292" s="1067"/>
      <c r="K292" s="1067"/>
      <c r="L292" s="1067">
        <v>20</v>
      </c>
    </row>
    <row r="293" spans="1:12" x14ac:dyDescent="0.25">
      <c r="A293" s="1067" t="s">
        <v>254</v>
      </c>
      <c r="B293" s="1067" t="s">
        <v>247</v>
      </c>
      <c r="C293" s="1067" t="s">
        <v>311</v>
      </c>
      <c r="D293" s="1067" t="s">
        <v>39</v>
      </c>
      <c r="E293" s="1067">
        <v>78</v>
      </c>
      <c r="F293" s="1067"/>
      <c r="G293" s="1067"/>
      <c r="H293" s="1067">
        <v>15</v>
      </c>
      <c r="I293" s="1067">
        <v>47</v>
      </c>
      <c r="J293" s="1067"/>
      <c r="K293" s="1067"/>
      <c r="L293" s="1067">
        <v>16</v>
      </c>
    </row>
    <row r="294" spans="1:12" x14ac:dyDescent="0.25">
      <c r="A294" s="1067" t="s">
        <v>254</v>
      </c>
      <c r="B294" s="1067" t="s">
        <v>247</v>
      </c>
      <c r="C294" s="1067" t="s">
        <v>312</v>
      </c>
      <c r="D294" s="1067" t="s">
        <v>121</v>
      </c>
      <c r="E294" s="1067">
        <v>515</v>
      </c>
      <c r="F294" s="1067"/>
      <c r="G294" s="1067"/>
      <c r="H294" s="1067">
        <v>110</v>
      </c>
      <c r="I294" s="1067">
        <v>349</v>
      </c>
      <c r="J294" s="1067"/>
      <c r="K294" s="1067"/>
      <c r="L294" s="1067">
        <v>56</v>
      </c>
    </row>
    <row r="295" spans="1:12" x14ac:dyDescent="0.25">
      <c r="A295" s="1067" t="s">
        <v>254</v>
      </c>
      <c r="B295" s="1067" t="s">
        <v>247</v>
      </c>
      <c r="C295" s="1067" t="s">
        <v>313</v>
      </c>
      <c r="D295" s="1067" t="s">
        <v>43</v>
      </c>
      <c r="E295" s="1067">
        <v>274</v>
      </c>
      <c r="F295" s="1067"/>
      <c r="G295" s="1067"/>
      <c r="H295" s="1067">
        <v>48</v>
      </c>
      <c r="I295" s="1067">
        <v>199</v>
      </c>
      <c r="J295" s="1067"/>
      <c r="K295" s="1067"/>
      <c r="L295" s="1067">
        <v>27</v>
      </c>
    </row>
    <row r="296" spans="1:12" x14ac:dyDescent="0.25">
      <c r="A296" s="1067" t="s">
        <v>254</v>
      </c>
      <c r="B296" s="1067" t="s">
        <v>248</v>
      </c>
      <c r="C296" s="1067" t="s">
        <v>369</v>
      </c>
      <c r="D296" s="1067" t="s">
        <v>31</v>
      </c>
      <c r="E296" s="1067">
        <v>16</v>
      </c>
      <c r="F296" s="1067">
        <v>1</v>
      </c>
      <c r="G296" s="1067"/>
      <c r="H296" s="1067">
        <v>2</v>
      </c>
      <c r="I296" s="1067">
        <v>1</v>
      </c>
      <c r="J296" s="1067">
        <v>2</v>
      </c>
      <c r="K296" s="1067">
        <v>4</v>
      </c>
      <c r="L296" s="1067">
        <v>6</v>
      </c>
    </row>
    <row r="297" spans="1:12" x14ac:dyDescent="0.25">
      <c r="A297" s="1067" t="s">
        <v>254</v>
      </c>
      <c r="B297" s="1067" t="s">
        <v>248</v>
      </c>
      <c r="C297" s="1067" t="s">
        <v>370</v>
      </c>
      <c r="D297" s="1067" t="s">
        <v>63</v>
      </c>
      <c r="E297" s="1067">
        <v>25</v>
      </c>
      <c r="F297" s="1067">
        <v>1</v>
      </c>
      <c r="G297" s="1067"/>
      <c r="H297" s="1067">
        <v>6</v>
      </c>
      <c r="I297" s="1067"/>
      <c r="J297" s="1067">
        <v>2</v>
      </c>
      <c r="K297" s="1067">
        <v>8</v>
      </c>
      <c r="L297" s="1067">
        <v>8</v>
      </c>
    </row>
    <row r="298" spans="1:12" x14ac:dyDescent="0.25">
      <c r="A298" s="1067" t="s">
        <v>254</v>
      </c>
      <c r="B298" s="1067" t="s">
        <v>248</v>
      </c>
      <c r="C298" s="1067" t="s">
        <v>372</v>
      </c>
      <c r="D298" s="1067" t="s">
        <v>64</v>
      </c>
      <c r="E298" s="1067">
        <v>26</v>
      </c>
      <c r="F298" s="1067">
        <v>1</v>
      </c>
      <c r="G298" s="1067"/>
      <c r="H298" s="1067">
        <v>6</v>
      </c>
      <c r="I298" s="1067">
        <v>2</v>
      </c>
      <c r="J298" s="1067">
        <v>3</v>
      </c>
      <c r="K298" s="1067">
        <v>8</v>
      </c>
      <c r="L298" s="1067">
        <v>6</v>
      </c>
    </row>
    <row r="299" spans="1:12" x14ac:dyDescent="0.25">
      <c r="A299" s="1067" t="s">
        <v>254</v>
      </c>
      <c r="B299" s="1067" t="s">
        <v>248</v>
      </c>
      <c r="C299" s="1067" t="s">
        <v>373</v>
      </c>
      <c r="D299" s="1067" t="s">
        <v>36</v>
      </c>
      <c r="E299" s="1067">
        <v>22</v>
      </c>
      <c r="F299" s="1067">
        <v>1</v>
      </c>
      <c r="G299" s="1067"/>
      <c r="H299" s="1067">
        <v>4</v>
      </c>
      <c r="I299" s="1067">
        <v>2</v>
      </c>
      <c r="J299" s="1067">
        <v>2</v>
      </c>
      <c r="K299" s="1067">
        <v>6</v>
      </c>
      <c r="L299" s="1067">
        <v>7</v>
      </c>
    </row>
    <row r="300" spans="1:12" x14ac:dyDescent="0.25">
      <c r="A300" s="1067" t="s">
        <v>254</v>
      </c>
      <c r="B300" s="1067" t="s">
        <v>248</v>
      </c>
      <c r="C300" s="1067" t="s">
        <v>374</v>
      </c>
      <c r="D300" s="1067" t="s">
        <v>66</v>
      </c>
      <c r="E300" s="1067">
        <v>25</v>
      </c>
      <c r="F300" s="1067">
        <v>1</v>
      </c>
      <c r="G300" s="1067"/>
      <c r="H300" s="1067">
        <v>2</v>
      </c>
      <c r="I300" s="1067">
        <v>2</v>
      </c>
      <c r="J300" s="1067">
        <v>3</v>
      </c>
      <c r="K300" s="1067">
        <v>9</v>
      </c>
      <c r="L300" s="1067">
        <v>8</v>
      </c>
    </row>
    <row r="301" spans="1:12" x14ac:dyDescent="0.25">
      <c r="A301" s="1067" t="s">
        <v>254</v>
      </c>
      <c r="B301" s="1067" t="s">
        <v>248</v>
      </c>
      <c r="C301" s="1067" t="s">
        <v>375</v>
      </c>
      <c r="D301" s="1067" t="s">
        <v>67</v>
      </c>
      <c r="E301" s="1067">
        <v>25</v>
      </c>
      <c r="F301" s="1067">
        <v>1</v>
      </c>
      <c r="G301" s="1067"/>
      <c r="H301" s="1067">
        <v>2</v>
      </c>
      <c r="I301" s="1067">
        <v>3</v>
      </c>
      <c r="J301" s="1067">
        <v>3</v>
      </c>
      <c r="K301" s="1067">
        <v>7</v>
      </c>
      <c r="L301" s="1067">
        <v>9</v>
      </c>
    </row>
    <row r="302" spans="1:12" x14ac:dyDescent="0.25">
      <c r="A302" s="1067" t="s">
        <v>254</v>
      </c>
      <c r="B302" s="1067" t="s">
        <v>248</v>
      </c>
      <c r="C302" s="1067" t="s">
        <v>376</v>
      </c>
      <c r="D302" s="1067" t="s">
        <v>68</v>
      </c>
      <c r="E302" s="1067">
        <v>14</v>
      </c>
      <c r="F302" s="1067">
        <v>1</v>
      </c>
      <c r="G302" s="1067"/>
      <c r="H302" s="1067"/>
      <c r="I302" s="1067">
        <v>2</v>
      </c>
      <c r="J302" s="1067">
        <v>4</v>
      </c>
      <c r="K302" s="1067">
        <v>4</v>
      </c>
      <c r="L302" s="1067">
        <v>3</v>
      </c>
    </row>
    <row r="303" spans="1:12" x14ac:dyDescent="0.25">
      <c r="A303" s="1067" t="s">
        <v>254</v>
      </c>
      <c r="B303" s="1067" t="s">
        <v>248</v>
      </c>
      <c r="C303" s="1067" t="s">
        <v>377</v>
      </c>
      <c r="D303" s="1067" t="s">
        <v>175</v>
      </c>
      <c r="E303" s="1067">
        <v>30</v>
      </c>
      <c r="F303" s="1067">
        <v>1</v>
      </c>
      <c r="G303" s="1067"/>
      <c r="H303" s="1067">
        <v>5</v>
      </c>
      <c r="I303" s="1067">
        <v>3</v>
      </c>
      <c r="J303" s="1067">
        <v>5</v>
      </c>
      <c r="K303" s="1067">
        <v>4</v>
      </c>
      <c r="L303" s="1067">
        <v>12</v>
      </c>
    </row>
    <row r="304" spans="1:12" x14ac:dyDescent="0.25">
      <c r="A304" s="1067" t="s">
        <v>254</v>
      </c>
      <c r="B304" s="1067" t="s">
        <v>248</v>
      </c>
      <c r="C304" s="1067" t="s">
        <v>378</v>
      </c>
      <c r="D304" s="1067" t="s">
        <v>69</v>
      </c>
      <c r="E304" s="1067">
        <v>20</v>
      </c>
      <c r="F304" s="1067">
        <v>1</v>
      </c>
      <c r="G304" s="1067"/>
      <c r="H304" s="1067">
        <v>3</v>
      </c>
      <c r="I304" s="1067">
        <v>2</v>
      </c>
      <c r="J304" s="1067">
        <v>2</v>
      </c>
      <c r="K304" s="1067">
        <v>6</v>
      </c>
      <c r="L304" s="1067">
        <v>6</v>
      </c>
    </row>
    <row r="305" spans="1:12" x14ac:dyDescent="0.25">
      <c r="A305" s="1067" t="s">
        <v>254</v>
      </c>
      <c r="B305" s="1067" t="s">
        <v>248</v>
      </c>
      <c r="C305" s="1067" t="s">
        <v>1074</v>
      </c>
      <c r="D305" s="1067" t="s">
        <v>121</v>
      </c>
      <c r="E305" s="1067">
        <v>25</v>
      </c>
      <c r="F305" s="1067">
        <v>1</v>
      </c>
      <c r="G305" s="1067"/>
      <c r="H305" s="1067">
        <v>2</v>
      </c>
      <c r="I305" s="1067">
        <v>2</v>
      </c>
      <c r="J305" s="1067">
        <v>4</v>
      </c>
      <c r="K305" s="1067">
        <v>9</v>
      </c>
      <c r="L305" s="1067">
        <v>7</v>
      </c>
    </row>
    <row r="306" spans="1:12" x14ac:dyDescent="0.25">
      <c r="A306" s="1067" t="s">
        <v>254</v>
      </c>
      <c r="B306" s="1067" t="s">
        <v>248</v>
      </c>
      <c r="C306" s="1067" t="s">
        <v>379</v>
      </c>
      <c r="D306" s="1067" t="s">
        <v>70</v>
      </c>
      <c r="E306" s="1067">
        <v>45</v>
      </c>
      <c r="F306" s="1067">
        <v>1</v>
      </c>
      <c r="G306" s="1067"/>
      <c r="H306" s="1067">
        <v>9</v>
      </c>
      <c r="I306" s="1067">
        <v>1</v>
      </c>
      <c r="J306" s="1067">
        <v>4</v>
      </c>
      <c r="K306" s="1067">
        <v>14</v>
      </c>
      <c r="L306" s="1067">
        <v>16</v>
      </c>
    </row>
    <row r="307" spans="1:12" x14ac:dyDescent="0.25">
      <c r="A307" s="1067" t="s">
        <v>254</v>
      </c>
      <c r="B307" s="1067" t="s">
        <v>248</v>
      </c>
      <c r="C307" s="1067" t="s">
        <v>1075</v>
      </c>
      <c r="D307" s="1067" t="s">
        <v>50</v>
      </c>
      <c r="E307" s="1067">
        <v>17</v>
      </c>
      <c r="F307" s="1067">
        <v>1</v>
      </c>
      <c r="G307" s="1067"/>
      <c r="H307" s="1067">
        <v>2</v>
      </c>
      <c r="I307" s="1067">
        <v>1</v>
      </c>
      <c r="J307" s="1067">
        <v>2</v>
      </c>
      <c r="K307" s="1067">
        <v>5</v>
      </c>
      <c r="L307" s="1067">
        <v>6</v>
      </c>
    </row>
    <row r="308" spans="1:12" x14ac:dyDescent="0.25">
      <c r="A308" s="1067" t="s">
        <v>254</v>
      </c>
      <c r="B308" s="1067" t="s">
        <v>248</v>
      </c>
      <c r="C308" s="1067" t="s">
        <v>380</v>
      </c>
      <c r="D308" s="1067" t="s">
        <v>57</v>
      </c>
      <c r="E308" s="1067">
        <v>16</v>
      </c>
      <c r="F308" s="1067">
        <v>1</v>
      </c>
      <c r="G308" s="1067"/>
      <c r="H308" s="1067">
        <v>2</v>
      </c>
      <c r="I308" s="1067">
        <v>1</v>
      </c>
      <c r="J308" s="1067">
        <v>2</v>
      </c>
      <c r="K308" s="1067">
        <v>6</v>
      </c>
      <c r="L308" s="1067">
        <v>4</v>
      </c>
    </row>
    <row r="309" spans="1:12" x14ac:dyDescent="0.25">
      <c r="A309" s="1067" t="s">
        <v>254</v>
      </c>
      <c r="B309" s="1067" t="s">
        <v>248</v>
      </c>
      <c r="C309" s="1067" t="s">
        <v>1072</v>
      </c>
      <c r="D309" s="1067" t="s">
        <v>1071</v>
      </c>
      <c r="E309" s="1067">
        <v>18</v>
      </c>
      <c r="F309" s="1067">
        <v>1</v>
      </c>
      <c r="G309" s="1067"/>
      <c r="H309" s="1067">
        <v>3</v>
      </c>
      <c r="I309" s="1067">
        <v>1</v>
      </c>
      <c r="J309" s="1067">
        <v>2</v>
      </c>
      <c r="K309" s="1067">
        <v>6</v>
      </c>
      <c r="L309" s="1067">
        <v>5</v>
      </c>
    </row>
    <row r="310" spans="1:12" x14ac:dyDescent="0.25">
      <c r="A310" s="1067" t="s">
        <v>254</v>
      </c>
      <c r="B310" s="1067" t="s">
        <v>248</v>
      </c>
      <c r="C310" s="1067" t="s">
        <v>381</v>
      </c>
      <c r="D310" s="1067" t="s">
        <v>71</v>
      </c>
      <c r="E310" s="1067">
        <v>16</v>
      </c>
      <c r="F310" s="1067">
        <v>1</v>
      </c>
      <c r="G310" s="1067"/>
      <c r="H310" s="1067">
        <v>3</v>
      </c>
      <c r="I310" s="1067"/>
      <c r="J310" s="1067">
        <v>3</v>
      </c>
      <c r="K310" s="1067">
        <v>5</v>
      </c>
      <c r="L310" s="1067">
        <v>4</v>
      </c>
    </row>
    <row r="311" spans="1:12" x14ac:dyDescent="0.25">
      <c r="A311" s="1067" t="s">
        <v>254</v>
      </c>
      <c r="B311" s="1067" t="s">
        <v>248</v>
      </c>
      <c r="C311" s="1067" t="s">
        <v>371</v>
      </c>
      <c r="D311" s="1067" t="s">
        <v>65</v>
      </c>
      <c r="E311" s="1067">
        <v>29</v>
      </c>
      <c r="F311" s="1067">
        <v>1</v>
      </c>
      <c r="G311" s="1067"/>
      <c r="H311" s="1067">
        <v>3</v>
      </c>
      <c r="I311" s="1067">
        <v>2</v>
      </c>
      <c r="J311" s="1067">
        <v>4</v>
      </c>
      <c r="K311" s="1067">
        <v>8</v>
      </c>
      <c r="L311" s="1067">
        <v>11</v>
      </c>
    </row>
    <row r="312" spans="1:12" x14ac:dyDescent="0.25">
      <c r="A312" s="1067" t="s">
        <v>254</v>
      </c>
      <c r="B312" s="1067" t="s">
        <v>248</v>
      </c>
      <c r="C312" s="1067" t="s">
        <v>1073</v>
      </c>
      <c r="D312" s="1067" t="s">
        <v>43</v>
      </c>
      <c r="E312" s="1067">
        <v>18</v>
      </c>
      <c r="F312" s="1067"/>
      <c r="G312" s="1067"/>
      <c r="H312" s="1067"/>
      <c r="I312" s="1067">
        <v>4</v>
      </c>
      <c r="J312" s="1067">
        <v>2</v>
      </c>
      <c r="K312" s="1067">
        <v>6</v>
      </c>
      <c r="L312" s="1067">
        <v>6</v>
      </c>
    </row>
    <row r="313" spans="1:12" x14ac:dyDescent="0.25">
      <c r="A313" s="1067" t="s">
        <v>254</v>
      </c>
      <c r="B313" s="1067" t="s">
        <v>249</v>
      </c>
      <c r="C313" s="1067" t="s">
        <v>403</v>
      </c>
      <c r="D313" s="1067" t="s">
        <v>173</v>
      </c>
      <c r="E313" s="1067">
        <v>79</v>
      </c>
      <c r="F313" s="1067">
        <v>1</v>
      </c>
      <c r="G313" s="1067"/>
      <c r="H313" s="1067">
        <v>26</v>
      </c>
      <c r="I313" s="1067"/>
      <c r="J313" s="1067">
        <v>5</v>
      </c>
      <c r="K313" s="1067">
        <v>12</v>
      </c>
      <c r="L313" s="1067">
        <v>35</v>
      </c>
    </row>
    <row r="314" spans="1:12" x14ac:dyDescent="0.25">
      <c r="A314" s="1067" t="s">
        <v>254</v>
      </c>
      <c r="B314" s="1067" t="s">
        <v>249</v>
      </c>
      <c r="C314" s="1067" t="s">
        <v>402</v>
      </c>
      <c r="D314" s="1067" t="s">
        <v>174</v>
      </c>
      <c r="E314" s="1067">
        <v>37</v>
      </c>
      <c r="F314" s="1067">
        <v>1</v>
      </c>
      <c r="G314" s="1067"/>
      <c r="H314" s="1067">
        <v>8</v>
      </c>
      <c r="I314" s="1067"/>
      <c r="J314" s="1067">
        <v>5</v>
      </c>
      <c r="K314" s="1067">
        <v>5</v>
      </c>
      <c r="L314" s="1067">
        <v>18</v>
      </c>
    </row>
    <row r="315" spans="1:12" x14ac:dyDescent="0.25">
      <c r="A315" s="1067" t="s">
        <v>254</v>
      </c>
      <c r="B315" s="1067" t="s">
        <v>249</v>
      </c>
      <c r="C315" s="1067" t="s">
        <v>404</v>
      </c>
      <c r="D315" s="1067" t="s">
        <v>172</v>
      </c>
      <c r="E315" s="1067">
        <v>30</v>
      </c>
      <c r="F315" s="1067">
        <v>1</v>
      </c>
      <c r="G315" s="1067"/>
      <c r="H315" s="1067">
        <v>7</v>
      </c>
      <c r="I315" s="1067"/>
      <c r="J315" s="1067">
        <v>4</v>
      </c>
      <c r="K315" s="1067">
        <v>7</v>
      </c>
      <c r="L315" s="1067">
        <v>11</v>
      </c>
    </row>
    <row r="316" spans="1:12" x14ac:dyDescent="0.25">
      <c r="A316" s="1067" t="s">
        <v>254</v>
      </c>
      <c r="B316" s="1067" t="s">
        <v>250</v>
      </c>
      <c r="C316" s="1067" t="s">
        <v>382</v>
      </c>
      <c r="D316" s="1067" t="s">
        <v>259</v>
      </c>
      <c r="E316" s="1067">
        <v>149</v>
      </c>
      <c r="F316" s="1067">
        <v>14</v>
      </c>
      <c r="G316" s="1067">
        <v>4</v>
      </c>
      <c r="H316" s="1067"/>
      <c r="I316" s="1067">
        <v>60</v>
      </c>
      <c r="J316" s="1067">
        <v>17</v>
      </c>
      <c r="K316" s="1067">
        <v>8</v>
      </c>
      <c r="L316" s="1067">
        <v>46</v>
      </c>
    </row>
    <row r="317" spans="1:12" x14ac:dyDescent="0.25">
      <c r="A317" s="1067" t="s">
        <v>851</v>
      </c>
      <c r="B317" s="1067" t="s">
        <v>247</v>
      </c>
      <c r="C317" s="1067" t="s">
        <v>403</v>
      </c>
      <c r="D317" s="1067" t="s">
        <v>34</v>
      </c>
      <c r="E317" s="1067">
        <v>53</v>
      </c>
      <c r="F317" s="1067"/>
      <c r="G317" s="1067"/>
      <c r="H317" s="1067">
        <v>10</v>
      </c>
      <c r="I317" s="1067">
        <v>33</v>
      </c>
      <c r="J317" s="1067"/>
      <c r="K317" s="1067"/>
      <c r="L317" s="1067">
        <v>10</v>
      </c>
    </row>
    <row r="318" spans="1:12" x14ac:dyDescent="0.25">
      <c r="A318" s="1067" t="s">
        <v>851</v>
      </c>
      <c r="B318" s="1067" t="s">
        <v>247</v>
      </c>
      <c r="C318" s="1067" t="s">
        <v>403</v>
      </c>
      <c r="D318" s="1067" t="s">
        <v>36</v>
      </c>
      <c r="E318" s="1067">
        <v>52</v>
      </c>
      <c r="F318" s="1067"/>
      <c r="G318" s="1067"/>
      <c r="H318" s="1067">
        <v>10</v>
      </c>
      <c r="I318" s="1067">
        <v>37</v>
      </c>
      <c r="J318" s="1067"/>
      <c r="K318" s="1067"/>
      <c r="L318" s="1067">
        <v>5</v>
      </c>
    </row>
    <row r="319" spans="1:12" x14ac:dyDescent="0.25">
      <c r="A319" s="1067" t="s">
        <v>851</v>
      </c>
      <c r="B319" s="1067" t="s">
        <v>247</v>
      </c>
      <c r="C319" s="1067" t="s">
        <v>403</v>
      </c>
      <c r="D319" s="1067" t="s">
        <v>38</v>
      </c>
      <c r="E319" s="1067">
        <v>49</v>
      </c>
      <c r="F319" s="1067"/>
      <c r="G319" s="1067"/>
      <c r="H319" s="1067">
        <v>10</v>
      </c>
      <c r="I319" s="1067">
        <v>34</v>
      </c>
      <c r="J319" s="1067"/>
      <c r="K319" s="1067"/>
      <c r="L319" s="1067">
        <v>5</v>
      </c>
    </row>
    <row r="320" spans="1:12" x14ac:dyDescent="0.25">
      <c r="A320" s="1067" t="s">
        <v>851</v>
      </c>
      <c r="B320" s="1067" t="s">
        <v>247</v>
      </c>
      <c r="C320" s="1067" t="s">
        <v>403</v>
      </c>
      <c r="D320" s="1067" t="s">
        <v>39</v>
      </c>
      <c r="E320" s="1067">
        <v>79</v>
      </c>
      <c r="F320" s="1067"/>
      <c r="G320" s="1067"/>
      <c r="H320" s="1067">
        <v>15</v>
      </c>
      <c r="I320" s="1067">
        <v>49</v>
      </c>
      <c r="J320" s="1067"/>
      <c r="K320" s="1067"/>
      <c r="L320" s="1067">
        <v>15</v>
      </c>
    </row>
    <row r="321" spans="1:12" x14ac:dyDescent="0.25">
      <c r="A321" s="1067" t="s">
        <v>851</v>
      </c>
      <c r="B321" s="1067" t="s">
        <v>247</v>
      </c>
      <c r="C321" s="1067" t="s">
        <v>403</v>
      </c>
      <c r="D321" s="1067" t="s">
        <v>41</v>
      </c>
      <c r="E321" s="1067">
        <v>50</v>
      </c>
      <c r="F321" s="1067"/>
      <c r="G321" s="1067"/>
      <c r="H321" s="1067">
        <v>10</v>
      </c>
      <c r="I321" s="1067">
        <v>30</v>
      </c>
      <c r="J321" s="1067"/>
      <c r="K321" s="1067"/>
      <c r="L321" s="1067">
        <v>10</v>
      </c>
    </row>
    <row r="322" spans="1:12" x14ac:dyDescent="0.25">
      <c r="A322" s="1067" t="s">
        <v>851</v>
      </c>
      <c r="B322" s="1067" t="s">
        <v>247</v>
      </c>
      <c r="C322" s="1067" t="s">
        <v>403</v>
      </c>
      <c r="D322" s="1067" t="s">
        <v>121</v>
      </c>
      <c r="E322" s="1067">
        <v>517</v>
      </c>
      <c r="F322" s="1067"/>
      <c r="G322" s="1067"/>
      <c r="H322" s="1067">
        <v>114</v>
      </c>
      <c r="I322" s="1067">
        <v>346</v>
      </c>
      <c r="J322" s="1067"/>
      <c r="K322" s="1067"/>
      <c r="L322" s="1067">
        <v>57</v>
      </c>
    </row>
    <row r="323" spans="1:12" x14ac:dyDescent="0.25">
      <c r="A323" s="1067" t="s">
        <v>851</v>
      </c>
      <c r="B323" s="1067" t="s">
        <v>247</v>
      </c>
      <c r="C323" s="1067" t="s">
        <v>403</v>
      </c>
      <c r="D323" s="1067" t="s">
        <v>45</v>
      </c>
      <c r="E323" s="1067">
        <v>70</v>
      </c>
      <c r="F323" s="1067"/>
      <c r="G323" s="1067"/>
      <c r="H323" s="1067">
        <v>15</v>
      </c>
      <c r="I323" s="1067">
        <v>45</v>
      </c>
      <c r="J323" s="1067"/>
      <c r="K323" s="1067"/>
      <c r="L323" s="1067">
        <v>10</v>
      </c>
    </row>
    <row r="324" spans="1:12" x14ac:dyDescent="0.25">
      <c r="A324" s="1067" t="s">
        <v>851</v>
      </c>
      <c r="B324" s="1067" t="s">
        <v>247</v>
      </c>
      <c r="C324" s="1067" t="s">
        <v>403</v>
      </c>
      <c r="D324" s="1067" t="s">
        <v>49</v>
      </c>
      <c r="E324" s="1067">
        <v>75</v>
      </c>
      <c r="F324" s="1067"/>
      <c r="G324" s="1067"/>
      <c r="H324" s="1067">
        <v>15</v>
      </c>
      <c r="I324" s="1067">
        <v>45</v>
      </c>
      <c r="J324" s="1067"/>
      <c r="K324" s="1067"/>
      <c r="L324" s="1067">
        <v>15</v>
      </c>
    </row>
    <row r="325" spans="1:12" x14ac:dyDescent="0.25">
      <c r="A325" s="1067" t="s">
        <v>851</v>
      </c>
      <c r="B325" s="1067" t="s">
        <v>247</v>
      </c>
      <c r="C325" s="1067" t="s">
        <v>403</v>
      </c>
      <c r="D325" s="1067" t="s">
        <v>50</v>
      </c>
      <c r="E325" s="1067">
        <v>163</v>
      </c>
      <c r="F325" s="1067"/>
      <c r="G325" s="1067"/>
      <c r="H325" s="1067">
        <v>37</v>
      </c>
      <c r="I325" s="1067">
        <v>105</v>
      </c>
      <c r="J325" s="1067"/>
      <c r="K325" s="1067"/>
      <c r="L325" s="1067">
        <v>21</v>
      </c>
    </row>
    <row r="326" spans="1:12" x14ac:dyDescent="0.25">
      <c r="A326" s="1067" t="s">
        <v>851</v>
      </c>
      <c r="B326" s="1067" t="s">
        <v>247</v>
      </c>
      <c r="C326" s="1067" t="s">
        <v>403</v>
      </c>
      <c r="D326" s="1067" t="s">
        <v>53</v>
      </c>
      <c r="E326" s="1067">
        <v>102</v>
      </c>
      <c r="F326" s="1067"/>
      <c r="G326" s="1067"/>
      <c r="H326" s="1067">
        <v>21</v>
      </c>
      <c r="I326" s="1067">
        <v>66</v>
      </c>
      <c r="J326" s="1067"/>
      <c r="K326" s="1067"/>
      <c r="L326" s="1067">
        <v>15</v>
      </c>
    </row>
    <row r="327" spans="1:12" x14ac:dyDescent="0.25">
      <c r="A327" s="1067" t="s">
        <v>851</v>
      </c>
      <c r="B327" s="1067" t="s">
        <v>247</v>
      </c>
      <c r="C327" s="1067" t="s">
        <v>403</v>
      </c>
      <c r="D327" s="1067" t="s">
        <v>56</v>
      </c>
      <c r="E327" s="1067">
        <v>50</v>
      </c>
      <c r="F327" s="1067"/>
      <c r="G327" s="1067"/>
      <c r="H327" s="1067">
        <v>9</v>
      </c>
      <c r="I327" s="1067">
        <v>36</v>
      </c>
      <c r="J327" s="1067"/>
      <c r="K327" s="1067"/>
      <c r="L327" s="1067">
        <v>5</v>
      </c>
    </row>
    <row r="328" spans="1:12" x14ac:dyDescent="0.25">
      <c r="A328" s="1067" t="s">
        <v>851</v>
      </c>
      <c r="B328" s="1067" t="s">
        <v>247</v>
      </c>
      <c r="C328" s="1067" t="s">
        <v>403</v>
      </c>
      <c r="D328" s="1067" t="s">
        <v>57</v>
      </c>
      <c r="E328" s="1067">
        <v>168</v>
      </c>
      <c r="F328" s="1067"/>
      <c r="G328" s="1067"/>
      <c r="H328" s="1067">
        <v>37</v>
      </c>
      <c r="I328" s="1067">
        <v>111</v>
      </c>
      <c r="J328" s="1067"/>
      <c r="K328" s="1067"/>
      <c r="L328" s="1067">
        <v>20</v>
      </c>
    </row>
    <row r="329" spans="1:12" x14ac:dyDescent="0.25">
      <c r="A329" s="1067" t="s">
        <v>851</v>
      </c>
      <c r="B329" s="1067" t="s">
        <v>247</v>
      </c>
      <c r="C329" s="1067" t="s">
        <v>403</v>
      </c>
      <c r="D329" s="1067" t="s">
        <v>59</v>
      </c>
      <c r="E329" s="1067">
        <v>73</v>
      </c>
      <c r="F329" s="1067"/>
      <c r="G329" s="1067"/>
      <c r="H329" s="1067">
        <v>15</v>
      </c>
      <c r="I329" s="1067">
        <v>48</v>
      </c>
      <c r="J329" s="1067"/>
      <c r="K329" s="1067"/>
      <c r="L329" s="1067">
        <v>10</v>
      </c>
    </row>
    <row r="330" spans="1:12" x14ac:dyDescent="0.25">
      <c r="A330" s="1067" t="s">
        <v>851</v>
      </c>
      <c r="B330" s="1067" t="s">
        <v>247</v>
      </c>
      <c r="C330" s="1067" t="s">
        <v>402</v>
      </c>
      <c r="D330" s="1067" t="s">
        <v>258</v>
      </c>
      <c r="E330" s="1067">
        <v>306</v>
      </c>
      <c r="F330" s="1067"/>
      <c r="G330" s="1067"/>
      <c r="H330" s="1067">
        <v>56</v>
      </c>
      <c r="I330" s="1067">
        <v>214</v>
      </c>
      <c r="J330" s="1067"/>
      <c r="K330" s="1067"/>
      <c r="L330" s="1067">
        <v>36</v>
      </c>
    </row>
    <row r="331" spans="1:12" x14ac:dyDescent="0.25">
      <c r="A331" s="1067" t="s">
        <v>851</v>
      </c>
      <c r="B331" s="1067" t="s">
        <v>247</v>
      </c>
      <c r="C331" s="1067" t="s">
        <v>402</v>
      </c>
      <c r="D331" s="1067" t="s">
        <v>35</v>
      </c>
      <c r="E331" s="1067">
        <v>25</v>
      </c>
      <c r="F331" s="1067"/>
      <c r="G331" s="1067"/>
      <c r="H331" s="1067">
        <v>5</v>
      </c>
      <c r="I331" s="1067">
        <v>15</v>
      </c>
      <c r="J331" s="1067"/>
      <c r="K331" s="1067"/>
      <c r="L331" s="1067">
        <v>5</v>
      </c>
    </row>
    <row r="332" spans="1:12" x14ac:dyDescent="0.25">
      <c r="A332" s="1067" t="s">
        <v>851</v>
      </c>
      <c r="B332" s="1067" t="s">
        <v>247</v>
      </c>
      <c r="C332" s="1067" t="s">
        <v>402</v>
      </c>
      <c r="D332" s="1067" t="s">
        <v>40</v>
      </c>
      <c r="E332" s="1067">
        <v>25</v>
      </c>
      <c r="F332" s="1067"/>
      <c r="G332" s="1067"/>
      <c r="H332" s="1067">
        <v>5</v>
      </c>
      <c r="I332" s="1067">
        <v>15</v>
      </c>
      <c r="J332" s="1067"/>
      <c r="K332" s="1067"/>
      <c r="L332" s="1067">
        <v>5</v>
      </c>
    </row>
    <row r="333" spans="1:12" x14ac:dyDescent="0.25">
      <c r="A333" s="1067" t="s">
        <v>851</v>
      </c>
      <c r="B333" s="1067" t="s">
        <v>247</v>
      </c>
      <c r="C333" s="1067" t="s">
        <v>402</v>
      </c>
      <c r="D333" s="1067" t="s">
        <v>42</v>
      </c>
      <c r="E333" s="1067">
        <v>88</v>
      </c>
      <c r="F333" s="1067"/>
      <c r="G333" s="1067"/>
      <c r="H333" s="1067">
        <v>19</v>
      </c>
      <c r="I333" s="1067">
        <v>54</v>
      </c>
      <c r="J333" s="1067"/>
      <c r="K333" s="1067"/>
      <c r="L333" s="1067">
        <v>15</v>
      </c>
    </row>
    <row r="334" spans="1:12" x14ac:dyDescent="0.25">
      <c r="A334" s="1067" t="s">
        <v>851</v>
      </c>
      <c r="B334" s="1067" t="s">
        <v>247</v>
      </c>
      <c r="C334" s="1067" t="s">
        <v>402</v>
      </c>
      <c r="D334" s="1067" t="s">
        <v>43</v>
      </c>
      <c r="E334" s="1067">
        <v>269</v>
      </c>
      <c r="F334" s="1067"/>
      <c r="G334" s="1067"/>
      <c r="H334" s="1067">
        <v>51</v>
      </c>
      <c r="I334" s="1067">
        <v>192</v>
      </c>
      <c r="J334" s="1067"/>
      <c r="K334" s="1067"/>
      <c r="L334" s="1067">
        <v>26</v>
      </c>
    </row>
    <row r="335" spans="1:12" x14ac:dyDescent="0.25">
      <c r="A335" s="1067" t="s">
        <v>851</v>
      </c>
      <c r="B335" s="1067" t="s">
        <v>247</v>
      </c>
      <c r="C335" s="1067" t="s">
        <v>402</v>
      </c>
      <c r="D335" s="1067" t="s">
        <v>46</v>
      </c>
      <c r="E335" s="1067">
        <v>26</v>
      </c>
      <c r="F335" s="1067"/>
      <c r="G335" s="1067"/>
      <c r="H335" s="1067">
        <v>4</v>
      </c>
      <c r="I335" s="1067">
        <v>17</v>
      </c>
      <c r="J335" s="1067"/>
      <c r="K335" s="1067"/>
      <c r="L335" s="1067">
        <v>5</v>
      </c>
    </row>
    <row r="336" spans="1:12" x14ac:dyDescent="0.25">
      <c r="A336" s="1067" t="s">
        <v>851</v>
      </c>
      <c r="B336" s="1067" t="s">
        <v>247</v>
      </c>
      <c r="C336" s="1067" t="s">
        <v>402</v>
      </c>
      <c r="D336" s="1067" t="s">
        <v>54</v>
      </c>
      <c r="E336" s="1067">
        <v>53</v>
      </c>
      <c r="F336" s="1067"/>
      <c r="G336" s="1067"/>
      <c r="H336" s="1067">
        <v>10</v>
      </c>
      <c r="I336" s="1067">
        <v>33</v>
      </c>
      <c r="J336" s="1067"/>
      <c r="K336" s="1067"/>
      <c r="L336" s="1067">
        <v>10</v>
      </c>
    </row>
    <row r="337" spans="1:12" x14ac:dyDescent="0.25">
      <c r="A337" s="1067" t="s">
        <v>851</v>
      </c>
      <c r="B337" s="1067" t="s">
        <v>247</v>
      </c>
      <c r="C337" s="1067" t="s">
        <v>402</v>
      </c>
      <c r="D337" s="1067" t="s">
        <v>58</v>
      </c>
      <c r="E337" s="1067">
        <v>51</v>
      </c>
      <c r="F337" s="1067"/>
      <c r="G337" s="1067"/>
      <c r="H337" s="1067">
        <v>10</v>
      </c>
      <c r="I337" s="1067">
        <v>36</v>
      </c>
      <c r="J337" s="1067"/>
      <c r="K337" s="1067"/>
      <c r="L337" s="1067">
        <v>5</v>
      </c>
    </row>
    <row r="338" spans="1:12" x14ac:dyDescent="0.25">
      <c r="A338" s="1067" t="s">
        <v>851</v>
      </c>
      <c r="B338" s="1067" t="s">
        <v>247</v>
      </c>
      <c r="C338" s="1067" t="s">
        <v>402</v>
      </c>
      <c r="D338" s="1067" t="s">
        <v>60</v>
      </c>
      <c r="E338" s="1067">
        <v>58</v>
      </c>
      <c r="F338" s="1067"/>
      <c r="G338" s="1067"/>
      <c r="H338" s="1067">
        <v>10</v>
      </c>
      <c r="I338" s="1067">
        <v>38</v>
      </c>
      <c r="J338" s="1067"/>
      <c r="K338" s="1067"/>
      <c r="L338" s="1067">
        <v>10</v>
      </c>
    </row>
    <row r="339" spans="1:12" x14ac:dyDescent="0.25">
      <c r="A339" s="1067" t="s">
        <v>851</v>
      </c>
      <c r="B339" s="1067" t="s">
        <v>247</v>
      </c>
      <c r="C339" s="1067" t="s">
        <v>404</v>
      </c>
      <c r="D339" s="1067" t="s">
        <v>31</v>
      </c>
      <c r="E339" s="1067">
        <v>155</v>
      </c>
      <c r="F339" s="1067"/>
      <c r="G339" s="1067"/>
      <c r="H339" s="1067">
        <v>35</v>
      </c>
      <c r="I339" s="1067">
        <v>105</v>
      </c>
      <c r="J339" s="1067"/>
      <c r="K339" s="1067"/>
      <c r="L339" s="1067">
        <v>15</v>
      </c>
    </row>
    <row r="340" spans="1:12" x14ac:dyDescent="0.25">
      <c r="A340" s="1067" t="s">
        <v>851</v>
      </c>
      <c r="B340" s="1067" t="s">
        <v>247</v>
      </c>
      <c r="C340" s="1067" t="s">
        <v>404</v>
      </c>
      <c r="D340" s="1067" t="s">
        <v>32</v>
      </c>
      <c r="E340" s="1067">
        <v>32</v>
      </c>
      <c r="F340" s="1067"/>
      <c r="G340" s="1067"/>
      <c r="H340" s="1067">
        <v>4</v>
      </c>
      <c r="I340" s="1067">
        <v>22</v>
      </c>
      <c r="J340" s="1067"/>
      <c r="K340" s="1067"/>
      <c r="L340" s="1067">
        <v>6</v>
      </c>
    </row>
    <row r="341" spans="1:12" x14ac:dyDescent="0.25">
      <c r="A341" s="1067" t="s">
        <v>851</v>
      </c>
      <c r="B341" s="1067" t="s">
        <v>247</v>
      </c>
      <c r="C341" s="1067" t="s">
        <v>404</v>
      </c>
      <c r="D341" s="1067" t="s">
        <v>33</v>
      </c>
      <c r="E341" s="1067">
        <v>27</v>
      </c>
      <c r="F341" s="1067"/>
      <c r="G341" s="1067"/>
      <c r="H341" s="1067">
        <v>5</v>
      </c>
      <c r="I341" s="1067">
        <v>17</v>
      </c>
      <c r="J341" s="1067"/>
      <c r="K341" s="1067"/>
      <c r="L341" s="1067">
        <v>5</v>
      </c>
    </row>
    <row r="342" spans="1:12" x14ac:dyDescent="0.25">
      <c r="A342" s="1067" t="s">
        <v>851</v>
      </c>
      <c r="B342" s="1067" t="s">
        <v>247</v>
      </c>
      <c r="C342" s="1067" t="s">
        <v>404</v>
      </c>
      <c r="D342" s="1067" t="s">
        <v>37</v>
      </c>
      <c r="E342" s="1067">
        <v>182</v>
      </c>
      <c r="F342" s="1067"/>
      <c r="G342" s="1067"/>
      <c r="H342" s="1067">
        <v>36</v>
      </c>
      <c r="I342" s="1067">
        <v>126</v>
      </c>
      <c r="J342" s="1067"/>
      <c r="K342" s="1067"/>
      <c r="L342" s="1067">
        <v>20</v>
      </c>
    </row>
    <row r="343" spans="1:12" x14ac:dyDescent="0.25">
      <c r="A343" s="1067" t="s">
        <v>851</v>
      </c>
      <c r="B343" s="1067" t="s">
        <v>247</v>
      </c>
      <c r="C343" s="1067" t="s">
        <v>404</v>
      </c>
      <c r="D343" s="1067" t="s">
        <v>44</v>
      </c>
      <c r="E343" s="1067">
        <v>71</v>
      </c>
      <c r="F343" s="1067"/>
      <c r="G343" s="1067"/>
      <c r="H343" s="1067">
        <v>14</v>
      </c>
      <c r="I343" s="1067">
        <v>52</v>
      </c>
      <c r="J343" s="1067"/>
      <c r="K343" s="1067"/>
      <c r="L343" s="1067">
        <v>5</v>
      </c>
    </row>
    <row r="344" spans="1:12" x14ac:dyDescent="0.25">
      <c r="A344" s="1067" t="s">
        <v>851</v>
      </c>
      <c r="B344" s="1067" t="s">
        <v>247</v>
      </c>
      <c r="C344" s="1067" t="s">
        <v>404</v>
      </c>
      <c r="D344" s="1067" t="s">
        <v>47</v>
      </c>
      <c r="E344" s="1067">
        <v>30</v>
      </c>
      <c r="F344" s="1067"/>
      <c r="G344" s="1067"/>
      <c r="H344" s="1067">
        <v>5</v>
      </c>
      <c r="I344" s="1067">
        <v>20</v>
      </c>
      <c r="J344" s="1067"/>
      <c r="K344" s="1067"/>
      <c r="L344" s="1067">
        <v>5</v>
      </c>
    </row>
    <row r="345" spans="1:12" x14ac:dyDescent="0.25">
      <c r="A345" s="1067" t="s">
        <v>851</v>
      </c>
      <c r="B345" s="1067" t="s">
        <v>247</v>
      </c>
      <c r="C345" s="1067" t="s">
        <v>404</v>
      </c>
      <c r="D345" s="1067" t="s">
        <v>52</v>
      </c>
      <c r="E345" s="1067">
        <v>67</v>
      </c>
      <c r="F345" s="1067"/>
      <c r="G345" s="1067"/>
      <c r="H345" s="1067">
        <v>10</v>
      </c>
      <c r="I345" s="1067">
        <v>52</v>
      </c>
      <c r="J345" s="1067"/>
      <c r="K345" s="1067"/>
      <c r="L345" s="1067">
        <v>5</v>
      </c>
    </row>
    <row r="346" spans="1:12" x14ac:dyDescent="0.25">
      <c r="A346" s="1067" t="s">
        <v>851</v>
      </c>
      <c r="B346" s="1067" t="s">
        <v>248</v>
      </c>
      <c r="C346" s="1067"/>
      <c r="D346" s="1067" t="s">
        <v>853</v>
      </c>
      <c r="E346" s="1067">
        <v>38</v>
      </c>
      <c r="F346" s="1067">
        <v>1</v>
      </c>
      <c r="G346" s="1067"/>
      <c r="H346" s="1067">
        <v>6</v>
      </c>
      <c r="I346" s="1067">
        <v>4</v>
      </c>
      <c r="J346" s="1067">
        <v>4</v>
      </c>
      <c r="K346" s="1067">
        <v>12</v>
      </c>
      <c r="L346" s="1067">
        <v>11</v>
      </c>
    </row>
    <row r="347" spans="1:12" x14ac:dyDescent="0.25">
      <c r="A347" s="1067" t="s">
        <v>851</v>
      </c>
      <c r="B347" s="1067" t="s">
        <v>248</v>
      </c>
      <c r="C347" s="1067" t="s">
        <v>403</v>
      </c>
      <c r="D347" s="1067" t="s">
        <v>64</v>
      </c>
      <c r="E347" s="1067">
        <v>28</v>
      </c>
      <c r="F347" s="1067">
        <v>1</v>
      </c>
      <c r="G347" s="1067"/>
      <c r="H347" s="1067">
        <v>7</v>
      </c>
      <c r="I347" s="1067">
        <v>2</v>
      </c>
      <c r="J347" s="1067">
        <v>3</v>
      </c>
      <c r="K347" s="1067">
        <v>8</v>
      </c>
      <c r="L347" s="1067">
        <v>7</v>
      </c>
    </row>
    <row r="348" spans="1:12" x14ac:dyDescent="0.25">
      <c r="A348" s="1067" t="s">
        <v>851</v>
      </c>
      <c r="B348" s="1067" t="s">
        <v>248</v>
      </c>
      <c r="C348" s="1067" t="s">
        <v>403</v>
      </c>
      <c r="D348" s="1067" t="s">
        <v>36</v>
      </c>
      <c r="E348" s="1067">
        <v>22</v>
      </c>
      <c r="F348" s="1067">
        <v>1</v>
      </c>
      <c r="G348" s="1067"/>
      <c r="H348" s="1067">
        <v>3</v>
      </c>
      <c r="I348" s="1067">
        <v>2</v>
      </c>
      <c r="J348" s="1067">
        <v>2</v>
      </c>
      <c r="K348" s="1067">
        <v>6</v>
      </c>
      <c r="L348" s="1067">
        <v>8</v>
      </c>
    </row>
    <row r="349" spans="1:12" x14ac:dyDescent="0.25">
      <c r="A349" s="1067" t="s">
        <v>851</v>
      </c>
      <c r="B349" s="1067" t="s">
        <v>248</v>
      </c>
      <c r="C349" s="1067" t="s">
        <v>403</v>
      </c>
      <c r="D349" s="1067" t="s">
        <v>66</v>
      </c>
      <c r="E349" s="1067">
        <v>28</v>
      </c>
      <c r="F349" s="1067">
        <v>1</v>
      </c>
      <c r="G349" s="1067"/>
      <c r="H349" s="1067">
        <v>5</v>
      </c>
      <c r="I349" s="1067">
        <v>1</v>
      </c>
      <c r="J349" s="1067">
        <v>3</v>
      </c>
      <c r="K349" s="1067">
        <v>10</v>
      </c>
      <c r="L349" s="1067">
        <v>8</v>
      </c>
    </row>
    <row r="350" spans="1:12" x14ac:dyDescent="0.25">
      <c r="A350" s="1067" t="s">
        <v>851</v>
      </c>
      <c r="B350" s="1067" t="s">
        <v>248</v>
      </c>
      <c r="C350" s="1067" t="s">
        <v>403</v>
      </c>
      <c r="D350" s="1067" t="s">
        <v>68</v>
      </c>
      <c r="E350" s="1067">
        <v>13</v>
      </c>
      <c r="F350" s="1067">
        <v>1</v>
      </c>
      <c r="G350" s="1067"/>
      <c r="H350" s="1067"/>
      <c r="I350" s="1067">
        <v>1</v>
      </c>
      <c r="J350" s="1067">
        <v>4</v>
      </c>
      <c r="K350" s="1067">
        <v>4</v>
      </c>
      <c r="L350" s="1067">
        <v>3</v>
      </c>
    </row>
    <row r="351" spans="1:12" x14ac:dyDescent="0.25">
      <c r="A351" s="1067" t="s">
        <v>851</v>
      </c>
      <c r="B351" s="1067" t="s">
        <v>248</v>
      </c>
      <c r="C351" s="1067" t="s">
        <v>403</v>
      </c>
      <c r="D351" s="1067" t="s">
        <v>121</v>
      </c>
      <c r="E351" s="1067">
        <v>25</v>
      </c>
      <c r="F351" s="1067">
        <v>1</v>
      </c>
      <c r="G351" s="1067"/>
      <c r="H351" s="1067">
        <v>2</v>
      </c>
      <c r="I351" s="1067">
        <v>2</v>
      </c>
      <c r="J351" s="1067">
        <v>5</v>
      </c>
      <c r="K351" s="1067">
        <v>10</v>
      </c>
      <c r="L351" s="1067">
        <v>5</v>
      </c>
    </row>
    <row r="352" spans="1:12" x14ac:dyDescent="0.25">
      <c r="A352" s="1067" t="s">
        <v>851</v>
      </c>
      <c r="B352" s="1067" t="s">
        <v>248</v>
      </c>
      <c r="C352" s="1067" t="s">
        <v>403</v>
      </c>
      <c r="D352" s="1067" t="s">
        <v>50</v>
      </c>
      <c r="E352" s="1067">
        <v>16</v>
      </c>
      <c r="F352" s="1067">
        <v>1</v>
      </c>
      <c r="G352" s="1067"/>
      <c r="H352" s="1067">
        <v>2</v>
      </c>
      <c r="I352" s="1067">
        <v>1</v>
      </c>
      <c r="J352" s="1067">
        <v>2</v>
      </c>
      <c r="K352" s="1067">
        <v>5</v>
      </c>
      <c r="L352" s="1067">
        <v>5</v>
      </c>
    </row>
    <row r="353" spans="1:12" x14ac:dyDescent="0.25">
      <c r="A353" s="1067" t="s">
        <v>851</v>
      </c>
      <c r="B353" s="1067" t="s">
        <v>248</v>
      </c>
      <c r="C353" s="1067" t="s">
        <v>403</v>
      </c>
      <c r="D353" s="1067" t="s">
        <v>57</v>
      </c>
      <c r="E353" s="1067">
        <v>16</v>
      </c>
      <c r="F353" s="1067">
        <v>1</v>
      </c>
      <c r="G353" s="1067"/>
      <c r="H353" s="1067">
        <v>3</v>
      </c>
      <c r="I353" s="1067"/>
      <c r="J353" s="1067">
        <v>2</v>
      </c>
      <c r="K353" s="1067">
        <v>6</v>
      </c>
      <c r="L353" s="1067">
        <v>4</v>
      </c>
    </row>
    <row r="354" spans="1:12" x14ac:dyDescent="0.25">
      <c r="A354" s="1067" t="s">
        <v>851</v>
      </c>
      <c r="B354" s="1067" t="s">
        <v>248</v>
      </c>
      <c r="C354" s="1067" t="s">
        <v>402</v>
      </c>
      <c r="D354" s="1067" t="s">
        <v>67</v>
      </c>
      <c r="E354" s="1067">
        <v>29</v>
      </c>
      <c r="F354" s="1067">
        <v>1</v>
      </c>
      <c r="G354" s="1067"/>
      <c r="H354" s="1067">
        <v>5</v>
      </c>
      <c r="I354" s="1067">
        <v>4</v>
      </c>
      <c r="J354" s="1067">
        <v>3</v>
      </c>
      <c r="K354" s="1067">
        <v>7</v>
      </c>
      <c r="L354" s="1067">
        <v>9</v>
      </c>
    </row>
    <row r="355" spans="1:12" x14ac:dyDescent="0.25">
      <c r="A355" s="1067" t="s">
        <v>851</v>
      </c>
      <c r="B355" s="1067" t="s">
        <v>248</v>
      </c>
      <c r="C355" s="1067" t="s">
        <v>402</v>
      </c>
      <c r="D355" s="1067" t="s">
        <v>175</v>
      </c>
      <c r="E355" s="1067">
        <v>28</v>
      </c>
      <c r="F355" s="1067">
        <v>1</v>
      </c>
      <c r="G355" s="1067"/>
      <c r="H355" s="1067">
        <v>4</v>
      </c>
      <c r="I355" s="1067">
        <v>4</v>
      </c>
      <c r="J355" s="1067">
        <v>4</v>
      </c>
      <c r="K355" s="1067">
        <v>5</v>
      </c>
      <c r="L355" s="1067">
        <v>10</v>
      </c>
    </row>
    <row r="356" spans="1:12" x14ac:dyDescent="0.25">
      <c r="A356" s="1067" t="s">
        <v>851</v>
      </c>
      <c r="B356" s="1067" t="s">
        <v>248</v>
      </c>
      <c r="C356" s="1067" t="s">
        <v>402</v>
      </c>
      <c r="D356" s="1067" t="s">
        <v>69</v>
      </c>
      <c r="E356" s="1067">
        <v>19</v>
      </c>
      <c r="F356" s="1067">
        <v>1</v>
      </c>
      <c r="G356" s="1067"/>
      <c r="H356" s="1067">
        <v>2</v>
      </c>
      <c r="I356" s="1067">
        <v>2</v>
      </c>
      <c r="J356" s="1067">
        <v>2</v>
      </c>
      <c r="K356" s="1067">
        <v>6</v>
      </c>
      <c r="L356" s="1067">
        <v>6</v>
      </c>
    </row>
    <row r="357" spans="1:12" x14ac:dyDescent="0.25">
      <c r="A357" s="1067" t="s">
        <v>851</v>
      </c>
      <c r="B357" s="1067" t="s">
        <v>248</v>
      </c>
      <c r="C357" s="1067" t="s">
        <v>404</v>
      </c>
      <c r="D357" s="1067" t="s">
        <v>31</v>
      </c>
      <c r="E357" s="1067">
        <v>13</v>
      </c>
      <c r="F357" s="1067">
        <v>1</v>
      </c>
      <c r="G357" s="1067"/>
      <c r="H357" s="1067">
        <v>2</v>
      </c>
      <c r="I357" s="1067">
        <v>1</v>
      </c>
      <c r="J357" s="1067">
        <v>2</v>
      </c>
      <c r="K357" s="1067">
        <v>3</v>
      </c>
      <c r="L357" s="1067">
        <v>4</v>
      </c>
    </row>
    <row r="358" spans="1:12" x14ac:dyDescent="0.25">
      <c r="A358" s="1067" t="s">
        <v>851</v>
      </c>
      <c r="B358" s="1067" t="s">
        <v>248</v>
      </c>
      <c r="C358" s="1067" t="s">
        <v>404</v>
      </c>
      <c r="D358" s="1067" t="s">
        <v>63</v>
      </c>
      <c r="E358" s="1067">
        <v>25</v>
      </c>
      <c r="F358" s="1067">
        <v>1</v>
      </c>
      <c r="G358" s="1067"/>
      <c r="H358" s="1067">
        <v>4</v>
      </c>
      <c r="I358" s="1067">
        <v>1</v>
      </c>
      <c r="J358" s="1067">
        <v>3</v>
      </c>
      <c r="K358" s="1067">
        <v>9</v>
      </c>
      <c r="L358" s="1067">
        <v>7</v>
      </c>
    </row>
    <row r="359" spans="1:12" x14ac:dyDescent="0.25">
      <c r="A359" s="1067" t="s">
        <v>851</v>
      </c>
      <c r="B359" s="1067" t="s">
        <v>248</v>
      </c>
      <c r="C359" s="1067" t="s">
        <v>404</v>
      </c>
      <c r="D359" s="1067" t="s">
        <v>65</v>
      </c>
      <c r="E359" s="1067">
        <v>31</v>
      </c>
      <c r="F359" s="1067">
        <v>1</v>
      </c>
      <c r="G359" s="1067"/>
      <c r="H359" s="1067">
        <v>4</v>
      </c>
      <c r="I359" s="1067">
        <v>2</v>
      </c>
      <c r="J359" s="1067">
        <v>4</v>
      </c>
      <c r="K359" s="1067">
        <v>9</v>
      </c>
      <c r="L359" s="1067">
        <v>11</v>
      </c>
    </row>
    <row r="360" spans="1:12" x14ac:dyDescent="0.25">
      <c r="A360" s="1067" t="s">
        <v>851</v>
      </c>
      <c r="B360" s="1067" t="s">
        <v>248</v>
      </c>
      <c r="C360" s="1067" t="s">
        <v>404</v>
      </c>
      <c r="D360" s="1067" t="s">
        <v>70</v>
      </c>
      <c r="E360" s="1067">
        <v>38</v>
      </c>
      <c r="F360" s="1067">
        <v>1</v>
      </c>
      <c r="G360" s="1067"/>
      <c r="H360" s="1067">
        <v>8</v>
      </c>
      <c r="I360" s="1067">
        <v>1</v>
      </c>
      <c r="J360" s="1067">
        <v>4</v>
      </c>
      <c r="K360" s="1067">
        <v>13</v>
      </c>
      <c r="L360" s="1067">
        <v>11</v>
      </c>
    </row>
    <row r="361" spans="1:12" x14ac:dyDescent="0.25">
      <c r="A361" s="1067" t="s">
        <v>851</v>
      </c>
      <c r="B361" s="1067" t="s">
        <v>248</v>
      </c>
      <c r="C361" s="1067" t="s">
        <v>404</v>
      </c>
      <c r="D361" s="1067" t="s">
        <v>71</v>
      </c>
      <c r="E361" s="1067">
        <v>14</v>
      </c>
      <c r="F361" s="1067">
        <v>1</v>
      </c>
      <c r="G361" s="1067"/>
      <c r="H361" s="1067">
        <v>1</v>
      </c>
      <c r="I361" s="1067"/>
      <c r="J361" s="1067">
        <v>3</v>
      </c>
      <c r="K361" s="1067">
        <v>5</v>
      </c>
      <c r="L361" s="1067">
        <v>4</v>
      </c>
    </row>
    <row r="362" spans="1:12" x14ac:dyDescent="0.25">
      <c r="A362" s="1067" t="s">
        <v>851</v>
      </c>
      <c r="B362" s="1067" t="s">
        <v>249</v>
      </c>
      <c r="C362" s="1067" t="s">
        <v>403</v>
      </c>
      <c r="D362" s="1067" t="s">
        <v>173</v>
      </c>
      <c r="E362" s="1067">
        <v>103</v>
      </c>
      <c r="F362" s="1067">
        <v>3</v>
      </c>
      <c r="G362" s="1067"/>
      <c r="H362" s="1067">
        <v>21</v>
      </c>
      <c r="I362" s="1067"/>
      <c r="J362" s="1067">
        <v>10</v>
      </c>
      <c r="K362" s="1067">
        <v>14</v>
      </c>
      <c r="L362" s="1067">
        <v>55</v>
      </c>
    </row>
    <row r="363" spans="1:12" x14ac:dyDescent="0.25">
      <c r="A363" s="1067" t="s">
        <v>851</v>
      </c>
      <c r="B363" s="1067" t="s">
        <v>249</v>
      </c>
      <c r="C363" s="1067" t="s">
        <v>402</v>
      </c>
      <c r="D363" s="1067" t="s">
        <v>174</v>
      </c>
      <c r="E363" s="1067">
        <v>52</v>
      </c>
      <c r="F363" s="1067">
        <v>1</v>
      </c>
      <c r="G363" s="1067"/>
      <c r="H363" s="1067">
        <v>6</v>
      </c>
      <c r="I363" s="1067"/>
      <c r="J363" s="1067">
        <v>4</v>
      </c>
      <c r="K363" s="1067">
        <v>8</v>
      </c>
      <c r="L363" s="1067">
        <v>33</v>
      </c>
    </row>
    <row r="364" spans="1:12" x14ac:dyDescent="0.25">
      <c r="A364" s="1067" t="s">
        <v>851</v>
      </c>
      <c r="B364" s="1067" t="s">
        <v>249</v>
      </c>
      <c r="C364" s="1067" t="s">
        <v>404</v>
      </c>
      <c r="D364" s="1067" t="s">
        <v>172</v>
      </c>
      <c r="E364" s="1067">
        <v>42</v>
      </c>
      <c r="F364" s="1067">
        <v>2</v>
      </c>
      <c r="G364" s="1067"/>
      <c r="H364" s="1067">
        <v>6</v>
      </c>
      <c r="I364" s="1067"/>
      <c r="J364" s="1067">
        <v>3</v>
      </c>
      <c r="K364" s="1067">
        <v>7</v>
      </c>
      <c r="L364" s="1067">
        <v>24</v>
      </c>
    </row>
    <row r="365" spans="1:12" x14ac:dyDescent="0.25">
      <c r="A365" s="1067" t="s">
        <v>851</v>
      </c>
      <c r="B365" s="1067" t="s">
        <v>250</v>
      </c>
      <c r="C365" s="1067" t="s">
        <v>382</v>
      </c>
      <c r="D365" s="1067" t="s">
        <v>259</v>
      </c>
      <c r="E365" s="1067">
        <v>90</v>
      </c>
      <c r="F365" s="1067">
        <v>9</v>
      </c>
      <c r="G365" s="1067">
        <v>6</v>
      </c>
      <c r="H365" s="1067"/>
      <c r="I365" s="1067">
        <v>49</v>
      </c>
      <c r="J365" s="1067">
        <v>13</v>
      </c>
      <c r="K365" s="1067">
        <v>6</v>
      </c>
      <c r="L365" s="1067">
        <v>7</v>
      </c>
    </row>
  </sheetData>
  <sheetProtection algorithmName="SHA-512" hashValue="NXzvp4kVpuLUxi3Kz1qjwVYLBO1Mc/uuQQFYmq3eyJyDgu1MB5dDhHB67rDgbJWbEU+1ltyLg0p3qgQxiIllrQ==" saltValue="m/JgmepfFdOCJ5MJlh21iw=="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9"/>
  <sheetViews>
    <sheetView zoomScale="85" zoomScaleNormal="85" workbookViewId="0">
      <pane ySplit="4" topLeftCell="A5" activePane="bottomLeft" state="frozen"/>
      <selection pane="bottomLeft"/>
    </sheetView>
  </sheetViews>
  <sheetFormatPr defaultRowHeight="15" x14ac:dyDescent="0.25"/>
  <sheetData>
    <row r="1" spans="1:8" ht="15.75" x14ac:dyDescent="0.25">
      <c r="A1" s="981" t="s">
        <v>1192</v>
      </c>
    </row>
    <row r="2" spans="1:8" x14ac:dyDescent="0.25">
      <c r="A2" s="1139">
        <v>44071</v>
      </c>
      <c r="B2" s="1140"/>
    </row>
    <row r="4" spans="1:8" x14ac:dyDescent="0.25">
      <c r="A4" s="1066" t="s">
        <v>270</v>
      </c>
      <c r="B4" s="1066" t="s">
        <v>1082</v>
      </c>
      <c r="C4" s="1066" t="s">
        <v>257</v>
      </c>
      <c r="D4" s="1066" t="s">
        <v>1083</v>
      </c>
      <c r="E4" s="1066" t="s">
        <v>26</v>
      </c>
      <c r="F4" s="1066" t="s">
        <v>21</v>
      </c>
      <c r="G4" s="1066" t="s">
        <v>22</v>
      </c>
      <c r="H4" s="1066" t="s">
        <v>23</v>
      </c>
    </row>
    <row r="5" spans="1:8" x14ac:dyDescent="0.25">
      <c r="A5" s="1067" t="s">
        <v>204</v>
      </c>
      <c r="B5" s="1067" t="s">
        <v>247</v>
      </c>
      <c r="C5" s="1067" t="s">
        <v>282</v>
      </c>
      <c r="D5" s="1067" t="s">
        <v>35</v>
      </c>
      <c r="E5" s="1067">
        <v>21</v>
      </c>
      <c r="F5" s="1067">
        <v>2</v>
      </c>
      <c r="G5" s="1067">
        <v>4</v>
      </c>
      <c r="H5" s="1067">
        <v>15</v>
      </c>
    </row>
    <row r="6" spans="1:8" x14ac:dyDescent="0.25">
      <c r="A6" s="1067" t="s">
        <v>204</v>
      </c>
      <c r="B6" s="1067" t="s">
        <v>247</v>
      </c>
      <c r="C6" s="1067" t="s">
        <v>283</v>
      </c>
      <c r="D6" s="1067" t="s">
        <v>36</v>
      </c>
      <c r="E6" s="1067">
        <v>198</v>
      </c>
      <c r="F6" s="1067">
        <v>17</v>
      </c>
      <c r="G6" s="1067">
        <v>34</v>
      </c>
      <c r="H6" s="1067">
        <v>147</v>
      </c>
    </row>
    <row r="7" spans="1:8" x14ac:dyDescent="0.25">
      <c r="A7" s="1067" t="s">
        <v>204</v>
      </c>
      <c r="B7" s="1067" t="s">
        <v>247</v>
      </c>
      <c r="C7" s="1067" t="s">
        <v>284</v>
      </c>
      <c r="D7" s="1067" t="s">
        <v>38</v>
      </c>
      <c r="E7" s="1067">
        <v>77</v>
      </c>
      <c r="F7" s="1067">
        <v>9</v>
      </c>
      <c r="G7" s="1067">
        <v>10</v>
      </c>
      <c r="H7" s="1067">
        <v>58</v>
      </c>
    </row>
    <row r="8" spans="1:8" x14ac:dyDescent="0.25">
      <c r="A8" s="1067" t="s">
        <v>204</v>
      </c>
      <c r="B8" s="1067" t="s">
        <v>247</v>
      </c>
      <c r="C8" s="1067" t="s">
        <v>285</v>
      </c>
      <c r="D8" s="1067" t="s">
        <v>40</v>
      </c>
      <c r="E8" s="1067">
        <v>52</v>
      </c>
      <c r="F8" s="1067">
        <v>5</v>
      </c>
      <c r="G8" s="1067">
        <v>9</v>
      </c>
      <c r="H8" s="1067">
        <v>38</v>
      </c>
    </row>
    <row r="9" spans="1:8" x14ac:dyDescent="0.25">
      <c r="A9" s="1067" t="s">
        <v>204</v>
      </c>
      <c r="B9" s="1067" t="s">
        <v>247</v>
      </c>
      <c r="C9" s="1067" t="s">
        <v>286</v>
      </c>
      <c r="D9" s="1067" t="s">
        <v>41</v>
      </c>
      <c r="E9" s="1067">
        <v>0</v>
      </c>
      <c r="F9" s="1067">
        <v>0</v>
      </c>
      <c r="G9" s="1067">
        <v>0</v>
      </c>
      <c r="H9" s="1067">
        <v>0</v>
      </c>
    </row>
    <row r="10" spans="1:8" x14ac:dyDescent="0.25">
      <c r="A10" s="1067" t="s">
        <v>204</v>
      </c>
      <c r="B10" s="1067" t="s">
        <v>247</v>
      </c>
      <c r="C10" s="1067" t="s">
        <v>287</v>
      </c>
      <c r="D10" s="1067" t="s">
        <v>48</v>
      </c>
      <c r="E10" s="1067">
        <v>132</v>
      </c>
      <c r="F10" s="1067">
        <v>13</v>
      </c>
      <c r="G10" s="1067">
        <v>25</v>
      </c>
      <c r="H10" s="1067">
        <v>94</v>
      </c>
    </row>
    <row r="11" spans="1:8" x14ac:dyDescent="0.25">
      <c r="A11" s="1067" t="s">
        <v>204</v>
      </c>
      <c r="B11" s="1067" t="s">
        <v>247</v>
      </c>
      <c r="C11" s="1067" t="s">
        <v>288</v>
      </c>
      <c r="D11" s="1067" t="s">
        <v>42</v>
      </c>
      <c r="E11" s="1067">
        <v>65</v>
      </c>
      <c r="F11" s="1067">
        <v>5</v>
      </c>
      <c r="G11" s="1067">
        <v>10</v>
      </c>
      <c r="H11" s="1067">
        <v>50</v>
      </c>
    </row>
    <row r="12" spans="1:8" x14ac:dyDescent="0.25">
      <c r="A12" s="1067" t="s">
        <v>204</v>
      </c>
      <c r="B12" s="1067" t="s">
        <v>247</v>
      </c>
      <c r="C12" s="1067" t="s">
        <v>289</v>
      </c>
      <c r="D12" s="1067" t="s">
        <v>44</v>
      </c>
      <c r="E12" s="1067">
        <v>564</v>
      </c>
      <c r="F12" s="1067">
        <v>55</v>
      </c>
      <c r="G12" s="1067">
        <v>115</v>
      </c>
      <c r="H12" s="1067">
        <v>394</v>
      </c>
    </row>
    <row r="13" spans="1:8" x14ac:dyDescent="0.25">
      <c r="A13" s="1067" t="s">
        <v>204</v>
      </c>
      <c r="B13" s="1067" t="s">
        <v>247</v>
      </c>
      <c r="C13" s="1067" t="s">
        <v>290</v>
      </c>
      <c r="D13" s="1067" t="s">
        <v>45</v>
      </c>
      <c r="E13" s="1067">
        <v>42</v>
      </c>
      <c r="F13" s="1067">
        <v>3</v>
      </c>
      <c r="G13" s="1067">
        <v>4</v>
      </c>
      <c r="H13" s="1067">
        <v>35</v>
      </c>
    </row>
    <row r="14" spans="1:8" x14ac:dyDescent="0.25">
      <c r="A14" s="1067" t="s">
        <v>204</v>
      </c>
      <c r="B14" s="1067" t="s">
        <v>247</v>
      </c>
      <c r="C14" s="1067" t="s">
        <v>291</v>
      </c>
      <c r="D14" s="1067" t="s">
        <v>46</v>
      </c>
      <c r="E14" s="1067">
        <v>10</v>
      </c>
      <c r="F14" s="1067">
        <v>1</v>
      </c>
      <c r="G14" s="1067">
        <v>2</v>
      </c>
      <c r="H14" s="1067">
        <v>7</v>
      </c>
    </row>
    <row r="15" spans="1:8" x14ac:dyDescent="0.25">
      <c r="A15" s="1067" t="s">
        <v>204</v>
      </c>
      <c r="B15" s="1067" t="s">
        <v>247</v>
      </c>
      <c r="C15" s="1067" t="s">
        <v>292</v>
      </c>
      <c r="D15" s="1067" t="s">
        <v>47</v>
      </c>
      <c r="E15" s="1067">
        <v>104</v>
      </c>
      <c r="F15" s="1067">
        <v>9</v>
      </c>
      <c r="G15" s="1067">
        <v>22</v>
      </c>
      <c r="H15" s="1067">
        <v>73</v>
      </c>
    </row>
    <row r="16" spans="1:8" x14ac:dyDescent="0.25">
      <c r="A16" s="1067" t="s">
        <v>204</v>
      </c>
      <c r="B16" s="1067" t="s">
        <v>247</v>
      </c>
      <c r="C16" s="1067" t="s">
        <v>293</v>
      </c>
      <c r="D16" s="1067" t="s">
        <v>49</v>
      </c>
      <c r="E16" s="1067">
        <v>94</v>
      </c>
      <c r="F16" s="1067">
        <v>9</v>
      </c>
      <c r="G16" s="1067">
        <v>15</v>
      </c>
      <c r="H16" s="1067">
        <v>70</v>
      </c>
    </row>
    <row r="17" spans="1:8" x14ac:dyDescent="0.25">
      <c r="A17" s="1067" t="s">
        <v>204</v>
      </c>
      <c r="B17" s="1067" t="s">
        <v>247</v>
      </c>
      <c r="C17" s="1067" t="s">
        <v>294</v>
      </c>
      <c r="D17" s="1067" t="s">
        <v>51</v>
      </c>
      <c r="E17" s="1067">
        <v>113</v>
      </c>
      <c r="F17" s="1067">
        <v>12</v>
      </c>
      <c r="G17" s="1067">
        <v>22</v>
      </c>
      <c r="H17" s="1067">
        <v>79</v>
      </c>
    </row>
    <row r="18" spans="1:8" x14ac:dyDescent="0.25">
      <c r="A18" s="1067" t="s">
        <v>204</v>
      </c>
      <c r="B18" s="1067" t="s">
        <v>247</v>
      </c>
      <c r="C18" s="1067" t="s">
        <v>295</v>
      </c>
      <c r="D18" s="1067" t="s">
        <v>52</v>
      </c>
      <c r="E18" s="1067">
        <v>140</v>
      </c>
      <c r="F18" s="1067">
        <v>10</v>
      </c>
      <c r="G18" s="1067">
        <v>25</v>
      </c>
      <c r="H18" s="1067">
        <v>105</v>
      </c>
    </row>
    <row r="19" spans="1:8" x14ac:dyDescent="0.25">
      <c r="A19" s="1067" t="s">
        <v>204</v>
      </c>
      <c r="B19" s="1067" t="s">
        <v>247</v>
      </c>
      <c r="C19" s="1067" t="s">
        <v>296</v>
      </c>
      <c r="D19" s="1067" t="s">
        <v>54</v>
      </c>
      <c r="E19" s="1067">
        <v>134</v>
      </c>
      <c r="F19" s="1067">
        <v>13</v>
      </c>
      <c r="G19" s="1067">
        <v>25</v>
      </c>
      <c r="H19" s="1067">
        <v>96</v>
      </c>
    </row>
    <row r="20" spans="1:8" x14ac:dyDescent="0.25">
      <c r="A20" s="1067" t="s">
        <v>204</v>
      </c>
      <c r="B20" s="1067" t="s">
        <v>247</v>
      </c>
      <c r="C20" s="1067" t="s">
        <v>297</v>
      </c>
      <c r="D20" s="1067" t="s">
        <v>55</v>
      </c>
      <c r="E20" s="1067">
        <v>134</v>
      </c>
      <c r="F20" s="1067">
        <v>13</v>
      </c>
      <c r="G20" s="1067">
        <v>29</v>
      </c>
      <c r="H20" s="1067">
        <v>92</v>
      </c>
    </row>
    <row r="21" spans="1:8" x14ac:dyDescent="0.25">
      <c r="A21" s="1067" t="s">
        <v>204</v>
      </c>
      <c r="B21" s="1067" t="s">
        <v>247</v>
      </c>
      <c r="C21" s="1067" t="s">
        <v>298</v>
      </c>
      <c r="D21" s="1067" t="s">
        <v>56</v>
      </c>
      <c r="E21" s="1067">
        <v>54</v>
      </c>
      <c r="F21" s="1067">
        <v>5</v>
      </c>
      <c r="G21" s="1067">
        <v>9</v>
      </c>
      <c r="H21" s="1067">
        <v>40</v>
      </c>
    </row>
    <row r="22" spans="1:8" x14ac:dyDescent="0.25">
      <c r="A22" s="1067" t="s">
        <v>204</v>
      </c>
      <c r="B22" s="1067" t="s">
        <v>247</v>
      </c>
      <c r="C22" s="1067" t="s">
        <v>299</v>
      </c>
      <c r="D22" s="1067" t="s">
        <v>57</v>
      </c>
      <c r="E22" s="1067">
        <v>84</v>
      </c>
      <c r="F22" s="1067">
        <v>9</v>
      </c>
      <c r="G22" s="1067">
        <v>8</v>
      </c>
      <c r="H22" s="1067">
        <v>67</v>
      </c>
    </row>
    <row r="23" spans="1:8" x14ac:dyDescent="0.25">
      <c r="A23" s="1067" t="s">
        <v>204</v>
      </c>
      <c r="B23" s="1067" t="s">
        <v>247</v>
      </c>
      <c r="C23" s="1067" t="s">
        <v>300</v>
      </c>
      <c r="D23" s="1067" t="s">
        <v>58</v>
      </c>
      <c r="E23" s="1067">
        <v>74</v>
      </c>
      <c r="F23" s="1067">
        <v>9</v>
      </c>
      <c r="G23" s="1067">
        <v>15</v>
      </c>
      <c r="H23" s="1067">
        <v>50</v>
      </c>
    </row>
    <row r="24" spans="1:8" x14ac:dyDescent="0.25">
      <c r="A24" s="1067" t="s">
        <v>204</v>
      </c>
      <c r="B24" s="1067" t="s">
        <v>247</v>
      </c>
      <c r="C24" s="1067" t="s">
        <v>301</v>
      </c>
      <c r="D24" s="1067" t="s">
        <v>31</v>
      </c>
      <c r="E24" s="1067">
        <v>8</v>
      </c>
      <c r="F24" s="1067">
        <v>1</v>
      </c>
      <c r="G24" s="1067">
        <v>2</v>
      </c>
      <c r="H24" s="1067">
        <v>5</v>
      </c>
    </row>
    <row r="25" spans="1:8" x14ac:dyDescent="0.25">
      <c r="A25" s="1067" t="s">
        <v>204</v>
      </c>
      <c r="B25" s="1067" t="s">
        <v>247</v>
      </c>
      <c r="C25" s="1067" t="s">
        <v>302</v>
      </c>
      <c r="D25" s="1067" t="s">
        <v>32</v>
      </c>
      <c r="E25" s="1067">
        <v>297</v>
      </c>
      <c r="F25" s="1067">
        <v>29</v>
      </c>
      <c r="G25" s="1067">
        <v>65</v>
      </c>
      <c r="H25" s="1067">
        <v>203</v>
      </c>
    </row>
    <row r="26" spans="1:8" x14ac:dyDescent="0.25">
      <c r="A26" s="1067" t="s">
        <v>204</v>
      </c>
      <c r="B26" s="1067" t="s">
        <v>247</v>
      </c>
      <c r="C26" s="1067" t="s">
        <v>303</v>
      </c>
      <c r="D26" s="1067" t="s">
        <v>34</v>
      </c>
      <c r="E26" s="1067">
        <v>187</v>
      </c>
      <c r="F26" s="1067">
        <v>17</v>
      </c>
      <c r="G26" s="1067">
        <v>24</v>
      </c>
      <c r="H26" s="1067">
        <v>146</v>
      </c>
    </row>
    <row r="27" spans="1:8" x14ac:dyDescent="0.25">
      <c r="A27" s="1067" t="s">
        <v>204</v>
      </c>
      <c r="B27" s="1067" t="s">
        <v>247</v>
      </c>
      <c r="C27" s="1067" t="s">
        <v>304</v>
      </c>
      <c r="D27" s="1067" t="s">
        <v>258</v>
      </c>
      <c r="E27" s="1067">
        <v>12</v>
      </c>
      <c r="F27" s="1067">
        <v>1</v>
      </c>
      <c r="G27" s="1067">
        <v>2</v>
      </c>
      <c r="H27" s="1067">
        <v>9</v>
      </c>
    </row>
    <row r="28" spans="1:8" x14ac:dyDescent="0.25">
      <c r="A28" s="1067" t="s">
        <v>204</v>
      </c>
      <c r="B28" s="1067" t="s">
        <v>247</v>
      </c>
      <c r="C28" s="1067" t="s">
        <v>305</v>
      </c>
      <c r="D28" s="1067" t="s">
        <v>53</v>
      </c>
      <c r="E28" s="1067">
        <v>14</v>
      </c>
      <c r="F28" s="1067">
        <v>1</v>
      </c>
      <c r="G28" s="1067">
        <v>2</v>
      </c>
      <c r="H28" s="1067">
        <v>11</v>
      </c>
    </row>
    <row r="29" spans="1:8" x14ac:dyDescent="0.25">
      <c r="A29" s="1067" t="s">
        <v>204</v>
      </c>
      <c r="B29" s="1067" t="s">
        <v>247</v>
      </c>
      <c r="C29" s="1067" t="s">
        <v>306</v>
      </c>
      <c r="D29" s="1067" t="s">
        <v>59</v>
      </c>
      <c r="E29" s="1067">
        <v>18</v>
      </c>
      <c r="F29" s="1067">
        <v>2</v>
      </c>
      <c r="G29" s="1067">
        <v>1</v>
      </c>
      <c r="H29" s="1067">
        <v>15</v>
      </c>
    </row>
    <row r="30" spans="1:8" x14ac:dyDescent="0.25">
      <c r="A30" s="1067" t="s">
        <v>204</v>
      </c>
      <c r="B30" s="1067" t="s">
        <v>247</v>
      </c>
      <c r="C30" s="1067" t="s">
        <v>307</v>
      </c>
      <c r="D30" s="1067" t="s">
        <v>60</v>
      </c>
      <c r="E30" s="1067">
        <v>58</v>
      </c>
      <c r="F30" s="1067">
        <v>6</v>
      </c>
      <c r="G30" s="1067">
        <v>11</v>
      </c>
      <c r="H30" s="1067">
        <v>41</v>
      </c>
    </row>
    <row r="31" spans="1:8" x14ac:dyDescent="0.25">
      <c r="A31" s="1067" t="s">
        <v>204</v>
      </c>
      <c r="B31" s="1067" t="s">
        <v>247</v>
      </c>
      <c r="C31" s="1067" t="s">
        <v>308</v>
      </c>
      <c r="D31" s="1067" t="s">
        <v>33</v>
      </c>
      <c r="E31" s="1067">
        <v>99</v>
      </c>
      <c r="F31" s="1067">
        <v>7</v>
      </c>
      <c r="G31" s="1067">
        <v>19</v>
      </c>
      <c r="H31" s="1067">
        <v>73</v>
      </c>
    </row>
    <row r="32" spans="1:8" x14ac:dyDescent="0.25">
      <c r="A32" s="1067" t="s">
        <v>204</v>
      </c>
      <c r="B32" s="1067" t="s">
        <v>247</v>
      </c>
      <c r="C32" s="1067" t="s">
        <v>309</v>
      </c>
      <c r="D32" s="1067" t="s">
        <v>37</v>
      </c>
      <c r="E32" s="1067">
        <v>14</v>
      </c>
      <c r="F32" s="1067">
        <v>1</v>
      </c>
      <c r="G32" s="1067">
        <v>3</v>
      </c>
      <c r="H32" s="1067">
        <v>10</v>
      </c>
    </row>
    <row r="33" spans="1:8" x14ac:dyDescent="0.25">
      <c r="A33" s="1067" t="s">
        <v>204</v>
      </c>
      <c r="B33" s="1067" t="s">
        <v>247</v>
      </c>
      <c r="C33" s="1067" t="s">
        <v>310</v>
      </c>
      <c r="D33" s="1067" t="s">
        <v>50</v>
      </c>
      <c r="E33" s="1067">
        <v>28</v>
      </c>
      <c r="F33" s="1067">
        <v>3</v>
      </c>
      <c r="G33" s="1067">
        <v>3</v>
      </c>
      <c r="H33" s="1067">
        <v>22</v>
      </c>
    </row>
    <row r="34" spans="1:8" x14ac:dyDescent="0.25">
      <c r="A34" s="1067" t="s">
        <v>204</v>
      </c>
      <c r="B34" s="1067" t="s">
        <v>247</v>
      </c>
      <c r="C34" s="1067" t="s">
        <v>311</v>
      </c>
      <c r="D34" s="1067" t="s">
        <v>39</v>
      </c>
      <c r="E34" s="1067">
        <v>0</v>
      </c>
      <c r="F34" s="1067">
        <v>0</v>
      </c>
      <c r="G34" s="1067">
        <v>0</v>
      </c>
      <c r="H34" s="1067">
        <v>0</v>
      </c>
    </row>
    <row r="35" spans="1:8" x14ac:dyDescent="0.25">
      <c r="A35" s="1067" t="s">
        <v>204</v>
      </c>
      <c r="B35" s="1067" t="s">
        <v>247</v>
      </c>
      <c r="C35" s="1067" t="s">
        <v>312</v>
      </c>
      <c r="D35" s="1067" t="s">
        <v>121</v>
      </c>
      <c r="E35" s="1067">
        <v>2</v>
      </c>
      <c r="F35" s="1067">
        <v>0</v>
      </c>
      <c r="G35" s="1067">
        <v>1</v>
      </c>
      <c r="H35" s="1067">
        <v>1</v>
      </c>
    </row>
    <row r="36" spans="1:8" x14ac:dyDescent="0.25">
      <c r="A36" s="1067" t="s">
        <v>204</v>
      </c>
      <c r="B36" s="1067" t="s">
        <v>247</v>
      </c>
      <c r="C36" s="1067" t="s">
        <v>313</v>
      </c>
      <c r="D36" s="1067" t="s">
        <v>43</v>
      </c>
      <c r="E36" s="1067">
        <v>111</v>
      </c>
      <c r="F36" s="1067">
        <v>11</v>
      </c>
      <c r="G36" s="1067">
        <v>19</v>
      </c>
      <c r="H36" s="1067">
        <v>81</v>
      </c>
    </row>
    <row r="37" spans="1:8" x14ac:dyDescent="0.25">
      <c r="A37" s="1067" t="s">
        <v>203</v>
      </c>
      <c r="B37" s="1067" t="s">
        <v>247</v>
      </c>
      <c r="C37" s="1067" t="s">
        <v>282</v>
      </c>
      <c r="D37" s="1067" t="s">
        <v>35</v>
      </c>
      <c r="E37" s="1067">
        <v>23</v>
      </c>
      <c r="F37" s="1067">
        <v>2</v>
      </c>
      <c r="G37" s="1067">
        <v>5</v>
      </c>
      <c r="H37" s="1067">
        <v>16</v>
      </c>
    </row>
    <row r="38" spans="1:8" x14ac:dyDescent="0.25">
      <c r="A38" s="1067" t="s">
        <v>203</v>
      </c>
      <c r="B38" s="1067" t="s">
        <v>247</v>
      </c>
      <c r="C38" s="1067" t="s">
        <v>283</v>
      </c>
      <c r="D38" s="1067" t="s">
        <v>36</v>
      </c>
      <c r="E38" s="1067">
        <v>206</v>
      </c>
      <c r="F38" s="1067">
        <v>17</v>
      </c>
      <c r="G38" s="1067">
        <v>36</v>
      </c>
      <c r="H38" s="1067">
        <v>153</v>
      </c>
    </row>
    <row r="39" spans="1:8" x14ac:dyDescent="0.25">
      <c r="A39" s="1067" t="s">
        <v>203</v>
      </c>
      <c r="B39" s="1067" t="s">
        <v>247</v>
      </c>
      <c r="C39" s="1067" t="s">
        <v>284</v>
      </c>
      <c r="D39" s="1067" t="s">
        <v>38</v>
      </c>
      <c r="E39" s="1067">
        <v>80</v>
      </c>
      <c r="F39" s="1067">
        <v>8</v>
      </c>
      <c r="G39" s="1067">
        <v>9</v>
      </c>
      <c r="H39" s="1067">
        <v>63</v>
      </c>
    </row>
    <row r="40" spans="1:8" x14ac:dyDescent="0.25">
      <c r="A40" s="1067" t="s">
        <v>203</v>
      </c>
      <c r="B40" s="1067" t="s">
        <v>247</v>
      </c>
      <c r="C40" s="1067" t="s">
        <v>285</v>
      </c>
      <c r="D40" s="1067" t="s">
        <v>40</v>
      </c>
      <c r="E40" s="1067">
        <v>60</v>
      </c>
      <c r="F40" s="1067">
        <v>5</v>
      </c>
      <c r="G40" s="1067">
        <v>12</v>
      </c>
      <c r="H40" s="1067">
        <v>43</v>
      </c>
    </row>
    <row r="41" spans="1:8" x14ac:dyDescent="0.25">
      <c r="A41" s="1067" t="s">
        <v>203</v>
      </c>
      <c r="B41" s="1067" t="s">
        <v>247</v>
      </c>
      <c r="C41" s="1067" t="s">
        <v>286</v>
      </c>
      <c r="D41" s="1067" t="s">
        <v>41</v>
      </c>
      <c r="E41" s="1067">
        <v>0</v>
      </c>
      <c r="F41" s="1067">
        <v>0</v>
      </c>
      <c r="G41" s="1067">
        <v>0</v>
      </c>
      <c r="H41" s="1067">
        <v>0</v>
      </c>
    </row>
    <row r="42" spans="1:8" x14ac:dyDescent="0.25">
      <c r="A42" s="1067" t="s">
        <v>203</v>
      </c>
      <c r="B42" s="1067" t="s">
        <v>247</v>
      </c>
      <c r="C42" s="1067" t="s">
        <v>287</v>
      </c>
      <c r="D42" s="1067" t="s">
        <v>48</v>
      </c>
      <c r="E42" s="1067">
        <v>147</v>
      </c>
      <c r="F42" s="1067">
        <v>16</v>
      </c>
      <c r="G42" s="1067">
        <v>27</v>
      </c>
      <c r="H42" s="1067">
        <v>104</v>
      </c>
    </row>
    <row r="43" spans="1:8" x14ac:dyDescent="0.25">
      <c r="A43" s="1067" t="s">
        <v>203</v>
      </c>
      <c r="B43" s="1067" t="s">
        <v>247</v>
      </c>
      <c r="C43" s="1067" t="s">
        <v>288</v>
      </c>
      <c r="D43" s="1067" t="s">
        <v>42</v>
      </c>
      <c r="E43" s="1067">
        <v>68</v>
      </c>
      <c r="F43" s="1067">
        <v>6</v>
      </c>
      <c r="G43" s="1067">
        <v>9</v>
      </c>
      <c r="H43" s="1067">
        <v>53</v>
      </c>
    </row>
    <row r="44" spans="1:8" x14ac:dyDescent="0.25">
      <c r="A44" s="1067" t="s">
        <v>203</v>
      </c>
      <c r="B44" s="1067" t="s">
        <v>247</v>
      </c>
      <c r="C44" s="1067" t="s">
        <v>289</v>
      </c>
      <c r="D44" s="1067" t="s">
        <v>44</v>
      </c>
      <c r="E44" s="1067">
        <v>548</v>
      </c>
      <c r="F44" s="1067">
        <v>54</v>
      </c>
      <c r="G44" s="1067">
        <v>106</v>
      </c>
      <c r="H44" s="1067">
        <v>388</v>
      </c>
    </row>
    <row r="45" spans="1:8" x14ac:dyDescent="0.25">
      <c r="A45" s="1067" t="s">
        <v>203</v>
      </c>
      <c r="B45" s="1067" t="s">
        <v>247</v>
      </c>
      <c r="C45" s="1067" t="s">
        <v>290</v>
      </c>
      <c r="D45" s="1067" t="s">
        <v>45</v>
      </c>
      <c r="E45" s="1067">
        <v>40</v>
      </c>
      <c r="F45" s="1067">
        <v>3</v>
      </c>
      <c r="G45" s="1067">
        <v>4</v>
      </c>
      <c r="H45" s="1067">
        <v>33</v>
      </c>
    </row>
    <row r="46" spans="1:8" x14ac:dyDescent="0.25">
      <c r="A46" s="1067" t="s">
        <v>203</v>
      </c>
      <c r="B46" s="1067" t="s">
        <v>247</v>
      </c>
      <c r="C46" s="1067" t="s">
        <v>291</v>
      </c>
      <c r="D46" s="1067" t="s">
        <v>46</v>
      </c>
      <c r="E46" s="1067">
        <v>14</v>
      </c>
      <c r="F46" s="1067">
        <v>1</v>
      </c>
      <c r="G46" s="1067">
        <v>2</v>
      </c>
      <c r="H46" s="1067">
        <v>11</v>
      </c>
    </row>
    <row r="47" spans="1:8" x14ac:dyDescent="0.25">
      <c r="A47" s="1067" t="s">
        <v>203</v>
      </c>
      <c r="B47" s="1067" t="s">
        <v>247</v>
      </c>
      <c r="C47" s="1067" t="s">
        <v>292</v>
      </c>
      <c r="D47" s="1067" t="s">
        <v>47</v>
      </c>
      <c r="E47" s="1067">
        <v>121</v>
      </c>
      <c r="F47" s="1067">
        <v>11</v>
      </c>
      <c r="G47" s="1067">
        <v>26</v>
      </c>
      <c r="H47" s="1067">
        <v>84</v>
      </c>
    </row>
    <row r="48" spans="1:8" x14ac:dyDescent="0.25">
      <c r="A48" s="1067" t="s">
        <v>203</v>
      </c>
      <c r="B48" s="1067" t="s">
        <v>247</v>
      </c>
      <c r="C48" s="1067" t="s">
        <v>293</v>
      </c>
      <c r="D48" s="1067" t="s">
        <v>49</v>
      </c>
      <c r="E48" s="1067">
        <v>90</v>
      </c>
      <c r="F48" s="1067">
        <v>9</v>
      </c>
      <c r="G48" s="1067">
        <v>17</v>
      </c>
      <c r="H48" s="1067">
        <v>64</v>
      </c>
    </row>
    <row r="49" spans="1:8" x14ac:dyDescent="0.25">
      <c r="A49" s="1067" t="s">
        <v>203</v>
      </c>
      <c r="B49" s="1067" t="s">
        <v>247</v>
      </c>
      <c r="C49" s="1067" t="s">
        <v>294</v>
      </c>
      <c r="D49" s="1067" t="s">
        <v>51</v>
      </c>
      <c r="E49" s="1067">
        <v>109</v>
      </c>
      <c r="F49" s="1067">
        <v>12</v>
      </c>
      <c r="G49" s="1067">
        <v>26</v>
      </c>
      <c r="H49" s="1067">
        <v>71</v>
      </c>
    </row>
    <row r="50" spans="1:8" x14ac:dyDescent="0.25">
      <c r="A50" s="1067" t="s">
        <v>203</v>
      </c>
      <c r="B50" s="1067" t="s">
        <v>247</v>
      </c>
      <c r="C50" s="1067" t="s">
        <v>295</v>
      </c>
      <c r="D50" s="1067" t="s">
        <v>52</v>
      </c>
      <c r="E50" s="1067">
        <v>128</v>
      </c>
      <c r="F50" s="1067">
        <v>13</v>
      </c>
      <c r="G50" s="1067">
        <v>26</v>
      </c>
      <c r="H50" s="1067">
        <v>89</v>
      </c>
    </row>
    <row r="51" spans="1:8" x14ac:dyDescent="0.25">
      <c r="A51" s="1067" t="s">
        <v>203</v>
      </c>
      <c r="B51" s="1067" t="s">
        <v>247</v>
      </c>
      <c r="C51" s="1067" t="s">
        <v>296</v>
      </c>
      <c r="D51" s="1067" t="s">
        <v>54</v>
      </c>
      <c r="E51" s="1067">
        <v>151</v>
      </c>
      <c r="F51" s="1067">
        <v>14</v>
      </c>
      <c r="G51" s="1067">
        <v>26</v>
      </c>
      <c r="H51" s="1067">
        <v>111</v>
      </c>
    </row>
    <row r="52" spans="1:8" x14ac:dyDescent="0.25">
      <c r="A52" s="1067" t="s">
        <v>203</v>
      </c>
      <c r="B52" s="1067" t="s">
        <v>247</v>
      </c>
      <c r="C52" s="1067" t="s">
        <v>297</v>
      </c>
      <c r="D52" s="1067" t="s">
        <v>55</v>
      </c>
      <c r="E52" s="1067">
        <v>127</v>
      </c>
      <c r="F52" s="1067">
        <v>12</v>
      </c>
      <c r="G52" s="1067">
        <v>29</v>
      </c>
      <c r="H52" s="1067">
        <v>86</v>
      </c>
    </row>
    <row r="53" spans="1:8" x14ac:dyDescent="0.25">
      <c r="A53" s="1067" t="s">
        <v>203</v>
      </c>
      <c r="B53" s="1067" t="s">
        <v>247</v>
      </c>
      <c r="C53" s="1067" t="s">
        <v>298</v>
      </c>
      <c r="D53" s="1067" t="s">
        <v>56</v>
      </c>
      <c r="E53" s="1067">
        <v>54</v>
      </c>
      <c r="F53" s="1067">
        <v>5</v>
      </c>
      <c r="G53" s="1067">
        <v>9</v>
      </c>
      <c r="H53" s="1067">
        <v>40</v>
      </c>
    </row>
    <row r="54" spans="1:8" x14ac:dyDescent="0.25">
      <c r="A54" s="1067" t="s">
        <v>203</v>
      </c>
      <c r="B54" s="1067" t="s">
        <v>247</v>
      </c>
      <c r="C54" s="1067" t="s">
        <v>299</v>
      </c>
      <c r="D54" s="1067" t="s">
        <v>57</v>
      </c>
      <c r="E54" s="1067">
        <v>82</v>
      </c>
      <c r="F54" s="1067">
        <v>9</v>
      </c>
      <c r="G54" s="1067">
        <v>8</v>
      </c>
      <c r="H54" s="1067">
        <v>65</v>
      </c>
    </row>
    <row r="55" spans="1:8" x14ac:dyDescent="0.25">
      <c r="A55" s="1067" t="s">
        <v>203</v>
      </c>
      <c r="B55" s="1067" t="s">
        <v>247</v>
      </c>
      <c r="C55" s="1067" t="s">
        <v>300</v>
      </c>
      <c r="D55" s="1067" t="s">
        <v>58</v>
      </c>
      <c r="E55" s="1067">
        <v>75</v>
      </c>
      <c r="F55" s="1067">
        <v>9</v>
      </c>
      <c r="G55" s="1067">
        <v>14</v>
      </c>
      <c r="H55" s="1067">
        <v>52</v>
      </c>
    </row>
    <row r="56" spans="1:8" x14ac:dyDescent="0.25">
      <c r="A56" s="1067" t="s">
        <v>203</v>
      </c>
      <c r="B56" s="1067" t="s">
        <v>247</v>
      </c>
      <c r="C56" s="1067" t="s">
        <v>301</v>
      </c>
      <c r="D56" s="1067" t="s">
        <v>31</v>
      </c>
      <c r="E56" s="1067">
        <v>8</v>
      </c>
      <c r="F56" s="1067">
        <v>1</v>
      </c>
      <c r="G56" s="1067">
        <v>2</v>
      </c>
      <c r="H56" s="1067">
        <v>5</v>
      </c>
    </row>
    <row r="57" spans="1:8" x14ac:dyDescent="0.25">
      <c r="A57" s="1067" t="s">
        <v>203</v>
      </c>
      <c r="B57" s="1067" t="s">
        <v>247</v>
      </c>
      <c r="C57" s="1067" t="s">
        <v>302</v>
      </c>
      <c r="D57" s="1067" t="s">
        <v>32</v>
      </c>
      <c r="E57" s="1067">
        <v>280</v>
      </c>
      <c r="F57" s="1067">
        <v>27</v>
      </c>
      <c r="G57" s="1067">
        <v>63</v>
      </c>
      <c r="H57" s="1067">
        <v>190</v>
      </c>
    </row>
    <row r="58" spans="1:8" x14ac:dyDescent="0.25">
      <c r="A58" s="1067" t="s">
        <v>203</v>
      </c>
      <c r="B58" s="1067" t="s">
        <v>247</v>
      </c>
      <c r="C58" s="1067" t="s">
        <v>303</v>
      </c>
      <c r="D58" s="1067" t="s">
        <v>34</v>
      </c>
      <c r="E58" s="1067">
        <v>175</v>
      </c>
      <c r="F58" s="1067">
        <v>15</v>
      </c>
      <c r="G58" s="1067">
        <v>24</v>
      </c>
      <c r="H58" s="1067">
        <v>136</v>
      </c>
    </row>
    <row r="59" spans="1:8" x14ac:dyDescent="0.25">
      <c r="A59" s="1067" t="s">
        <v>203</v>
      </c>
      <c r="B59" s="1067" t="s">
        <v>247</v>
      </c>
      <c r="C59" s="1067" t="s">
        <v>304</v>
      </c>
      <c r="D59" s="1067" t="s">
        <v>258</v>
      </c>
      <c r="E59" s="1067">
        <v>13</v>
      </c>
      <c r="F59" s="1067">
        <v>1</v>
      </c>
      <c r="G59" s="1067">
        <v>2</v>
      </c>
      <c r="H59" s="1067">
        <v>10</v>
      </c>
    </row>
    <row r="60" spans="1:8" x14ac:dyDescent="0.25">
      <c r="A60" s="1067" t="s">
        <v>203</v>
      </c>
      <c r="B60" s="1067" t="s">
        <v>247</v>
      </c>
      <c r="C60" s="1067" t="s">
        <v>305</v>
      </c>
      <c r="D60" s="1067" t="s">
        <v>53</v>
      </c>
      <c r="E60" s="1067">
        <v>14</v>
      </c>
      <c r="F60" s="1067">
        <v>1</v>
      </c>
      <c r="G60" s="1067">
        <v>2</v>
      </c>
      <c r="H60" s="1067">
        <v>11</v>
      </c>
    </row>
    <row r="61" spans="1:8" x14ac:dyDescent="0.25">
      <c r="A61" s="1067" t="s">
        <v>203</v>
      </c>
      <c r="B61" s="1067" t="s">
        <v>247</v>
      </c>
      <c r="C61" s="1067" t="s">
        <v>306</v>
      </c>
      <c r="D61" s="1067" t="s">
        <v>59</v>
      </c>
      <c r="E61" s="1067">
        <v>21</v>
      </c>
      <c r="F61" s="1067">
        <v>2</v>
      </c>
      <c r="G61" s="1067">
        <v>1</v>
      </c>
      <c r="H61" s="1067">
        <v>18</v>
      </c>
    </row>
    <row r="62" spans="1:8" x14ac:dyDescent="0.25">
      <c r="A62" s="1067" t="s">
        <v>203</v>
      </c>
      <c r="B62" s="1067" t="s">
        <v>247</v>
      </c>
      <c r="C62" s="1067" t="s">
        <v>307</v>
      </c>
      <c r="D62" s="1067" t="s">
        <v>60</v>
      </c>
      <c r="E62" s="1067">
        <v>65</v>
      </c>
      <c r="F62" s="1067">
        <v>6</v>
      </c>
      <c r="G62" s="1067">
        <v>12</v>
      </c>
      <c r="H62" s="1067">
        <v>47</v>
      </c>
    </row>
    <row r="63" spans="1:8" x14ac:dyDescent="0.25">
      <c r="A63" s="1067" t="s">
        <v>203</v>
      </c>
      <c r="B63" s="1067" t="s">
        <v>247</v>
      </c>
      <c r="C63" s="1067" t="s">
        <v>308</v>
      </c>
      <c r="D63" s="1067" t="s">
        <v>33</v>
      </c>
      <c r="E63" s="1067">
        <v>95</v>
      </c>
      <c r="F63" s="1067">
        <v>7</v>
      </c>
      <c r="G63" s="1067">
        <v>20</v>
      </c>
      <c r="H63" s="1067">
        <v>68</v>
      </c>
    </row>
    <row r="64" spans="1:8" x14ac:dyDescent="0.25">
      <c r="A64" s="1067" t="s">
        <v>203</v>
      </c>
      <c r="B64" s="1067" t="s">
        <v>247</v>
      </c>
      <c r="C64" s="1067" t="s">
        <v>309</v>
      </c>
      <c r="D64" s="1067" t="s">
        <v>37</v>
      </c>
      <c r="E64" s="1067">
        <v>14</v>
      </c>
      <c r="F64" s="1067">
        <v>1</v>
      </c>
      <c r="G64" s="1067">
        <v>3</v>
      </c>
      <c r="H64" s="1067">
        <v>10</v>
      </c>
    </row>
    <row r="65" spans="1:8" x14ac:dyDescent="0.25">
      <c r="A65" s="1067" t="s">
        <v>203</v>
      </c>
      <c r="B65" s="1067" t="s">
        <v>247</v>
      </c>
      <c r="C65" s="1067" t="s">
        <v>310</v>
      </c>
      <c r="D65" s="1067" t="s">
        <v>50</v>
      </c>
      <c r="E65" s="1067">
        <v>30</v>
      </c>
      <c r="F65" s="1067">
        <v>3</v>
      </c>
      <c r="G65" s="1067">
        <v>3</v>
      </c>
      <c r="H65" s="1067">
        <v>24</v>
      </c>
    </row>
    <row r="66" spans="1:8" x14ac:dyDescent="0.25">
      <c r="A66" s="1067" t="s">
        <v>203</v>
      </c>
      <c r="B66" s="1067" t="s">
        <v>247</v>
      </c>
      <c r="C66" s="1067" t="s">
        <v>311</v>
      </c>
      <c r="D66" s="1067" t="s">
        <v>39</v>
      </c>
      <c r="E66" s="1067">
        <v>0</v>
      </c>
      <c r="F66" s="1067">
        <v>0</v>
      </c>
      <c r="G66" s="1067">
        <v>0</v>
      </c>
      <c r="H66" s="1067">
        <v>0</v>
      </c>
    </row>
    <row r="67" spans="1:8" x14ac:dyDescent="0.25">
      <c r="A67" s="1067" t="s">
        <v>203</v>
      </c>
      <c r="B67" s="1067" t="s">
        <v>247</v>
      </c>
      <c r="C67" s="1067" t="s">
        <v>312</v>
      </c>
      <c r="D67" s="1067" t="s">
        <v>121</v>
      </c>
      <c r="E67" s="1067">
        <v>0</v>
      </c>
      <c r="F67" s="1067">
        <v>0</v>
      </c>
      <c r="G67" s="1067">
        <v>0</v>
      </c>
      <c r="H67" s="1067">
        <v>0</v>
      </c>
    </row>
    <row r="68" spans="1:8" x14ac:dyDescent="0.25">
      <c r="A68" s="1067" t="s">
        <v>203</v>
      </c>
      <c r="B68" s="1067" t="s">
        <v>247</v>
      </c>
      <c r="C68" s="1067" t="s">
        <v>313</v>
      </c>
      <c r="D68" s="1067" t="s">
        <v>43</v>
      </c>
      <c r="E68" s="1067">
        <v>112</v>
      </c>
      <c r="F68" s="1067">
        <v>10</v>
      </c>
      <c r="G68" s="1067">
        <v>23</v>
      </c>
      <c r="H68" s="1067">
        <v>79</v>
      </c>
    </row>
    <row r="69" spans="1:8" x14ac:dyDescent="0.25">
      <c r="A69" s="1067" t="s">
        <v>202</v>
      </c>
      <c r="B69" s="1067" t="s">
        <v>247</v>
      </c>
      <c r="C69" s="1067" t="s">
        <v>282</v>
      </c>
      <c r="D69" s="1067" t="s">
        <v>35</v>
      </c>
      <c r="E69" s="1067">
        <v>21</v>
      </c>
      <c r="F69" s="1067">
        <v>2</v>
      </c>
      <c r="G69" s="1067">
        <v>4</v>
      </c>
      <c r="H69" s="1067">
        <v>15</v>
      </c>
    </row>
    <row r="70" spans="1:8" x14ac:dyDescent="0.25">
      <c r="A70" s="1067" t="s">
        <v>202</v>
      </c>
      <c r="B70" s="1067" t="s">
        <v>247</v>
      </c>
      <c r="C70" s="1067" t="s">
        <v>283</v>
      </c>
      <c r="D70" s="1067" t="s">
        <v>36</v>
      </c>
      <c r="E70" s="1067">
        <v>190</v>
      </c>
      <c r="F70" s="1067">
        <v>16</v>
      </c>
      <c r="G70" s="1067">
        <v>34</v>
      </c>
      <c r="H70" s="1067">
        <v>140</v>
      </c>
    </row>
    <row r="71" spans="1:8" x14ac:dyDescent="0.25">
      <c r="A71" s="1067" t="s">
        <v>202</v>
      </c>
      <c r="B71" s="1067" t="s">
        <v>247</v>
      </c>
      <c r="C71" s="1067" t="s">
        <v>284</v>
      </c>
      <c r="D71" s="1067" t="s">
        <v>38</v>
      </c>
      <c r="E71" s="1067">
        <v>83</v>
      </c>
      <c r="F71" s="1067">
        <v>7</v>
      </c>
      <c r="G71" s="1067">
        <v>11</v>
      </c>
      <c r="H71" s="1067">
        <v>65</v>
      </c>
    </row>
    <row r="72" spans="1:8" x14ac:dyDescent="0.25">
      <c r="A72" s="1067" t="s">
        <v>202</v>
      </c>
      <c r="B72" s="1067" t="s">
        <v>247</v>
      </c>
      <c r="C72" s="1067" t="s">
        <v>285</v>
      </c>
      <c r="D72" s="1067" t="s">
        <v>40</v>
      </c>
      <c r="E72" s="1067">
        <v>55</v>
      </c>
      <c r="F72" s="1067">
        <v>4</v>
      </c>
      <c r="G72" s="1067">
        <v>11</v>
      </c>
      <c r="H72" s="1067">
        <v>40</v>
      </c>
    </row>
    <row r="73" spans="1:8" x14ac:dyDescent="0.25">
      <c r="A73" s="1067" t="s">
        <v>202</v>
      </c>
      <c r="B73" s="1067" t="s">
        <v>247</v>
      </c>
      <c r="C73" s="1067" t="s">
        <v>286</v>
      </c>
      <c r="D73" s="1067" t="s">
        <v>41</v>
      </c>
      <c r="E73" s="1067">
        <v>2</v>
      </c>
      <c r="F73" s="1067">
        <v>0</v>
      </c>
      <c r="G73" s="1067">
        <v>0</v>
      </c>
      <c r="H73" s="1067">
        <v>2</v>
      </c>
    </row>
    <row r="74" spans="1:8" x14ac:dyDescent="0.25">
      <c r="A74" s="1067" t="s">
        <v>202</v>
      </c>
      <c r="B74" s="1067" t="s">
        <v>247</v>
      </c>
      <c r="C74" s="1067" t="s">
        <v>287</v>
      </c>
      <c r="D74" s="1067" t="s">
        <v>48</v>
      </c>
      <c r="E74" s="1067">
        <v>140</v>
      </c>
      <c r="F74" s="1067">
        <v>12</v>
      </c>
      <c r="G74" s="1067">
        <v>34</v>
      </c>
      <c r="H74" s="1067">
        <v>94</v>
      </c>
    </row>
    <row r="75" spans="1:8" x14ac:dyDescent="0.25">
      <c r="A75" s="1067" t="s">
        <v>202</v>
      </c>
      <c r="B75" s="1067" t="s">
        <v>247</v>
      </c>
      <c r="C75" s="1067" t="s">
        <v>288</v>
      </c>
      <c r="D75" s="1067" t="s">
        <v>42</v>
      </c>
      <c r="E75" s="1067">
        <v>53</v>
      </c>
      <c r="F75" s="1067">
        <v>5</v>
      </c>
      <c r="G75" s="1067">
        <v>9</v>
      </c>
      <c r="H75" s="1067">
        <v>39</v>
      </c>
    </row>
    <row r="76" spans="1:8" x14ac:dyDescent="0.25">
      <c r="A76" s="1067" t="s">
        <v>202</v>
      </c>
      <c r="B76" s="1067" t="s">
        <v>247</v>
      </c>
      <c r="C76" s="1067" t="s">
        <v>289</v>
      </c>
      <c r="D76" s="1067" t="s">
        <v>44</v>
      </c>
      <c r="E76" s="1067">
        <v>525</v>
      </c>
      <c r="F76" s="1067">
        <v>53</v>
      </c>
      <c r="G76" s="1067">
        <v>107</v>
      </c>
      <c r="H76" s="1067">
        <v>365</v>
      </c>
    </row>
    <row r="77" spans="1:8" x14ac:dyDescent="0.25">
      <c r="A77" s="1067" t="s">
        <v>202</v>
      </c>
      <c r="B77" s="1067" t="s">
        <v>247</v>
      </c>
      <c r="C77" s="1067" t="s">
        <v>290</v>
      </c>
      <c r="D77" s="1067" t="s">
        <v>45</v>
      </c>
      <c r="E77" s="1067">
        <v>41</v>
      </c>
      <c r="F77" s="1067">
        <v>4</v>
      </c>
      <c r="G77" s="1067">
        <v>6</v>
      </c>
      <c r="H77" s="1067">
        <v>31</v>
      </c>
    </row>
    <row r="78" spans="1:8" x14ac:dyDescent="0.25">
      <c r="A78" s="1067" t="s">
        <v>202</v>
      </c>
      <c r="B78" s="1067" t="s">
        <v>247</v>
      </c>
      <c r="C78" s="1067" t="s">
        <v>291</v>
      </c>
      <c r="D78" s="1067" t="s">
        <v>46</v>
      </c>
      <c r="E78" s="1067">
        <v>11</v>
      </c>
      <c r="F78" s="1067">
        <v>1</v>
      </c>
      <c r="G78" s="1067">
        <v>2</v>
      </c>
      <c r="H78" s="1067">
        <v>8</v>
      </c>
    </row>
    <row r="79" spans="1:8" x14ac:dyDescent="0.25">
      <c r="A79" s="1067" t="s">
        <v>202</v>
      </c>
      <c r="B79" s="1067" t="s">
        <v>247</v>
      </c>
      <c r="C79" s="1067" t="s">
        <v>292</v>
      </c>
      <c r="D79" s="1067" t="s">
        <v>47</v>
      </c>
      <c r="E79" s="1067">
        <v>110</v>
      </c>
      <c r="F79" s="1067">
        <v>12</v>
      </c>
      <c r="G79" s="1067">
        <v>26</v>
      </c>
      <c r="H79" s="1067">
        <v>72</v>
      </c>
    </row>
    <row r="80" spans="1:8" x14ac:dyDescent="0.25">
      <c r="A80" s="1067" t="s">
        <v>202</v>
      </c>
      <c r="B80" s="1067" t="s">
        <v>247</v>
      </c>
      <c r="C80" s="1067" t="s">
        <v>293</v>
      </c>
      <c r="D80" s="1067" t="s">
        <v>49</v>
      </c>
      <c r="E80" s="1067">
        <v>108</v>
      </c>
      <c r="F80" s="1067">
        <v>9</v>
      </c>
      <c r="G80" s="1067">
        <v>12</v>
      </c>
      <c r="H80" s="1067">
        <v>87</v>
      </c>
    </row>
    <row r="81" spans="1:8" x14ac:dyDescent="0.25">
      <c r="A81" s="1067" t="s">
        <v>202</v>
      </c>
      <c r="B81" s="1067" t="s">
        <v>247</v>
      </c>
      <c r="C81" s="1067" t="s">
        <v>294</v>
      </c>
      <c r="D81" s="1067" t="s">
        <v>51</v>
      </c>
      <c r="E81" s="1067">
        <v>98</v>
      </c>
      <c r="F81" s="1067">
        <v>12</v>
      </c>
      <c r="G81" s="1067">
        <v>19</v>
      </c>
      <c r="H81" s="1067">
        <v>67</v>
      </c>
    </row>
    <row r="82" spans="1:8" x14ac:dyDescent="0.25">
      <c r="A82" s="1067" t="s">
        <v>202</v>
      </c>
      <c r="B82" s="1067" t="s">
        <v>247</v>
      </c>
      <c r="C82" s="1067" t="s">
        <v>295</v>
      </c>
      <c r="D82" s="1067" t="s">
        <v>52</v>
      </c>
      <c r="E82" s="1067">
        <v>126</v>
      </c>
      <c r="F82" s="1067">
        <v>9</v>
      </c>
      <c r="G82" s="1067">
        <v>24</v>
      </c>
      <c r="H82" s="1067">
        <v>93</v>
      </c>
    </row>
    <row r="83" spans="1:8" x14ac:dyDescent="0.25">
      <c r="A83" s="1067" t="s">
        <v>202</v>
      </c>
      <c r="B83" s="1067" t="s">
        <v>247</v>
      </c>
      <c r="C83" s="1067" t="s">
        <v>296</v>
      </c>
      <c r="D83" s="1067" t="s">
        <v>54</v>
      </c>
      <c r="E83" s="1067">
        <v>147</v>
      </c>
      <c r="F83" s="1067">
        <v>13</v>
      </c>
      <c r="G83" s="1067">
        <v>26</v>
      </c>
      <c r="H83" s="1067">
        <v>108</v>
      </c>
    </row>
    <row r="84" spans="1:8" x14ac:dyDescent="0.25">
      <c r="A84" s="1067" t="s">
        <v>202</v>
      </c>
      <c r="B84" s="1067" t="s">
        <v>247</v>
      </c>
      <c r="C84" s="1067" t="s">
        <v>297</v>
      </c>
      <c r="D84" s="1067" t="s">
        <v>55</v>
      </c>
      <c r="E84" s="1067">
        <v>126</v>
      </c>
      <c r="F84" s="1067">
        <v>14</v>
      </c>
      <c r="G84" s="1067">
        <v>25</v>
      </c>
      <c r="H84" s="1067">
        <v>87</v>
      </c>
    </row>
    <row r="85" spans="1:8" x14ac:dyDescent="0.25">
      <c r="A85" s="1067" t="s">
        <v>202</v>
      </c>
      <c r="B85" s="1067" t="s">
        <v>247</v>
      </c>
      <c r="C85" s="1067" t="s">
        <v>298</v>
      </c>
      <c r="D85" s="1067" t="s">
        <v>56</v>
      </c>
      <c r="E85" s="1067">
        <v>53</v>
      </c>
      <c r="F85" s="1067">
        <v>5</v>
      </c>
      <c r="G85" s="1067">
        <v>7</v>
      </c>
      <c r="H85" s="1067">
        <v>41</v>
      </c>
    </row>
    <row r="86" spans="1:8" x14ac:dyDescent="0.25">
      <c r="A86" s="1067" t="s">
        <v>202</v>
      </c>
      <c r="B86" s="1067" t="s">
        <v>247</v>
      </c>
      <c r="C86" s="1067" t="s">
        <v>299</v>
      </c>
      <c r="D86" s="1067" t="s">
        <v>57</v>
      </c>
      <c r="E86" s="1067">
        <v>71</v>
      </c>
      <c r="F86" s="1067">
        <v>8</v>
      </c>
      <c r="G86" s="1067">
        <v>9</v>
      </c>
      <c r="H86" s="1067">
        <v>54</v>
      </c>
    </row>
    <row r="87" spans="1:8" x14ac:dyDescent="0.25">
      <c r="A87" s="1067" t="s">
        <v>202</v>
      </c>
      <c r="B87" s="1067" t="s">
        <v>247</v>
      </c>
      <c r="C87" s="1067" t="s">
        <v>300</v>
      </c>
      <c r="D87" s="1067" t="s">
        <v>58</v>
      </c>
      <c r="E87" s="1067">
        <v>73</v>
      </c>
      <c r="F87" s="1067">
        <v>9</v>
      </c>
      <c r="G87" s="1067">
        <v>17</v>
      </c>
      <c r="H87" s="1067">
        <v>47</v>
      </c>
    </row>
    <row r="88" spans="1:8" x14ac:dyDescent="0.25">
      <c r="A88" s="1067" t="s">
        <v>202</v>
      </c>
      <c r="B88" s="1067" t="s">
        <v>247</v>
      </c>
      <c r="C88" s="1067" t="s">
        <v>301</v>
      </c>
      <c r="D88" s="1067" t="s">
        <v>31</v>
      </c>
      <c r="E88" s="1067">
        <v>23</v>
      </c>
      <c r="F88" s="1067">
        <v>2</v>
      </c>
      <c r="G88" s="1067">
        <v>8</v>
      </c>
      <c r="H88" s="1067">
        <v>13</v>
      </c>
    </row>
    <row r="89" spans="1:8" x14ac:dyDescent="0.25">
      <c r="A89" s="1067" t="s">
        <v>202</v>
      </c>
      <c r="B89" s="1067" t="s">
        <v>247</v>
      </c>
      <c r="C89" s="1067" t="s">
        <v>302</v>
      </c>
      <c r="D89" s="1067" t="s">
        <v>32</v>
      </c>
      <c r="E89" s="1067">
        <v>271</v>
      </c>
      <c r="F89" s="1067">
        <v>25</v>
      </c>
      <c r="G89" s="1067">
        <v>66</v>
      </c>
      <c r="H89" s="1067">
        <v>180</v>
      </c>
    </row>
    <row r="90" spans="1:8" x14ac:dyDescent="0.25">
      <c r="A90" s="1067" t="s">
        <v>202</v>
      </c>
      <c r="B90" s="1067" t="s">
        <v>247</v>
      </c>
      <c r="C90" s="1067" t="s">
        <v>303</v>
      </c>
      <c r="D90" s="1067" t="s">
        <v>34</v>
      </c>
      <c r="E90" s="1067">
        <v>182</v>
      </c>
      <c r="F90" s="1067">
        <v>12</v>
      </c>
      <c r="G90" s="1067">
        <v>26</v>
      </c>
      <c r="H90" s="1067">
        <v>144</v>
      </c>
    </row>
    <row r="91" spans="1:8" x14ac:dyDescent="0.25">
      <c r="A91" s="1067" t="s">
        <v>202</v>
      </c>
      <c r="B91" s="1067" t="s">
        <v>247</v>
      </c>
      <c r="C91" s="1067" t="s">
        <v>304</v>
      </c>
      <c r="D91" s="1067" t="s">
        <v>258</v>
      </c>
      <c r="E91" s="1067">
        <v>12</v>
      </c>
      <c r="F91" s="1067">
        <v>1</v>
      </c>
      <c r="G91" s="1067">
        <v>2</v>
      </c>
      <c r="H91" s="1067">
        <v>9</v>
      </c>
    </row>
    <row r="92" spans="1:8" x14ac:dyDescent="0.25">
      <c r="A92" s="1067" t="s">
        <v>202</v>
      </c>
      <c r="B92" s="1067" t="s">
        <v>247</v>
      </c>
      <c r="C92" s="1067" t="s">
        <v>305</v>
      </c>
      <c r="D92" s="1067" t="s">
        <v>53</v>
      </c>
      <c r="E92" s="1067">
        <v>13</v>
      </c>
      <c r="F92" s="1067">
        <v>1</v>
      </c>
      <c r="G92" s="1067">
        <v>1</v>
      </c>
      <c r="H92" s="1067">
        <v>11</v>
      </c>
    </row>
    <row r="93" spans="1:8" x14ac:dyDescent="0.25">
      <c r="A93" s="1067" t="s">
        <v>202</v>
      </c>
      <c r="B93" s="1067" t="s">
        <v>247</v>
      </c>
      <c r="C93" s="1067" t="s">
        <v>306</v>
      </c>
      <c r="D93" s="1067" t="s">
        <v>59</v>
      </c>
      <c r="E93" s="1067">
        <v>19</v>
      </c>
      <c r="F93" s="1067">
        <v>2</v>
      </c>
      <c r="G93" s="1067">
        <v>2</v>
      </c>
      <c r="H93" s="1067">
        <v>15</v>
      </c>
    </row>
    <row r="94" spans="1:8" x14ac:dyDescent="0.25">
      <c r="A94" s="1067" t="s">
        <v>202</v>
      </c>
      <c r="B94" s="1067" t="s">
        <v>247</v>
      </c>
      <c r="C94" s="1067" t="s">
        <v>307</v>
      </c>
      <c r="D94" s="1067" t="s">
        <v>60</v>
      </c>
      <c r="E94" s="1067">
        <v>55</v>
      </c>
      <c r="F94" s="1067">
        <v>5</v>
      </c>
      <c r="G94" s="1067">
        <v>10</v>
      </c>
      <c r="H94" s="1067">
        <v>40</v>
      </c>
    </row>
    <row r="95" spans="1:8" x14ac:dyDescent="0.25">
      <c r="A95" s="1067" t="s">
        <v>202</v>
      </c>
      <c r="B95" s="1067" t="s">
        <v>247</v>
      </c>
      <c r="C95" s="1067" t="s">
        <v>308</v>
      </c>
      <c r="D95" s="1067" t="s">
        <v>33</v>
      </c>
      <c r="E95" s="1067">
        <v>98</v>
      </c>
      <c r="F95" s="1067">
        <v>6</v>
      </c>
      <c r="G95" s="1067">
        <v>16</v>
      </c>
      <c r="H95" s="1067">
        <v>76</v>
      </c>
    </row>
    <row r="96" spans="1:8" x14ac:dyDescent="0.25">
      <c r="A96" s="1067" t="s">
        <v>202</v>
      </c>
      <c r="B96" s="1067" t="s">
        <v>247</v>
      </c>
      <c r="C96" s="1067" t="s">
        <v>309</v>
      </c>
      <c r="D96" s="1067" t="s">
        <v>37</v>
      </c>
      <c r="E96" s="1067">
        <v>11</v>
      </c>
      <c r="F96" s="1067">
        <v>1</v>
      </c>
      <c r="G96" s="1067">
        <v>3</v>
      </c>
      <c r="H96" s="1067">
        <v>7</v>
      </c>
    </row>
    <row r="97" spans="1:8" x14ac:dyDescent="0.25">
      <c r="A97" s="1067" t="s">
        <v>202</v>
      </c>
      <c r="B97" s="1067" t="s">
        <v>247</v>
      </c>
      <c r="C97" s="1067" t="s">
        <v>310</v>
      </c>
      <c r="D97" s="1067" t="s">
        <v>50</v>
      </c>
      <c r="E97" s="1067">
        <v>34</v>
      </c>
      <c r="F97" s="1067">
        <v>3</v>
      </c>
      <c r="G97" s="1067">
        <v>3</v>
      </c>
      <c r="H97" s="1067">
        <v>28</v>
      </c>
    </row>
    <row r="98" spans="1:8" x14ac:dyDescent="0.25">
      <c r="A98" s="1067" t="s">
        <v>202</v>
      </c>
      <c r="B98" s="1067" t="s">
        <v>247</v>
      </c>
      <c r="C98" s="1067" t="s">
        <v>311</v>
      </c>
      <c r="D98" s="1067" t="s">
        <v>39</v>
      </c>
      <c r="E98" s="1067">
        <v>1</v>
      </c>
      <c r="F98" s="1067">
        <v>0</v>
      </c>
      <c r="G98" s="1067">
        <v>0</v>
      </c>
      <c r="H98" s="1067">
        <v>1</v>
      </c>
    </row>
    <row r="99" spans="1:8" x14ac:dyDescent="0.25">
      <c r="A99" s="1067" t="s">
        <v>202</v>
      </c>
      <c r="B99" s="1067" t="s">
        <v>247</v>
      </c>
      <c r="C99" s="1067" t="s">
        <v>312</v>
      </c>
      <c r="D99" s="1067" t="s">
        <v>121</v>
      </c>
      <c r="E99" s="1067">
        <v>6</v>
      </c>
      <c r="F99" s="1067">
        <v>0</v>
      </c>
      <c r="G99" s="1067">
        <v>0</v>
      </c>
      <c r="H99" s="1067">
        <v>6</v>
      </c>
    </row>
    <row r="100" spans="1:8" x14ac:dyDescent="0.25">
      <c r="A100" s="1067" t="s">
        <v>202</v>
      </c>
      <c r="B100" s="1067" t="s">
        <v>247</v>
      </c>
      <c r="C100" s="1067" t="s">
        <v>313</v>
      </c>
      <c r="D100" s="1067" t="s">
        <v>43</v>
      </c>
      <c r="E100" s="1067">
        <v>112</v>
      </c>
      <c r="F100" s="1067">
        <v>9</v>
      </c>
      <c r="G100" s="1067">
        <v>23</v>
      </c>
      <c r="H100" s="1067">
        <v>80</v>
      </c>
    </row>
    <row r="101" spans="1:8" x14ac:dyDescent="0.25">
      <c r="A101" s="1067" t="s">
        <v>273</v>
      </c>
      <c r="B101" s="1067" t="s">
        <v>247</v>
      </c>
      <c r="C101" s="1067" t="s">
        <v>282</v>
      </c>
      <c r="D101" s="1067" t="s">
        <v>35</v>
      </c>
      <c r="E101" s="1067">
        <v>24</v>
      </c>
      <c r="F101" s="1067">
        <v>2</v>
      </c>
      <c r="G101" s="1067">
        <v>4</v>
      </c>
      <c r="H101" s="1067">
        <v>18</v>
      </c>
    </row>
    <row r="102" spans="1:8" x14ac:dyDescent="0.25">
      <c r="A102" s="1067" t="s">
        <v>273</v>
      </c>
      <c r="B102" s="1067" t="s">
        <v>247</v>
      </c>
      <c r="C102" s="1067" t="s">
        <v>283</v>
      </c>
      <c r="D102" s="1067" t="s">
        <v>36</v>
      </c>
      <c r="E102" s="1067">
        <v>202</v>
      </c>
      <c r="F102" s="1067">
        <v>16</v>
      </c>
      <c r="G102" s="1067">
        <v>37</v>
      </c>
      <c r="H102" s="1067">
        <v>149</v>
      </c>
    </row>
    <row r="103" spans="1:8" x14ac:dyDescent="0.25">
      <c r="A103" s="1067" t="s">
        <v>273</v>
      </c>
      <c r="B103" s="1067" t="s">
        <v>247</v>
      </c>
      <c r="C103" s="1067" t="s">
        <v>284</v>
      </c>
      <c r="D103" s="1067" t="s">
        <v>38</v>
      </c>
      <c r="E103" s="1067">
        <v>81</v>
      </c>
      <c r="F103" s="1067">
        <v>7</v>
      </c>
      <c r="G103" s="1067">
        <v>11</v>
      </c>
      <c r="H103" s="1067">
        <v>63</v>
      </c>
    </row>
    <row r="104" spans="1:8" x14ac:dyDescent="0.25">
      <c r="A104" s="1067" t="s">
        <v>273</v>
      </c>
      <c r="B104" s="1067" t="s">
        <v>247</v>
      </c>
      <c r="C104" s="1067" t="s">
        <v>285</v>
      </c>
      <c r="D104" s="1067" t="s">
        <v>40</v>
      </c>
      <c r="E104" s="1067">
        <v>55</v>
      </c>
      <c r="F104" s="1067">
        <v>5</v>
      </c>
      <c r="G104" s="1067">
        <v>12</v>
      </c>
      <c r="H104" s="1067">
        <v>38</v>
      </c>
    </row>
    <row r="105" spans="1:8" x14ac:dyDescent="0.25">
      <c r="A105" s="1067" t="s">
        <v>273</v>
      </c>
      <c r="B105" s="1067" t="s">
        <v>247</v>
      </c>
      <c r="C105" s="1067" t="s">
        <v>286</v>
      </c>
      <c r="D105" s="1067" t="s">
        <v>41</v>
      </c>
      <c r="E105" s="1067">
        <v>0</v>
      </c>
      <c r="F105" s="1067">
        <v>0</v>
      </c>
      <c r="G105" s="1067">
        <v>0</v>
      </c>
      <c r="H105" s="1067">
        <v>0</v>
      </c>
    </row>
    <row r="106" spans="1:8" x14ac:dyDescent="0.25">
      <c r="A106" s="1067" t="s">
        <v>273</v>
      </c>
      <c r="B106" s="1067" t="s">
        <v>247</v>
      </c>
      <c r="C106" s="1067" t="s">
        <v>287</v>
      </c>
      <c r="D106" s="1067" t="s">
        <v>48</v>
      </c>
      <c r="E106" s="1067">
        <v>137</v>
      </c>
      <c r="F106" s="1067">
        <v>12</v>
      </c>
      <c r="G106" s="1067">
        <v>33</v>
      </c>
      <c r="H106" s="1067">
        <v>92</v>
      </c>
    </row>
    <row r="107" spans="1:8" x14ac:dyDescent="0.25">
      <c r="A107" s="1067" t="s">
        <v>273</v>
      </c>
      <c r="B107" s="1067" t="s">
        <v>247</v>
      </c>
      <c r="C107" s="1067" t="s">
        <v>288</v>
      </c>
      <c r="D107" s="1067" t="s">
        <v>42</v>
      </c>
      <c r="E107" s="1067">
        <v>56</v>
      </c>
      <c r="F107" s="1067">
        <v>5</v>
      </c>
      <c r="G107" s="1067">
        <v>10</v>
      </c>
      <c r="H107" s="1067">
        <v>41</v>
      </c>
    </row>
    <row r="108" spans="1:8" x14ac:dyDescent="0.25">
      <c r="A108" s="1067" t="s">
        <v>273</v>
      </c>
      <c r="B108" s="1067" t="s">
        <v>247</v>
      </c>
      <c r="C108" s="1067" t="s">
        <v>289</v>
      </c>
      <c r="D108" s="1067" t="s">
        <v>44</v>
      </c>
      <c r="E108" s="1067">
        <v>525</v>
      </c>
      <c r="F108" s="1067">
        <v>52</v>
      </c>
      <c r="G108" s="1067">
        <v>102</v>
      </c>
      <c r="H108" s="1067">
        <v>371</v>
      </c>
    </row>
    <row r="109" spans="1:8" x14ac:dyDescent="0.25">
      <c r="A109" s="1067" t="s">
        <v>273</v>
      </c>
      <c r="B109" s="1067" t="s">
        <v>247</v>
      </c>
      <c r="C109" s="1067" t="s">
        <v>290</v>
      </c>
      <c r="D109" s="1067" t="s">
        <v>45</v>
      </c>
      <c r="E109" s="1067">
        <v>39</v>
      </c>
      <c r="F109" s="1067">
        <v>3</v>
      </c>
      <c r="G109" s="1067">
        <v>6</v>
      </c>
      <c r="H109" s="1067">
        <v>30</v>
      </c>
    </row>
    <row r="110" spans="1:8" x14ac:dyDescent="0.25">
      <c r="A110" s="1067" t="s">
        <v>273</v>
      </c>
      <c r="B110" s="1067" t="s">
        <v>247</v>
      </c>
      <c r="C110" s="1067" t="s">
        <v>291</v>
      </c>
      <c r="D110" s="1067" t="s">
        <v>46</v>
      </c>
      <c r="E110" s="1067">
        <v>11</v>
      </c>
      <c r="F110" s="1067">
        <v>1</v>
      </c>
      <c r="G110" s="1067">
        <v>2</v>
      </c>
      <c r="H110" s="1067">
        <v>8</v>
      </c>
    </row>
    <row r="111" spans="1:8" x14ac:dyDescent="0.25">
      <c r="A111" s="1067" t="s">
        <v>273</v>
      </c>
      <c r="B111" s="1067" t="s">
        <v>247</v>
      </c>
      <c r="C111" s="1067" t="s">
        <v>292</v>
      </c>
      <c r="D111" s="1067" t="s">
        <v>47</v>
      </c>
      <c r="E111" s="1067">
        <v>125</v>
      </c>
      <c r="F111" s="1067">
        <v>13</v>
      </c>
      <c r="G111" s="1067">
        <v>26</v>
      </c>
      <c r="H111" s="1067">
        <v>86</v>
      </c>
    </row>
    <row r="112" spans="1:8" x14ac:dyDescent="0.25">
      <c r="A112" s="1067" t="s">
        <v>273</v>
      </c>
      <c r="B112" s="1067" t="s">
        <v>247</v>
      </c>
      <c r="C112" s="1067" t="s">
        <v>293</v>
      </c>
      <c r="D112" s="1067" t="s">
        <v>49</v>
      </c>
      <c r="E112" s="1067">
        <v>106</v>
      </c>
      <c r="F112" s="1067">
        <v>10</v>
      </c>
      <c r="G112" s="1067">
        <v>12</v>
      </c>
      <c r="H112" s="1067">
        <v>84</v>
      </c>
    </row>
    <row r="113" spans="1:8" x14ac:dyDescent="0.25">
      <c r="A113" s="1067" t="s">
        <v>273</v>
      </c>
      <c r="B113" s="1067" t="s">
        <v>247</v>
      </c>
      <c r="C113" s="1067" t="s">
        <v>294</v>
      </c>
      <c r="D113" s="1067" t="s">
        <v>51</v>
      </c>
      <c r="E113" s="1067">
        <v>95</v>
      </c>
      <c r="F113" s="1067">
        <v>11</v>
      </c>
      <c r="G113" s="1067">
        <v>21</v>
      </c>
      <c r="H113" s="1067">
        <v>63</v>
      </c>
    </row>
    <row r="114" spans="1:8" x14ac:dyDescent="0.25">
      <c r="A114" s="1067" t="s">
        <v>273</v>
      </c>
      <c r="B114" s="1067" t="s">
        <v>247</v>
      </c>
      <c r="C114" s="1067" t="s">
        <v>295</v>
      </c>
      <c r="D114" s="1067" t="s">
        <v>52</v>
      </c>
      <c r="E114" s="1067">
        <v>122</v>
      </c>
      <c r="F114" s="1067">
        <v>9</v>
      </c>
      <c r="G114" s="1067">
        <v>23</v>
      </c>
      <c r="H114" s="1067">
        <v>90</v>
      </c>
    </row>
    <row r="115" spans="1:8" x14ac:dyDescent="0.25">
      <c r="A115" s="1067" t="s">
        <v>273</v>
      </c>
      <c r="B115" s="1067" t="s">
        <v>247</v>
      </c>
      <c r="C115" s="1067" t="s">
        <v>296</v>
      </c>
      <c r="D115" s="1067" t="s">
        <v>54</v>
      </c>
      <c r="E115" s="1067">
        <v>143</v>
      </c>
      <c r="F115" s="1067">
        <v>13</v>
      </c>
      <c r="G115" s="1067">
        <v>27</v>
      </c>
      <c r="H115" s="1067">
        <v>103</v>
      </c>
    </row>
    <row r="116" spans="1:8" x14ac:dyDescent="0.25">
      <c r="A116" s="1067" t="s">
        <v>273</v>
      </c>
      <c r="B116" s="1067" t="s">
        <v>247</v>
      </c>
      <c r="C116" s="1067" t="s">
        <v>297</v>
      </c>
      <c r="D116" s="1067" t="s">
        <v>55</v>
      </c>
      <c r="E116" s="1067">
        <v>122</v>
      </c>
      <c r="F116" s="1067">
        <v>12</v>
      </c>
      <c r="G116" s="1067">
        <v>27</v>
      </c>
      <c r="H116" s="1067">
        <v>83</v>
      </c>
    </row>
    <row r="117" spans="1:8" x14ac:dyDescent="0.25">
      <c r="A117" s="1067" t="s">
        <v>273</v>
      </c>
      <c r="B117" s="1067" t="s">
        <v>247</v>
      </c>
      <c r="C117" s="1067" t="s">
        <v>298</v>
      </c>
      <c r="D117" s="1067" t="s">
        <v>56</v>
      </c>
      <c r="E117" s="1067">
        <v>48</v>
      </c>
      <c r="F117" s="1067">
        <v>5</v>
      </c>
      <c r="G117" s="1067">
        <v>8</v>
      </c>
      <c r="H117" s="1067">
        <v>35</v>
      </c>
    </row>
    <row r="118" spans="1:8" x14ac:dyDescent="0.25">
      <c r="A118" s="1067" t="s">
        <v>273</v>
      </c>
      <c r="B118" s="1067" t="s">
        <v>247</v>
      </c>
      <c r="C118" s="1067" t="s">
        <v>299</v>
      </c>
      <c r="D118" s="1067" t="s">
        <v>57</v>
      </c>
      <c r="E118" s="1067">
        <v>74</v>
      </c>
      <c r="F118" s="1067">
        <v>8</v>
      </c>
      <c r="G118" s="1067">
        <v>9</v>
      </c>
      <c r="H118" s="1067">
        <v>57</v>
      </c>
    </row>
    <row r="119" spans="1:8" x14ac:dyDescent="0.25">
      <c r="A119" s="1067" t="s">
        <v>273</v>
      </c>
      <c r="B119" s="1067" t="s">
        <v>247</v>
      </c>
      <c r="C119" s="1067" t="s">
        <v>300</v>
      </c>
      <c r="D119" s="1067" t="s">
        <v>58</v>
      </c>
      <c r="E119" s="1067">
        <v>73</v>
      </c>
      <c r="F119" s="1067">
        <v>8</v>
      </c>
      <c r="G119" s="1067">
        <v>17</v>
      </c>
      <c r="H119" s="1067">
        <v>48</v>
      </c>
    </row>
    <row r="120" spans="1:8" x14ac:dyDescent="0.25">
      <c r="A120" s="1067" t="s">
        <v>273</v>
      </c>
      <c r="B120" s="1067" t="s">
        <v>247</v>
      </c>
      <c r="C120" s="1067" t="s">
        <v>301</v>
      </c>
      <c r="D120" s="1067" t="s">
        <v>31</v>
      </c>
      <c r="E120" s="1067">
        <v>8</v>
      </c>
      <c r="F120" s="1067">
        <v>1</v>
      </c>
      <c r="G120" s="1067">
        <v>2</v>
      </c>
      <c r="H120" s="1067">
        <v>5</v>
      </c>
    </row>
    <row r="121" spans="1:8" x14ac:dyDescent="0.25">
      <c r="A121" s="1067" t="s">
        <v>273</v>
      </c>
      <c r="B121" s="1067" t="s">
        <v>247</v>
      </c>
      <c r="C121" s="1067" t="s">
        <v>302</v>
      </c>
      <c r="D121" s="1067" t="s">
        <v>32</v>
      </c>
      <c r="E121" s="1067">
        <v>282</v>
      </c>
      <c r="F121" s="1067">
        <v>26</v>
      </c>
      <c r="G121" s="1067">
        <v>68</v>
      </c>
      <c r="H121" s="1067">
        <v>188</v>
      </c>
    </row>
    <row r="122" spans="1:8" x14ac:dyDescent="0.25">
      <c r="A122" s="1067" t="s">
        <v>273</v>
      </c>
      <c r="B122" s="1067" t="s">
        <v>247</v>
      </c>
      <c r="C122" s="1067" t="s">
        <v>303</v>
      </c>
      <c r="D122" s="1067" t="s">
        <v>34</v>
      </c>
      <c r="E122" s="1067">
        <v>185</v>
      </c>
      <c r="F122" s="1067">
        <v>14</v>
      </c>
      <c r="G122" s="1067">
        <v>27</v>
      </c>
      <c r="H122" s="1067">
        <v>144</v>
      </c>
    </row>
    <row r="123" spans="1:8" x14ac:dyDescent="0.25">
      <c r="A123" s="1067" t="s">
        <v>273</v>
      </c>
      <c r="B123" s="1067" t="s">
        <v>247</v>
      </c>
      <c r="C123" s="1067" t="s">
        <v>304</v>
      </c>
      <c r="D123" s="1067" t="s">
        <v>258</v>
      </c>
      <c r="E123" s="1067">
        <v>12</v>
      </c>
      <c r="F123" s="1067">
        <v>1</v>
      </c>
      <c r="G123" s="1067">
        <v>1</v>
      </c>
      <c r="H123" s="1067">
        <v>10</v>
      </c>
    </row>
    <row r="124" spans="1:8" x14ac:dyDescent="0.25">
      <c r="A124" s="1067" t="s">
        <v>273</v>
      </c>
      <c r="B124" s="1067" t="s">
        <v>247</v>
      </c>
      <c r="C124" s="1067" t="s">
        <v>305</v>
      </c>
      <c r="D124" s="1067" t="s">
        <v>53</v>
      </c>
      <c r="E124" s="1067">
        <v>13</v>
      </c>
      <c r="F124" s="1067">
        <v>1</v>
      </c>
      <c r="G124" s="1067">
        <v>2</v>
      </c>
      <c r="H124" s="1067">
        <v>10</v>
      </c>
    </row>
    <row r="125" spans="1:8" x14ac:dyDescent="0.25">
      <c r="A125" s="1067" t="s">
        <v>273</v>
      </c>
      <c r="B125" s="1067" t="s">
        <v>247</v>
      </c>
      <c r="C125" s="1067" t="s">
        <v>306</v>
      </c>
      <c r="D125" s="1067" t="s">
        <v>59</v>
      </c>
      <c r="E125" s="1067">
        <v>17</v>
      </c>
      <c r="F125" s="1067">
        <v>1</v>
      </c>
      <c r="G125" s="1067">
        <v>2</v>
      </c>
      <c r="H125" s="1067">
        <v>14</v>
      </c>
    </row>
    <row r="126" spans="1:8" x14ac:dyDescent="0.25">
      <c r="A126" s="1067" t="s">
        <v>273</v>
      </c>
      <c r="B126" s="1067" t="s">
        <v>247</v>
      </c>
      <c r="C126" s="1067" t="s">
        <v>307</v>
      </c>
      <c r="D126" s="1067" t="s">
        <v>60</v>
      </c>
      <c r="E126" s="1067">
        <v>64</v>
      </c>
      <c r="F126" s="1067">
        <v>5</v>
      </c>
      <c r="G126" s="1067">
        <v>12</v>
      </c>
      <c r="H126" s="1067">
        <v>47</v>
      </c>
    </row>
    <row r="127" spans="1:8" x14ac:dyDescent="0.25">
      <c r="A127" s="1067" t="s">
        <v>273</v>
      </c>
      <c r="B127" s="1067" t="s">
        <v>247</v>
      </c>
      <c r="C127" s="1067" t="s">
        <v>308</v>
      </c>
      <c r="D127" s="1067" t="s">
        <v>33</v>
      </c>
      <c r="E127" s="1067">
        <v>94</v>
      </c>
      <c r="F127" s="1067">
        <v>6</v>
      </c>
      <c r="G127" s="1067">
        <v>17</v>
      </c>
      <c r="H127" s="1067">
        <v>71</v>
      </c>
    </row>
    <row r="128" spans="1:8" x14ac:dyDescent="0.25">
      <c r="A128" s="1067" t="s">
        <v>273</v>
      </c>
      <c r="B128" s="1067" t="s">
        <v>247</v>
      </c>
      <c r="C128" s="1067" t="s">
        <v>309</v>
      </c>
      <c r="D128" s="1067" t="s">
        <v>37</v>
      </c>
      <c r="E128" s="1067">
        <v>13</v>
      </c>
      <c r="F128" s="1067">
        <v>1</v>
      </c>
      <c r="G128" s="1067">
        <v>3</v>
      </c>
      <c r="H128" s="1067">
        <v>9</v>
      </c>
    </row>
    <row r="129" spans="1:8" x14ac:dyDescent="0.25">
      <c r="A129" s="1067" t="s">
        <v>273</v>
      </c>
      <c r="B129" s="1067" t="s">
        <v>247</v>
      </c>
      <c r="C129" s="1067" t="s">
        <v>310</v>
      </c>
      <c r="D129" s="1067" t="s">
        <v>50</v>
      </c>
      <c r="E129" s="1067">
        <v>35</v>
      </c>
      <c r="F129" s="1067">
        <v>3</v>
      </c>
      <c r="G129" s="1067">
        <v>6</v>
      </c>
      <c r="H129" s="1067">
        <v>26</v>
      </c>
    </row>
    <row r="130" spans="1:8" x14ac:dyDescent="0.25">
      <c r="A130" s="1067" t="s">
        <v>273</v>
      </c>
      <c r="B130" s="1067" t="s">
        <v>247</v>
      </c>
      <c r="C130" s="1067" t="s">
        <v>311</v>
      </c>
      <c r="D130" s="1067" t="s">
        <v>39</v>
      </c>
      <c r="E130" s="1067">
        <v>0</v>
      </c>
      <c r="F130" s="1067">
        <v>0</v>
      </c>
      <c r="G130" s="1067">
        <v>0</v>
      </c>
      <c r="H130" s="1067">
        <v>0</v>
      </c>
    </row>
    <row r="131" spans="1:8" x14ac:dyDescent="0.25">
      <c r="A131" s="1067" t="s">
        <v>273</v>
      </c>
      <c r="B131" s="1067" t="s">
        <v>247</v>
      </c>
      <c r="C131" s="1067" t="s">
        <v>312</v>
      </c>
      <c r="D131" s="1067" t="s">
        <v>121</v>
      </c>
      <c r="E131" s="1067">
        <v>0</v>
      </c>
      <c r="F131" s="1067">
        <v>0</v>
      </c>
      <c r="G131" s="1067">
        <v>0</v>
      </c>
      <c r="H131" s="1067">
        <v>0</v>
      </c>
    </row>
    <row r="132" spans="1:8" x14ac:dyDescent="0.25">
      <c r="A132" s="1067" t="s">
        <v>273</v>
      </c>
      <c r="B132" s="1067" t="s">
        <v>247</v>
      </c>
      <c r="C132" s="1067" t="s">
        <v>313</v>
      </c>
      <c r="D132" s="1067" t="s">
        <v>43</v>
      </c>
      <c r="E132" s="1067">
        <v>109</v>
      </c>
      <c r="F132" s="1067">
        <v>9</v>
      </c>
      <c r="G132" s="1067">
        <v>22</v>
      </c>
      <c r="H132" s="1067">
        <v>78</v>
      </c>
    </row>
    <row r="133" spans="1:8" x14ac:dyDescent="0.25">
      <c r="A133" s="1067" t="s">
        <v>255</v>
      </c>
      <c r="B133" s="1067" t="s">
        <v>247</v>
      </c>
      <c r="C133" s="1067" t="s">
        <v>282</v>
      </c>
      <c r="D133" s="1067" t="s">
        <v>35</v>
      </c>
      <c r="E133" s="1067">
        <v>22</v>
      </c>
      <c r="F133" s="1067">
        <v>2</v>
      </c>
      <c r="G133" s="1067">
        <v>3</v>
      </c>
      <c r="H133" s="1067">
        <v>17</v>
      </c>
    </row>
    <row r="134" spans="1:8" x14ac:dyDescent="0.25">
      <c r="A134" s="1067" t="s">
        <v>255</v>
      </c>
      <c r="B134" s="1067" t="s">
        <v>247</v>
      </c>
      <c r="C134" s="1067" t="s">
        <v>283</v>
      </c>
      <c r="D134" s="1067" t="s">
        <v>36</v>
      </c>
      <c r="E134" s="1067">
        <v>189</v>
      </c>
      <c r="F134" s="1067">
        <v>16</v>
      </c>
      <c r="G134" s="1067">
        <v>34</v>
      </c>
      <c r="H134" s="1067">
        <v>139</v>
      </c>
    </row>
    <row r="135" spans="1:8" x14ac:dyDescent="0.25">
      <c r="A135" s="1067" t="s">
        <v>255</v>
      </c>
      <c r="B135" s="1067" t="s">
        <v>247</v>
      </c>
      <c r="C135" s="1067" t="s">
        <v>284</v>
      </c>
      <c r="D135" s="1067" t="s">
        <v>38</v>
      </c>
      <c r="E135" s="1067">
        <v>82</v>
      </c>
      <c r="F135" s="1067">
        <v>7</v>
      </c>
      <c r="G135" s="1067">
        <v>9</v>
      </c>
      <c r="H135" s="1067">
        <v>66</v>
      </c>
    </row>
    <row r="136" spans="1:8" x14ac:dyDescent="0.25">
      <c r="A136" s="1067" t="s">
        <v>255</v>
      </c>
      <c r="B136" s="1067" t="s">
        <v>247</v>
      </c>
      <c r="C136" s="1067" t="s">
        <v>285</v>
      </c>
      <c r="D136" s="1067" t="s">
        <v>40</v>
      </c>
      <c r="E136" s="1067">
        <v>56</v>
      </c>
      <c r="F136" s="1067">
        <v>5</v>
      </c>
      <c r="G136" s="1067">
        <v>10</v>
      </c>
      <c r="H136" s="1067">
        <v>41</v>
      </c>
    </row>
    <row r="137" spans="1:8" x14ac:dyDescent="0.25">
      <c r="A137" s="1067" t="s">
        <v>255</v>
      </c>
      <c r="B137" s="1067" t="s">
        <v>247</v>
      </c>
      <c r="C137" s="1067" t="s">
        <v>287</v>
      </c>
      <c r="D137" s="1067" t="s">
        <v>48</v>
      </c>
      <c r="E137" s="1067">
        <v>131</v>
      </c>
      <c r="F137" s="1067">
        <v>13</v>
      </c>
      <c r="G137" s="1067">
        <v>25</v>
      </c>
      <c r="H137" s="1067">
        <v>93</v>
      </c>
    </row>
    <row r="138" spans="1:8" x14ac:dyDescent="0.25">
      <c r="A138" s="1067" t="s">
        <v>255</v>
      </c>
      <c r="B138" s="1067" t="s">
        <v>247</v>
      </c>
      <c r="C138" s="1067" t="s">
        <v>288</v>
      </c>
      <c r="D138" s="1067" t="s">
        <v>42</v>
      </c>
      <c r="E138" s="1067">
        <v>54</v>
      </c>
      <c r="F138" s="1067">
        <v>5</v>
      </c>
      <c r="G138" s="1067">
        <v>11</v>
      </c>
      <c r="H138" s="1067">
        <v>38</v>
      </c>
    </row>
    <row r="139" spans="1:8" x14ac:dyDescent="0.25">
      <c r="A139" s="1067" t="s">
        <v>255</v>
      </c>
      <c r="B139" s="1067" t="s">
        <v>247</v>
      </c>
      <c r="C139" s="1067" t="s">
        <v>289</v>
      </c>
      <c r="D139" s="1067" t="s">
        <v>44</v>
      </c>
      <c r="E139" s="1067">
        <v>538</v>
      </c>
      <c r="F139" s="1067">
        <v>55</v>
      </c>
      <c r="G139" s="1067">
        <v>106</v>
      </c>
      <c r="H139" s="1067">
        <v>377</v>
      </c>
    </row>
    <row r="140" spans="1:8" x14ac:dyDescent="0.25">
      <c r="A140" s="1067" t="s">
        <v>255</v>
      </c>
      <c r="B140" s="1067" t="s">
        <v>247</v>
      </c>
      <c r="C140" s="1067" t="s">
        <v>290</v>
      </c>
      <c r="D140" s="1067" t="s">
        <v>45</v>
      </c>
      <c r="E140" s="1067">
        <v>42</v>
      </c>
      <c r="F140" s="1067">
        <v>3</v>
      </c>
      <c r="G140" s="1067">
        <v>6</v>
      </c>
      <c r="H140" s="1067">
        <v>33</v>
      </c>
    </row>
    <row r="141" spans="1:8" x14ac:dyDescent="0.25">
      <c r="A141" s="1067" t="s">
        <v>255</v>
      </c>
      <c r="B141" s="1067" t="s">
        <v>247</v>
      </c>
      <c r="C141" s="1067" t="s">
        <v>291</v>
      </c>
      <c r="D141" s="1067" t="s">
        <v>46</v>
      </c>
      <c r="E141" s="1067">
        <v>12</v>
      </c>
      <c r="F141" s="1067">
        <v>1</v>
      </c>
      <c r="G141" s="1067">
        <v>2</v>
      </c>
      <c r="H141" s="1067">
        <v>9</v>
      </c>
    </row>
    <row r="142" spans="1:8" x14ac:dyDescent="0.25">
      <c r="A142" s="1067" t="s">
        <v>255</v>
      </c>
      <c r="B142" s="1067" t="s">
        <v>247</v>
      </c>
      <c r="C142" s="1067" t="s">
        <v>292</v>
      </c>
      <c r="D142" s="1067" t="s">
        <v>47</v>
      </c>
      <c r="E142" s="1067">
        <v>120</v>
      </c>
      <c r="F142" s="1067">
        <v>12</v>
      </c>
      <c r="G142" s="1067">
        <v>27</v>
      </c>
      <c r="H142" s="1067">
        <v>81</v>
      </c>
    </row>
    <row r="143" spans="1:8" x14ac:dyDescent="0.25">
      <c r="A143" s="1067" t="s">
        <v>255</v>
      </c>
      <c r="B143" s="1067" t="s">
        <v>247</v>
      </c>
      <c r="C143" s="1067" t="s">
        <v>293</v>
      </c>
      <c r="D143" s="1067" t="s">
        <v>49</v>
      </c>
      <c r="E143" s="1067">
        <v>106</v>
      </c>
      <c r="F143" s="1067">
        <v>10</v>
      </c>
      <c r="G143" s="1067">
        <v>10</v>
      </c>
      <c r="H143" s="1067">
        <v>86</v>
      </c>
    </row>
    <row r="144" spans="1:8" x14ac:dyDescent="0.25">
      <c r="A144" s="1067" t="s">
        <v>255</v>
      </c>
      <c r="B144" s="1067" t="s">
        <v>247</v>
      </c>
      <c r="C144" s="1067" t="s">
        <v>294</v>
      </c>
      <c r="D144" s="1067" t="s">
        <v>51</v>
      </c>
      <c r="E144" s="1067">
        <v>100</v>
      </c>
      <c r="F144" s="1067">
        <v>9</v>
      </c>
      <c r="G144" s="1067">
        <v>22</v>
      </c>
      <c r="H144" s="1067">
        <v>69</v>
      </c>
    </row>
    <row r="145" spans="1:8" x14ac:dyDescent="0.25">
      <c r="A145" s="1067" t="s">
        <v>255</v>
      </c>
      <c r="B145" s="1067" t="s">
        <v>247</v>
      </c>
      <c r="C145" s="1067" t="s">
        <v>295</v>
      </c>
      <c r="D145" s="1067" t="s">
        <v>52</v>
      </c>
      <c r="E145" s="1067">
        <v>126</v>
      </c>
      <c r="F145" s="1067">
        <v>9</v>
      </c>
      <c r="G145" s="1067">
        <v>23</v>
      </c>
      <c r="H145" s="1067">
        <v>94</v>
      </c>
    </row>
    <row r="146" spans="1:8" x14ac:dyDescent="0.25">
      <c r="A146" s="1067" t="s">
        <v>255</v>
      </c>
      <c r="B146" s="1067" t="s">
        <v>247</v>
      </c>
      <c r="C146" s="1067" t="s">
        <v>296</v>
      </c>
      <c r="D146" s="1067" t="s">
        <v>54</v>
      </c>
      <c r="E146" s="1067">
        <v>143</v>
      </c>
      <c r="F146" s="1067">
        <v>13</v>
      </c>
      <c r="G146" s="1067">
        <v>27</v>
      </c>
      <c r="H146" s="1067">
        <v>103</v>
      </c>
    </row>
    <row r="147" spans="1:8" x14ac:dyDescent="0.25">
      <c r="A147" s="1067" t="s">
        <v>255</v>
      </c>
      <c r="B147" s="1067" t="s">
        <v>247</v>
      </c>
      <c r="C147" s="1067" t="s">
        <v>297</v>
      </c>
      <c r="D147" s="1067" t="s">
        <v>55</v>
      </c>
      <c r="E147" s="1067">
        <v>118</v>
      </c>
      <c r="F147" s="1067">
        <v>12</v>
      </c>
      <c r="G147" s="1067">
        <v>24</v>
      </c>
      <c r="H147" s="1067">
        <v>82</v>
      </c>
    </row>
    <row r="148" spans="1:8" x14ac:dyDescent="0.25">
      <c r="A148" s="1067" t="s">
        <v>255</v>
      </c>
      <c r="B148" s="1067" t="s">
        <v>247</v>
      </c>
      <c r="C148" s="1067" t="s">
        <v>298</v>
      </c>
      <c r="D148" s="1067" t="s">
        <v>56</v>
      </c>
      <c r="E148" s="1067">
        <v>49</v>
      </c>
      <c r="F148" s="1067">
        <v>5</v>
      </c>
      <c r="G148" s="1067">
        <v>6</v>
      </c>
      <c r="H148" s="1067">
        <v>38</v>
      </c>
    </row>
    <row r="149" spans="1:8" x14ac:dyDescent="0.25">
      <c r="A149" s="1067" t="s">
        <v>255</v>
      </c>
      <c r="B149" s="1067" t="s">
        <v>247</v>
      </c>
      <c r="C149" s="1067" t="s">
        <v>299</v>
      </c>
      <c r="D149" s="1067" t="s">
        <v>57</v>
      </c>
      <c r="E149" s="1067">
        <v>73</v>
      </c>
      <c r="F149" s="1067">
        <v>9</v>
      </c>
      <c r="G149" s="1067">
        <v>8</v>
      </c>
      <c r="H149" s="1067">
        <v>56</v>
      </c>
    </row>
    <row r="150" spans="1:8" x14ac:dyDescent="0.25">
      <c r="A150" s="1067" t="s">
        <v>255</v>
      </c>
      <c r="B150" s="1067" t="s">
        <v>247</v>
      </c>
      <c r="C150" s="1067" t="s">
        <v>300</v>
      </c>
      <c r="D150" s="1067" t="s">
        <v>58</v>
      </c>
      <c r="E150" s="1067">
        <v>74</v>
      </c>
      <c r="F150" s="1067">
        <v>8</v>
      </c>
      <c r="G150" s="1067">
        <v>15</v>
      </c>
      <c r="H150" s="1067">
        <v>51</v>
      </c>
    </row>
    <row r="151" spans="1:8" x14ac:dyDescent="0.25">
      <c r="A151" s="1067" t="s">
        <v>255</v>
      </c>
      <c r="B151" s="1067" t="s">
        <v>247</v>
      </c>
      <c r="C151" s="1067" t="s">
        <v>301</v>
      </c>
      <c r="D151" s="1067" t="s">
        <v>31</v>
      </c>
      <c r="E151" s="1067">
        <v>8</v>
      </c>
      <c r="F151" s="1067">
        <v>1</v>
      </c>
      <c r="G151" s="1067">
        <v>1</v>
      </c>
      <c r="H151" s="1067">
        <v>6</v>
      </c>
    </row>
    <row r="152" spans="1:8" x14ac:dyDescent="0.25">
      <c r="A152" s="1067" t="s">
        <v>255</v>
      </c>
      <c r="B152" s="1067" t="s">
        <v>247</v>
      </c>
      <c r="C152" s="1067" t="s">
        <v>302</v>
      </c>
      <c r="D152" s="1067" t="s">
        <v>32</v>
      </c>
      <c r="E152" s="1067">
        <v>275</v>
      </c>
      <c r="F152" s="1067">
        <v>24</v>
      </c>
      <c r="G152" s="1067">
        <v>69</v>
      </c>
      <c r="H152" s="1067">
        <v>182</v>
      </c>
    </row>
    <row r="153" spans="1:8" x14ac:dyDescent="0.25">
      <c r="A153" s="1067" t="s">
        <v>255</v>
      </c>
      <c r="B153" s="1067" t="s">
        <v>247</v>
      </c>
      <c r="C153" s="1067" t="s">
        <v>303</v>
      </c>
      <c r="D153" s="1067" t="s">
        <v>34</v>
      </c>
      <c r="E153" s="1067">
        <v>177</v>
      </c>
      <c r="F153" s="1067">
        <v>14</v>
      </c>
      <c r="G153" s="1067">
        <v>26</v>
      </c>
      <c r="H153" s="1067">
        <v>137</v>
      </c>
    </row>
    <row r="154" spans="1:8" x14ac:dyDescent="0.25">
      <c r="A154" s="1067" t="s">
        <v>255</v>
      </c>
      <c r="B154" s="1067" t="s">
        <v>247</v>
      </c>
      <c r="C154" s="1067" t="s">
        <v>304</v>
      </c>
      <c r="D154" s="1067" t="s">
        <v>258</v>
      </c>
      <c r="E154" s="1067">
        <v>11</v>
      </c>
      <c r="F154" s="1067">
        <v>1</v>
      </c>
      <c r="G154" s="1067">
        <v>1</v>
      </c>
      <c r="H154" s="1067">
        <v>9</v>
      </c>
    </row>
    <row r="155" spans="1:8" x14ac:dyDescent="0.25">
      <c r="A155" s="1067" t="s">
        <v>255</v>
      </c>
      <c r="B155" s="1067" t="s">
        <v>247</v>
      </c>
      <c r="C155" s="1067" t="s">
        <v>305</v>
      </c>
      <c r="D155" s="1067" t="s">
        <v>53</v>
      </c>
      <c r="E155" s="1067">
        <v>16</v>
      </c>
      <c r="F155" s="1067">
        <v>1</v>
      </c>
      <c r="G155" s="1067">
        <v>2</v>
      </c>
      <c r="H155" s="1067">
        <v>13</v>
      </c>
    </row>
    <row r="156" spans="1:8" x14ac:dyDescent="0.25">
      <c r="A156" s="1067" t="s">
        <v>255</v>
      </c>
      <c r="B156" s="1067" t="s">
        <v>247</v>
      </c>
      <c r="C156" s="1067" t="s">
        <v>306</v>
      </c>
      <c r="D156" s="1067" t="s">
        <v>59</v>
      </c>
      <c r="E156" s="1067">
        <v>18</v>
      </c>
      <c r="F156" s="1067">
        <v>2</v>
      </c>
      <c r="G156" s="1067">
        <v>2</v>
      </c>
      <c r="H156" s="1067">
        <v>14</v>
      </c>
    </row>
    <row r="157" spans="1:8" x14ac:dyDescent="0.25">
      <c r="A157" s="1067" t="s">
        <v>255</v>
      </c>
      <c r="B157" s="1067" t="s">
        <v>247</v>
      </c>
      <c r="C157" s="1067" t="s">
        <v>307</v>
      </c>
      <c r="D157" s="1067" t="s">
        <v>60</v>
      </c>
      <c r="E157" s="1067">
        <v>65</v>
      </c>
      <c r="F157" s="1067">
        <v>5</v>
      </c>
      <c r="G157" s="1067">
        <v>11</v>
      </c>
      <c r="H157" s="1067">
        <v>49</v>
      </c>
    </row>
    <row r="158" spans="1:8" x14ac:dyDescent="0.25">
      <c r="A158" s="1067" t="s">
        <v>255</v>
      </c>
      <c r="B158" s="1067" t="s">
        <v>247</v>
      </c>
      <c r="C158" s="1067" t="s">
        <v>308</v>
      </c>
      <c r="D158" s="1067" t="s">
        <v>33</v>
      </c>
      <c r="E158" s="1067">
        <v>93</v>
      </c>
      <c r="F158" s="1067">
        <v>6</v>
      </c>
      <c r="G158" s="1067">
        <v>16</v>
      </c>
      <c r="H158" s="1067">
        <v>71</v>
      </c>
    </row>
    <row r="159" spans="1:8" x14ac:dyDescent="0.25">
      <c r="A159" s="1067" t="s">
        <v>255</v>
      </c>
      <c r="B159" s="1067" t="s">
        <v>247</v>
      </c>
      <c r="C159" s="1067" t="s">
        <v>309</v>
      </c>
      <c r="D159" s="1067" t="s">
        <v>37</v>
      </c>
      <c r="E159" s="1067">
        <v>13</v>
      </c>
      <c r="F159" s="1067">
        <v>1</v>
      </c>
      <c r="G159" s="1067">
        <v>2</v>
      </c>
      <c r="H159" s="1067">
        <v>10</v>
      </c>
    </row>
    <row r="160" spans="1:8" x14ac:dyDescent="0.25">
      <c r="A160" s="1067" t="s">
        <v>255</v>
      </c>
      <c r="B160" s="1067" t="s">
        <v>247</v>
      </c>
      <c r="C160" s="1067" t="s">
        <v>310</v>
      </c>
      <c r="D160" s="1067" t="s">
        <v>50</v>
      </c>
      <c r="E160" s="1067">
        <v>37</v>
      </c>
      <c r="F160" s="1067">
        <v>3</v>
      </c>
      <c r="G160" s="1067">
        <v>6</v>
      </c>
      <c r="H160" s="1067">
        <v>28</v>
      </c>
    </row>
    <row r="161" spans="1:8" x14ac:dyDescent="0.25">
      <c r="A161" s="1067" t="s">
        <v>255</v>
      </c>
      <c r="B161" s="1067" t="s">
        <v>247</v>
      </c>
      <c r="C161" s="1067" t="s">
        <v>313</v>
      </c>
      <c r="D161" s="1067" t="s">
        <v>43</v>
      </c>
      <c r="E161" s="1067">
        <v>115</v>
      </c>
      <c r="F161" s="1067">
        <v>9</v>
      </c>
      <c r="G161" s="1067">
        <v>21</v>
      </c>
      <c r="H161" s="1067">
        <v>85</v>
      </c>
    </row>
    <row r="162" spans="1:8" x14ac:dyDescent="0.25">
      <c r="A162" s="1067" t="s">
        <v>254</v>
      </c>
      <c r="B162" s="1067" t="s">
        <v>247</v>
      </c>
      <c r="C162" s="1067" t="s">
        <v>282</v>
      </c>
      <c r="D162" s="1067" t="s">
        <v>35</v>
      </c>
      <c r="E162" s="1067">
        <v>20</v>
      </c>
      <c r="F162" s="1067">
        <v>2</v>
      </c>
      <c r="G162" s="1067">
        <v>4</v>
      </c>
      <c r="H162" s="1067">
        <v>14</v>
      </c>
    </row>
    <row r="163" spans="1:8" x14ac:dyDescent="0.25">
      <c r="A163" s="1067" t="s">
        <v>254</v>
      </c>
      <c r="B163" s="1067" t="s">
        <v>247</v>
      </c>
      <c r="C163" s="1067" t="s">
        <v>283</v>
      </c>
      <c r="D163" s="1067" t="s">
        <v>36</v>
      </c>
      <c r="E163" s="1067">
        <v>198</v>
      </c>
      <c r="F163" s="1067">
        <v>17</v>
      </c>
      <c r="G163" s="1067">
        <v>34</v>
      </c>
      <c r="H163" s="1067">
        <v>147</v>
      </c>
    </row>
    <row r="164" spans="1:8" x14ac:dyDescent="0.25">
      <c r="A164" s="1067" t="s">
        <v>254</v>
      </c>
      <c r="B164" s="1067" t="s">
        <v>247</v>
      </c>
      <c r="C164" s="1067" t="s">
        <v>284</v>
      </c>
      <c r="D164" s="1067" t="s">
        <v>38</v>
      </c>
      <c r="E164" s="1067">
        <v>77</v>
      </c>
      <c r="F164" s="1067">
        <v>5</v>
      </c>
      <c r="G164" s="1067">
        <v>10</v>
      </c>
      <c r="H164" s="1067">
        <v>62</v>
      </c>
    </row>
    <row r="165" spans="1:8" x14ac:dyDescent="0.25">
      <c r="A165" s="1067" t="s">
        <v>254</v>
      </c>
      <c r="B165" s="1067" t="s">
        <v>247</v>
      </c>
      <c r="C165" s="1067" t="s">
        <v>285</v>
      </c>
      <c r="D165" s="1067" t="s">
        <v>40</v>
      </c>
      <c r="E165" s="1067">
        <v>62</v>
      </c>
      <c r="F165" s="1067">
        <v>5</v>
      </c>
      <c r="G165" s="1067">
        <v>12</v>
      </c>
      <c r="H165" s="1067">
        <v>45</v>
      </c>
    </row>
    <row r="166" spans="1:8" x14ac:dyDescent="0.25">
      <c r="A166" s="1067" t="s">
        <v>254</v>
      </c>
      <c r="B166" s="1067" t="s">
        <v>247</v>
      </c>
      <c r="C166" s="1067" t="s">
        <v>287</v>
      </c>
      <c r="D166" s="1067" t="s">
        <v>48</v>
      </c>
      <c r="E166" s="1067">
        <v>132</v>
      </c>
      <c r="F166" s="1067">
        <v>13</v>
      </c>
      <c r="G166" s="1067">
        <v>25</v>
      </c>
      <c r="H166" s="1067">
        <v>94</v>
      </c>
    </row>
    <row r="167" spans="1:8" x14ac:dyDescent="0.25">
      <c r="A167" s="1067" t="s">
        <v>254</v>
      </c>
      <c r="B167" s="1067" t="s">
        <v>247</v>
      </c>
      <c r="C167" s="1067" t="s">
        <v>288</v>
      </c>
      <c r="D167" s="1067" t="s">
        <v>42</v>
      </c>
      <c r="E167" s="1067">
        <v>55</v>
      </c>
      <c r="F167" s="1067">
        <v>5</v>
      </c>
      <c r="G167" s="1067">
        <v>10</v>
      </c>
      <c r="H167" s="1067">
        <v>40</v>
      </c>
    </row>
    <row r="168" spans="1:8" x14ac:dyDescent="0.25">
      <c r="A168" s="1067" t="s">
        <v>254</v>
      </c>
      <c r="B168" s="1067" t="s">
        <v>247</v>
      </c>
      <c r="C168" s="1067" t="s">
        <v>289</v>
      </c>
      <c r="D168" s="1067" t="s">
        <v>44</v>
      </c>
      <c r="E168" s="1067">
        <v>552</v>
      </c>
      <c r="F168" s="1067">
        <v>56</v>
      </c>
      <c r="G168" s="1067">
        <v>103</v>
      </c>
      <c r="H168" s="1067">
        <v>393</v>
      </c>
    </row>
    <row r="169" spans="1:8" x14ac:dyDescent="0.25">
      <c r="A169" s="1067" t="s">
        <v>254</v>
      </c>
      <c r="B169" s="1067" t="s">
        <v>247</v>
      </c>
      <c r="C169" s="1067" t="s">
        <v>290</v>
      </c>
      <c r="D169" s="1067" t="s">
        <v>45</v>
      </c>
      <c r="E169" s="1067">
        <v>44</v>
      </c>
      <c r="F169" s="1067">
        <v>3</v>
      </c>
      <c r="G169" s="1067">
        <v>6</v>
      </c>
      <c r="H169" s="1067">
        <v>35</v>
      </c>
    </row>
    <row r="170" spans="1:8" x14ac:dyDescent="0.25">
      <c r="A170" s="1067" t="s">
        <v>254</v>
      </c>
      <c r="B170" s="1067" t="s">
        <v>247</v>
      </c>
      <c r="C170" s="1067" t="s">
        <v>291</v>
      </c>
      <c r="D170" s="1067" t="s">
        <v>46</v>
      </c>
      <c r="E170" s="1067">
        <v>13</v>
      </c>
      <c r="F170" s="1067">
        <v>1</v>
      </c>
      <c r="G170" s="1067">
        <v>3</v>
      </c>
      <c r="H170" s="1067">
        <v>9</v>
      </c>
    </row>
    <row r="171" spans="1:8" x14ac:dyDescent="0.25">
      <c r="A171" s="1067" t="s">
        <v>254</v>
      </c>
      <c r="B171" s="1067" t="s">
        <v>247</v>
      </c>
      <c r="C171" s="1067" t="s">
        <v>292</v>
      </c>
      <c r="D171" s="1067" t="s">
        <v>47</v>
      </c>
      <c r="E171" s="1067">
        <v>120</v>
      </c>
      <c r="F171" s="1067">
        <v>11</v>
      </c>
      <c r="G171" s="1067">
        <v>28</v>
      </c>
      <c r="H171" s="1067">
        <v>81</v>
      </c>
    </row>
    <row r="172" spans="1:8" x14ac:dyDescent="0.25">
      <c r="A172" s="1067" t="s">
        <v>254</v>
      </c>
      <c r="B172" s="1067" t="s">
        <v>247</v>
      </c>
      <c r="C172" s="1067" t="s">
        <v>293</v>
      </c>
      <c r="D172" s="1067" t="s">
        <v>49</v>
      </c>
      <c r="E172" s="1067">
        <v>107</v>
      </c>
      <c r="F172" s="1067">
        <v>11</v>
      </c>
      <c r="G172" s="1067">
        <v>11</v>
      </c>
      <c r="H172" s="1067">
        <v>85</v>
      </c>
    </row>
    <row r="173" spans="1:8" x14ac:dyDescent="0.25">
      <c r="A173" s="1067" t="s">
        <v>254</v>
      </c>
      <c r="B173" s="1067" t="s">
        <v>247</v>
      </c>
      <c r="C173" s="1067" t="s">
        <v>294</v>
      </c>
      <c r="D173" s="1067" t="s">
        <v>51</v>
      </c>
      <c r="E173" s="1067">
        <v>109</v>
      </c>
      <c r="F173" s="1067">
        <v>9</v>
      </c>
      <c r="G173" s="1067">
        <v>23</v>
      </c>
      <c r="H173" s="1067">
        <v>77</v>
      </c>
    </row>
    <row r="174" spans="1:8" x14ac:dyDescent="0.25">
      <c r="A174" s="1067" t="s">
        <v>254</v>
      </c>
      <c r="B174" s="1067" t="s">
        <v>247</v>
      </c>
      <c r="C174" s="1067" t="s">
        <v>295</v>
      </c>
      <c r="D174" s="1067" t="s">
        <v>52</v>
      </c>
      <c r="E174" s="1067">
        <v>131</v>
      </c>
      <c r="F174" s="1067">
        <v>10</v>
      </c>
      <c r="G174" s="1067">
        <v>23</v>
      </c>
      <c r="H174" s="1067">
        <v>98</v>
      </c>
    </row>
    <row r="175" spans="1:8" x14ac:dyDescent="0.25">
      <c r="A175" s="1067" t="s">
        <v>254</v>
      </c>
      <c r="B175" s="1067" t="s">
        <v>247</v>
      </c>
      <c r="C175" s="1067" t="s">
        <v>296</v>
      </c>
      <c r="D175" s="1067" t="s">
        <v>54</v>
      </c>
      <c r="E175" s="1067">
        <v>143</v>
      </c>
      <c r="F175" s="1067">
        <v>13</v>
      </c>
      <c r="G175" s="1067">
        <v>28</v>
      </c>
      <c r="H175" s="1067">
        <v>102</v>
      </c>
    </row>
    <row r="176" spans="1:8" x14ac:dyDescent="0.25">
      <c r="A176" s="1067" t="s">
        <v>254</v>
      </c>
      <c r="B176" s="1067" t="s">
        <v>247</v>
      </c>
      <c r="C176" s="1067" t="s">
        <v>297</v>
      </c>
      <c r="D176" s="1067" t="s">
        <v>55</v>
      </c>
      <c r="E176" s="1067">
        <v>127</v>
      </c>
      <c r="F176" s="1067">
        <v>13</v>
      </c>
      <c r="G176" s="1067">
        <v>25</v>
      </c>
      <c r="H176" s="1067">
        <v>89</v>
      </c>
    </row>
    <row r="177" spans="1:8" x14ac:dyDescent="0.25">
      <c r="A177" s="1067" t="s">
        <v>254</v>
      </c>
      <c r="B177" s="1067" t="s">
        <v>247</v>
      </c>
      <c r="C177" s="1067" t="s">
        <v>298</v>
      </c>
      <c r="D177" s="1067" t="s">
        <v>56</v>
      </c>
      <c r="E177" s="1067">
        <v>58</v>
      </c>
      <c r="F177" s="1067">
        <v>5</v>
      </c>
      <c r="G177" s="1067">
        <v>7</v>
      </c>
      <c r="H177" s="1067">
        <v>46</v>
      </c>
    </row>
    <row r="178" spans="1:8" x14ac:dyDescent="0.25">
      <c r="A178" s="1067" t="s">
        <v>254</v>
      </c>
      <c r="B178" s="1067" t="s">
        <v>247</v>
      </c>
      <c r="C178" s="1067" t="s">
        <v>299</v>
      </c>
      <c r="D178" s="1067" t="s">
        <v>57</v>
      </c>
      <c r="E178" s="1067">
        <v>77</v>
      </c>
      <c r="F178" s="1067">
        <v>8</v>
      </c>
      <c r="G178" s="1067">
        <v>8</v>
      </c>
      <c r="H178" s="1067">
        <v>61</v>
      </c>
    </row>
    <row r="179" spans="1:8" x14ac:dyDescent="0.25">
      <c r="A179" s="1067" t="s">
        <v>254</v>
      </c>
      <c r="B179" s="1067" t="s">
        <v>247</v>
      </c>
      <c r="C179" s="1067" t="s">
        <v>300</v>
      </c>
      <c r="D179" s="1067" t="s">
        <v>58</v>
      </c>
      <c r="E179" s="1067">
        <v>75</v>
      </c>
      <c r="F179" s="1067">
        <v>8</v>
      </c>
      <c r="G179" s="1067">
        <v>16</v>
      </c>
      <c r="H179" s="1067">
        <v>51</v>
      </c>
    </row>
    <row r="180" spans="1:8" x14ac:dyDescent="0.25">
      <c r="A180" s="1067" t="s">
        <v>254</v>
      </c>
      <c r="B180" s="1067" t="s">
        <v>247</v>
      </c>
      <c r="C180" s="1067" t="s">
        <v>301</v>
      </c>
      <c r="D180" s="1067" t="s">
        <v>31</v>
      </c>
      <c r="E180" s="1067">
        <v>9</v>
      </c>
      <c r="F180" s="1067">
        <v>1</v>
      </c>
      <c r="G180" s="1067">
        <v>3</v>
      </c>
      <c r="H180" s="1067">
        <v>5</v>
      </c>
    </row>
    <row r="181" spans="1:8" x14ac:dyDescent="0.25">
      <c r="A181" s="1067" t="s">
        <v>254</v>
      </c>
      <c r="B181" s="1067" t="s">
        <v>247</v>
      </c>
      <c r="C181" s="1067" t="s">
        <v>302</v>
      </c>
      <c r="D181" s="1067" t="s">
        <v>32</v>
      </c>
      <c r="E181" s="1067">
        <v>284</v>
      </c>
      <c r="F181" s="1067">
        <v>24</v>
      </c>
      <c r="G181" s="1067">
        <v>69</v>
      </c>
      <c r="H181" s="1067">
        <v>191</v>
      </c>
    </row>
    <row r="182" spans="1:8" x14ac:dyDescent="0.25">
      <c r="A182" s="1067" t="s">
        <v>254</v>
      </c>
      <c r="B182" s="1067" t="s">
        <v>247</v>
      </c>
      <c r="C182" s="1067" t="s">
        <v>303</v>
      </c>
      <c r="D182" s="1067" t="s">
        <v>34</v>
      </c>
      <c r="E182" s="1067">
        <v>176</v>
      </c>
      <c r="F182" s="1067">
        <v>14</v>
      </c>
      <c r="G182" s="1067">
        <v>25</v>
      </c>
      <c r="H182" s="1067">
        <v>137</v>
      </c>
    </row>
    <row r="183" spans="1:8" x14ac:dyDescent="0.25">
      <c r="A183" s="1067" t="s">
        <v>254</v>
      </c>
      <c r="B183" s="1067" t="s">
        <v>247</v>
      </c>
      <c r="C183" s="1067" t="s">
        <v>304</v>
      </c>
      <c r="D183" s="1067" t="s">
        <v>258</v>
      </c>
      <c r="E183" s="1067">
        <v>9</v>
      </c>
      <c r="F183" s="1067"/>
      <c r="G183" s="1067">
        <v>2</v>
      </c>
      <c r="H183" s="1067">
        <v>7</v>
      </c>
    </row>
    <row r="184" spans="1:8" x14ac:dyDescent="0.25">
      <c r="A184" s="1067" t="s">
        <v>254</v>
      </c>
      <c r="B184" s="1067" t="s">
        <v>247</v>
      </c>
      <c r="C184" s="1067" t="s">
        <v>305</v>
      </c>
      <c r="D184" s="1067" t="s">
        <v>53</v>
      </c>
      <c r="E184" s="1067">
        <v>17</v>
      </c>
      <c r="F184" s="1067">
        <v>1</v>
      </c>
      <c r="G184" s="1067">
        <v>2</v>
      </c>
      <c r="H184" s="1067">
        <v>14</v>
      </c>
    </row>
    <row r="185" spans="1:8" x14ac:dyDescent="0.25">
      <c r="A185" s="1067" t="s">
        <v>254</v>
      </c>
      <c r="B185" s="1067" t="s">
        <v>247</v>
      </c>
      <c r="C185" s="1067" t="s">
        <v>306</v>
      </c>
      <c r="D185" s="1067" t="s">
        <v>59</v>
      </c>
      <c r="E185" s="1067">
        <v>20</v>
      </c>
      <c r="F185" s="1067">
        <v>2</v>
      </c>
      <c r="G185" s="1067">
        <v>2</v>
      </c>
      <c r="H185" s="1067">
        <v>16</v>
      </c>
    </row>
    <row r="186" spans="1:8" x14ac:dyDescent="0.25">
      <c r="A186" s="1067" t="s">
        <v>254</v>
      </c>
      <c r="B186" s="1067" t="s">
        <v>247</v>
      </c>
      <c r="C186" s="1067" t="s">
        <v>307</v>
      </c>
      <c r="D186" s="1067" t="s">
        <v>60</v>
      </c>
      <c r="E186" s="1067">
        <v>59</v>
      </c>
      <c r="F186" s="1067">
        <v>5</v>
      </c>
      <c r="G186" s="1067">
        <v>11</v>
      </c>
      <c r="H186" s="1067">
        <v>43</v>
      </c>
    </row>
    <row r="187" spans="1:8" x14ac:dyDescent="0.25">
      <c r="A187" s="1067" t="s">
        <v>254</v>
      </c>
      <c r="B187" s="1067" t="s">
        <v>247</v>
      </c>
      <c r="C187" s="1067" t="s">
        <v>308</v>
      </c>
      <c r="D187" s="1067" t="s">
        <v>33</v>
      </c>
      <c r="E187" s="1067">
        <v>98</v>
      </c>
      <c r="F187" s="1067">
        <v>6</v>
      </c>
      <c r="G187" s="1067">
        <v>14</v>
      </c>
      <c r="H187" s="1067">
        <v>78</v>
      </c>
    </row>
    <row r="188" spans="1:8" x14ac:dyDescent="0.25">
      <c r="A188" s="1067" t="s">
        <v>254</v>
      </c>
      <c r="B188" s="1067" t="s">
        <v>247</v>
      </c>
      <c r="C188" s="1067" t="s">
        <v>309</v>
      </c>
      <c r="D188" s="1067" t="s">
        <v>37</v>
      </c>
      <c r="E188" s="1067">
        <v>12</v>
      </c>
      <c r="F188" s="1067">
        <v>1</v>
      </c>
      <c r="G188" s="1067">
        <v>2</v>
      </c>
      <c r="H188" s="1067">
        <v>9</v>
      </c>
    </row>
    <row r="189" spans="1:8" x14ac:dyDescent="0.25">
      <c r="A189" s="1067" t="s">
        <v>254</v>
      </c>
      <c r="B189" s="1067" t="s">
        <v>247</v>
      </c>
      <c r="C189" s="1067" t="s">
        <v>310</v>
      </c>
      <c r="D189" s="1067" t="s">
        <v>50</v>
      </c>
      <c r="E189" s="1067">
        <v>35</v>
      </c>
      <c r="F189" s="1067">
        <v>3</v>
      </c>
      <c r="G189" s="1067">
        <v>6</v>
      </c>
      <c r="H189" s="1067">
        <v>26</v>
      </c>
    </row>
    <row r="190" spans="1:8" x14ac:dyDescent="0.25">
      <c r="A190" s="1067" t="s">
        <v>254</v>
      </c>
      <c r="B190" s="1067" t="s">
        <v>247</v>
      </c>
      <c r="C190" s="1067" t="s">
        <v>313</v>
      </c>
      <c r="D190" s="1067" t="s">
        <v>43</v>
      </c>
      <c r="E190" s="1067">
        <v>116</v>
      </c>
      <c r="F190" s="1067">
        <v>9</v>
      </c>
      <c r="G190" s="1067">
        <v>21</v>
      </c>
      <c r="H190" s="1067">
        <v>86</v>
      </c>
    </row>
    <row r="191" spans="1:8" x14ac:dyDescent="0.25">
      <c r="A191" s="1067" t="s">
        <v>851</v>
      </c>
      <c r="B191" s="1067" t="s">
        <v>247</v>
      </c>
      <c r="C191" s="1067" t="s">
        <v>403</v>
      </c>
      <c r="D191" s="1067" t="s">
        <v>34</v>
      </c>
      <c r="E191" s="1067">
        <v>174</v>
      </c>
      <c r="F191" s="1067">
        <v>13</v>
      </c>
      <c r="G191" s="1067">
        <v>25</v>
      </c>
      <c r="H191" s="1067">
        <v>136</v>
      </c>
    </row>
    <row r="192" spans="1:8" x14ac:dyDescent="0.25">
      <c r="A192" s="1067" t="s">
        <v>851</v>
      </c>
      <c r="B192" s="1067" t="s">
        <v>247</v>
      </c>
      <c r="C192" s="1067" t="s">
        <v>403</v>
      </c>
      <c r="D192" s="1067" t="s">
        <v>36</v>
      </c>
      <c r="E192" s="1067">
        <v>192</v>
      </c>
      <c r="F192" s="1067">
        <v>16</v>
      </c>
      <c r="G192" s="1067">
        <v>34</v>
      </c>
      <c r="H192" s="1067">
        <v>142</v>
      </c>
    </row>
    <row r="193" spans="1:8" x14ac:dyDescent="0.25">
      <c r="A193" s="1067" t="s">
        <v>851</v>
      </c>
      <c r="B193" s="1067" t="s">
        <v>247</v>
      </c>
      <c r="C193" s="1067" t="s">
        <v>403</v>
      </c>
      <c r="D193" s="1067" t="s">
        <v>38</v>
      </c>
      <c r="E193" s="1067">
        <v>80</v>
      </c>
      <c r="F193" s="1067">
        <v>7</v>
      </c>
      <c r="G193" s="1067">
        <v>8</v>
      </c>
      <c r="H193" s="1067">
        <v>65</v>
      </c>
    </row>
    <row r="194" spans="1:8" x14ac:dyDescent="0.25">
      <c r="A194" s="1067" t="s">
        <v>851</v>
      </c>
      <c r="B194" s="1067" t="s">
        <v>247</v>
      </c>
      <c r="C194" s="1067" t="s">
        <v>403</v>
      </c>
      <c r="D194" s="1067" t="s">
        <v>45</v>
      </c>
      <c r="E194" s="1067">
        <v>42</v>
      </c>
      <c r="F194" s="1067">
        <v>3</v>
      </c>
      <c r="G194" s="1067">
        <v>6</v>
      </c>
      <c r="H194" s="1067">
        <v>33</v>
      </c>
    </row>
    <row r="195" spans="1:8" x14ac:dyDescent="0.25">
      <c r="A195" s="1067" t="s">
        <v>851</v>
      </c>
      <c r="B195" s="1067" t="s">
        <v>247</v>
      </c>
      <c r="C195" s="1067" t="s">
        <v>403</v>
      </c>
      <c r="D195" s="1067" t="s">
        <v>49</v>
      </c>
      <c r="E195" s="1067">
        <v>104</v>
      </c>
      <c r="F195" s="1067">
        <v>11</v>
      </c>
      <c r="G195" s="1067">
        <v>11</v>
      </c>
      <c r="H195" s="1067">
        <v>82</v>
      </c>
    </row>
    <row r="196" spans="1:8" x14ac:dyDescent="0.25">
      <c r="A196" s="1067" t="s">
        <v>851</v>
      </c>
      <c r="B196" s="1067" t="s">
        <v>247</v>
      </c>
      <c r="C196" s="1067" t="s">
        <v>403</v>
      </c>
      <c r="D196" s="1067" t="s">
        <v>50</v>
      </c>
      <c r="E196" s="1067">
        <v>37</v>
      </c>
      <c r="F196" s="1067">
        <v>3</v>
      </c>
      <c r="G196" s="1067">
        <v>5</v>
      </c>
      <c r="H196" s="1067">
        <v>29</v>
      </c>
    </row>
    <row r="197" spans="1:8" x14ac:dyDescent="0.25">
      <c r="A197" s="1067" t="s">
        <v>851</v>
      </c>
      <c r="B197" s="1067" t="s">
        <v>247</v>
      </c>
      <c r="C197" s="1067" t="s">
        <v>403</v>
      </c>
      <c r="D197" s="1067" t="s">
        <v>53</v>
      </c>
      <c r="E197" s="1067">
        <v>15</v>
      </c>
      <c r="F197" s="1067">
        <v>1</v>
      </c>
      <c r="G197" s="1067">
        <v>2</v>
      </c>
      <c r="H197" s="1067">
        <v>12</v>
      </c>
    </row>
    <row r="198" spans="1:8" x14ac:dyDescent="0.25">
      <c r="A198" s="1067" t="s">
        <v>851</v>
      </c>
      <c r="B198" s="1067" t="s">
        <v>247</v>
      </c>
      <c r="C198" s="1067" t="s">
        <v>403</v>
      </c>
      <c r="D198" s="1067" t="s">
        <v>56</v>
      </c>
      <c r="E198" s="1067">
        <v>55</v>
      </c>
      <c r="F198" s="1067">
        <v>5</v>
      </c>
      <c r="G198" s="1067">
        <v>8</v>
      </c>
      <c r="H198" s="1067">
        <v>42</v>
      </c>
    </row>
    <row r="199" spans="1:8" x14ac:dyDescent="0.25">
      <c r="A199" s="1067" t="s">
        <v>851</v>
      </c>
      <c r="B199" s="1067" t="s">
        <v>247</v>
      </c>
      <c r="C199" s="1067" t="s">
        <v>403</v>
      </c>
      <c r="D199" s="1067" t="s">
        <v>57</v>
      </c>
      <c r="E199" s="1067">
        <v>86</v>
      </c>
      <c r="F199" s="1067">
        <v>8</v>
      </c>
      <c r="G199" s="1067">
        <v>8</v>
      </c>
      <c r="H199" s="1067">
        <v>70</v>
      </c>
    </row>
    <row r="200" spans="1:8" x14ac:dyDescent="0.25">
      <c r="A200" s="1067" t="s">
        <v>851</v>
      </c>
      <c r="B200" s="1067" t="s">
        <v>247</v>
      </c>
      <c r="C200" s="1067" t="s">
        <v>403</v>
      </c>
      <c r="D200" s="1067" t="s">
        <v>59</v>
      </c>
      <c r="E200" s="1067">
        <v>20</v>
      </c>
      <c r="F200" s="1067">
        <v>2</v>
      </c>
      <c r="G200" s="1067">
        <v>2</v>
      </c>
      <c r="H200" s="1067">
        <v>16</v>
      </c>
    </row>
    <row r="201" spans="1:8" x14ac:dyDescent="0.25">
      <c r="A201" s="1067" t="s">
        <v>851</v>
      </c>
      <c r="B201" s="1067" t="s">
        <v>247</v>
      </c>
      <c r="C201" s="1067" t="s">
        <v>402</v>
      </c>
      <c r="D201" s="1067" t="s">
        <v>258</v>
      </c>
      <c r="E201" s="1067">
        <v>8</v>
      </c>
      <c r="F201" s="1067">
        <v>1</v>
      </c>
      <c r="G201" s="1067">
        <v>2</v>
      </c>
      <c r="H201" s="1067">
        <v>5</v>
      </c>
    </row>
    <row r="202" spans="1:8" x14ac:dyDescent="0.25">
      <c r="A202" s="1067" t="s">
        <v>851</v>
      </c>
      <c r="B202" s="1067" t="s">
        <v>247</v>
      </c>
      <c r="C202" s="1067" t="s">
        <v>402</v>
      </c>
      <c r="D202" s="1067" t="s">
        <v>35</v>
      </c>
      <c r="E202" s="1067">
        <v>25</v>
      </c>
      <c r="F202" s="1067">
        <v>3</v>
      </c>
      <c r="G202" s="1067">
        <v>5</v>
      </c>
      <c r="H202" s="1067">
        <v>17</v>
      </c>
    </row>
    <row r="203" spans="1:8" x14ac:dyDescent="0.25">
      <c r="A203" s="1067" t="s">
        <v>851</v>
      </c>
      <c r="B203" s="1067" t="s">
        <v>247</v>
      </c>
      <c r="C203" s="1067" t="s">
        <v>402</v>
      </c>
      <c r="D203" s="1067" t="s">
        <v>40</v>
      </c>
      <c r="E203" s="1067">
        <v>65</v>
      </c>
      <c r="F203" s="1067">
        <v>5</v>
      </c>
      <c r="G203" s="1067">
        <v>12</v>
      </c>
      <c r="H203" s="1067">
        <v>48</v>
      </c>
    </row>
    <row r="204" spans="1:8" x14ac:dyDescent="0.25">
      <c r="A204" s="1067" t="s">
        <v>851</v>
      </c>
      <c r="B204" s="1067" t="s">
        <v>247</v>
      </c>
      <c r="C204" s="1067" t="s">
        <v>402</v>
      </c>
      <c r="D204" s="1067" t="s">
        <v>42</v>
      </c>
      <c r="E204" s="1067">
        <v>57</v>
      </c>
      <c r="F204" s="1067">
        <v>4</v>
      </c>
      <c r="G204" s="1067">
        <v>10</v>
      </c>
      <c r="H204" s="1067">
        <v>43</v>
      </c>
    </row>
    <row r="205" spans="1:8" x14ac:dyDescent="0.25">
      <c r="A205" s="1067" t="s">
        <v>851</v>
      </c>
      <c r="B205" s="1067" t="s">
        <v>247</v>
      </c>
      <c r="C205" s="1067" t="s">
        <v>402</v>
      </c>
      <c r="D205" s="1067" t="s">
        <v>43</v>
      </c>
      <c r="E205" s="1067">
        <v>113</v>
      </c>
      <c r="F205" s="1067">
        <v>9</v>
      </c>
      <c r="G205" s="1067">
        <v>21</v>
      </c>
      <c r="H205" s="1067">
        <v>83</v>
      </c>
    </row>
    <row r="206" spans="1:8" x14ac:dyDescent="0.25">
      <c r="A206" s="1067" t="s">
        <v>851</v>
      </c>
      <c r="B206" s="1067" t="s">
        <v>247</v>
      </c>
      <c r="C206" s="1067" t="s">
        <v>402</v>
      </c>
      <c r="D206" s="1067" t="s">
        <v>46</v>
      </c>
      <c r="E206" s="1067">
        <v>13</v>
      </c>
      <c r="F206" s="1067">
        <v>1</v>
      </c>
      <c r="G206" s="1067">
        <v>2</v>
      </c>
      <c r="H206" s="1067">
        <v>10</v>
      </c>
    </row>
    <row r="207" spans="1:8" x14ac:dyDescent="0.25">
      <c r="A207" s="1067" t="s">
        <v>851</v>
      </c>
      <c r="B207" s="1067" t="s">
        <v>247</v>
      </c>
      <c r="C207" s="1067" t="s">
        <v>402</v>
      </c>
      <c r="D207" s="1067" t="s">
        <v>54</v>
      </c>
      <c r="E207" s="1067">
        <v>148</v>
      </c>
      <c r="F207" s="1067">
        <v>13</v>
      </c>
      <c r="G207" s="1067">
        <v>28</v>
      </c>
      <c r="H207" s="1067">
        <v>107</v>
      </c>
    </row>
    <row r="208" spans="1:8" x14ac:dyDescent="0.25">
      <c r="A208" s="1067" t="s">
        <v>851</v>
      </c>
      <c r="B208" s="1067" t="s">
        <v>247</v>
      </c>
      <c r="C208" s="1067" t="s">
        <v>402</v>
      </c>
      <c r="D208" s="1067" t="s">
        <v>58</v>
      </c>
      <c r="E208" s="1067">
        <v>75</v>
      </c>
      <c r="F208" s="1067">
        <v>9</v>
      </c>
      <c r="G208" s="1067">
        <v>15</v>
      </c>
      <c r="H208" s="1067">
        <v>51</v>
      </c>
    </row>
    <row r="209" spans="1:8" x14ac:dyDescent="0.25">
      <c r="A209" s="1067" t="s">
        <v>851</v>
      </c>
      <c r="B209" s="1067" t="s">
        <v>247</v>
      </c>
      <c r="C209" s="1067" t="s">
        <v>402</v>
      </c>
      <c r="D209" s="1067" t="s">
        <v>60</v>
      </c>
      <c r="E209" s="1067">
        <v>65</v>
      </c>
      <c r="F209" s="1067">
        <v>6</v>
      </c>
      <c r="G209" s="1067">
        <v>11</v>
      </c>
      <c r="H209" s="1067">
        <v>48</v>
      </c>
    </row>
    <row r="210" spans="1:8" x14ac:dyDescent="0.25">
      <c r="A210" s="1067" t="s">
        <v>851</v>
      </c>
      <c r="B210" s="1067" t="s">
        <v>247</v>
      </c>
      <c r="C210" s="1067" t="s">
        <v>404</v>
      </c>
      <c r="D210" s="1067" t="s">
        <v>31</v>
      </c>
      <c r="E210" s="1067">
        <v>8</v>
      </c>
      <c r="F210" s="1067">
        <v>1</v>
      </c>
      <c r="G210" s="1067">
        <v>3</v>
      </c>
      <c r="H210" s="1067">
        <v>4</v>
      </c>
    </row>
    <row r="211" spans="1:8" x14ac:dyDescent="0.25">
      <c r="A211" s="1067" t="s">
        <v>851</v>
      </c>
      <c r="B211" s="1067" t="s">
        <v>247</v>
      </c>
      <c r="C211" s="1067" t="s">
        <v>404</v>
      </c>
      <c r="D211" s="1067" t="s">
        <v>32</v>
      </c>
      <c r="E211" s="1067">
        <v>285</v>
      </c>
      <c r="F211" s="1067">
        <v>25</v>
      </c>
      <c r="G211" s="1067">
        <v>65</v>
      </c>
      <c r="H211" s="1067">
        <v>195</v>
      </c>
    </row>
    <row r="212" spans="1:8" x14ac:dyDescent="0.25">
      <c r="A212" s="1067" t="s">
        <v>851</v>
      </c>
      <c r="B212" s="1067" t="s">
        <v>247</v>
      </c>
      <c r="C212" s="1067" t="s">
        <v>404</v>
      </c>
      <c r="D212" s="1067" t="s">
        <v>33</v>
      </c>
      <c r="E212" s="1067">
        <v>103</v>
      </c>
      <c r="F212" s="1067">
        <v>6</v>
      </c>
      <c r="G212" s="1067">
        <v>16</v>
      </c>
      <c r="H212" s="1067">
        <v>81</v>
      </c>
    </row>
    <row r="213" spans="1:8" x14ac:dyDescent="0.25">
      <c r="A213" s="1067" t="s">
        <v>851</v>
      </c>
      <c r="B213" s="1067" t="s">
        <v>247</v>
      </c>
      <c r="C213" s="1067" t="s">
        <v>404</v>
      </c>
      <c r="D213" s="1067" t="s">
        <v>37</v>
      </c>
      <c r="E213" s="1067">
        <v>12</v>
      </c>
      <c r="F213" s="1067">
        <v>1</v>
      </c>
      <c r="G213" s="1067">
        <v>2</v>
      </c>
      <c r="H213" s="1067">
        <v>9</v>
      </c>
    </row>
    <row r="214" spans="1:8" x14ac:dyDescent="0.25">
      <c r="A214" s="1067" t="s">
        <v>851</v>
      </c>
      <c r="B214" s="1067" t="s">
        <v>247</v>
      </c>
      <c r="C214" s="1067" t="s">
        <v>404</v>
      </c>
      <c r="D214" s="1067" t="s">
        <v>44</v>
      </c>
      <c r="E214" s="1067">
        <v>525</v>
      </c>
      <c r="F214" s="1067">
        <v>53</v>
      </c>
      <c r="G214" s="1067">
        <v>94</v>
      </c>
      <c r="H214" s="1067">
        <v>378</v>
      </c>
    </row>
    <row r="215" spans="1:8" x14ac:dyDescent="0.25">
      <c r="A215" s="1067" t="s">
        <v>851</v>
      </c>
      <c r="B215" s="1067" t="s">
        <v>247</v>
      </c>
      <c r="C215" s="1067" t="s">
        <v>404</v>
      </c>
      <c r="D215" s="1067" t="s">
        <v>47</v>
      </c>
      <c r="E215" s="1067">
        <v>121</v>
      </c>
      <c r="F215" s="1067">
        <v>11</v>
      </c>
      <c r="G215" s="1067">
        <v>27</v>
      </c>
      <c r="H215" s="1067">
        <v>83</v>
      </c>
    </row>
    <row r="216" spans="1:8" x14ac:dyDescent="0.25">
      <c r="A216" s="1067" t="s">
        <v>851</v>
      </c>
      <c r="B216" s="1067" t="s">
        <v>247</v>
      </c>
      <c r="C216" s="1067" t="s">
        <v>404</v>
      </c>
      <c r="D216" s="1067" t="s">
        <v>48</v>
      </c>
      <c r="E216" s="1067">
        <v>135</v>
      </c>
      <c r="F216" s="1067">
        <v>14</v>
      </c>
      <c r="G216" s="1067">
        <v>30</v>
      </c>
      <c r="H216" s="1067">
        <v>91</v>
      </c>
    </row>
    <row r="217" spans="1:8" x14ac:dyDescent="0.25">
      <c r="A217" s="1067" t="s">
        <v>851</v>
      </c>
      <c r="B217" s="1067" t="s">
        <v>247</v>
      </c>
      <c r="C217" s="1067" t="s">
        <v>404</v>
      </c>
      <c r="D217" s="1067" t="s">
        <v>51</v>
      </c>
      <c r="E217" s="1067">
        <v>109</v>
      </c>
      <c r="F217" s="1067">
        <v>9</v>
      </c>
      <c r="G217" s="1067">
        <v>22</v>
      </c>
      <c r="H217" s="1067">
        <v>78</v>
      </c>
    </row>
    <row r="218" spans="1:8" x14ac:dyDescent="0.25">
      <c r="A218" s="1067" t="s">
        <v>851</v>
      </c>
      <c r="B218" s="1067" t="s">
        <v>247</v>
      </c>
      <c r="C218" s="1067" t="s">
        <v>404</v>
      </c>
      <c r="D218" s="1067" t="s">
        <v>52</v>
      </c>
      <c r="E218" s="1067">
        <v>131</v>
      </c>
      <c r="F218" s="1067">
        <v>10</v>
      </c>
      <c r="G218" s="1067">
        <v>22</v>
      </c>
      <c r="H218" s="1067">
        <v>99</v>
      </c>
    </row>
    <row r="219" spans="1:8" x14ac:dyDescent="0.25">
      <c r="A219" s="1067" t="s">
        <v>851</v>
      </c>
      <c r="B219" s="1067" t="s">
        <v>247</v>
      </c>
      <c r="C219" s="1067" t="s">
        <v>404</v>
      </c>
      <c r="D219" s="1067" t="s">
        <v>55</v>
      </c>
      <c r="E219" s="1067">
        <v>134</v>
      </c>
      <c r="F219" s="1067">
        <v>12</v>
      </c>
      <c r="G219" s="1067">
        <v>24</v>
      </c>
      <c r="H219" s="1067">
        <v>98</v>
      </c>
    </row>
  </sheetData>
  <sheetProtection algorithmName="SHA-512" hashValue="cMyGrZqgHrUIh+d8Y8mobDuCYvhT/7iXbcV/3IKI86xyb1P2++2BK8bFmbKTv7OcuR3Hqds02mBSZQQgB0Mwvg==" saltValue="NfY6WH49HbiD3yJIuDwQu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20"/>
  <sheetViews>
    <sheetView showGridLines="0" workbookViewId="0">
      <pane ySplit="2" topLeftCell="A3" activePane="bottomLeft" state="frozen"/>
      <selection pane="bottomLeft" sqref="A1:C1"/>
    </sheetView>
  </sheetViews>
  <sheetFormatPr defaultRowHeight="15" x14ac:dyDescent="0.25"/>
  <cols>
    <col min="1" max="1" width="11" bestFit="1" customWidth="1"/>
    <col min="2" max="2" width="24" bestFit="1" customWidth="1"/>
  </cols>
  <sheetData>
    <row r="1" spans="1:8" ht="15.75" x14ac:dyDescent="0.25">
      <c r="A1" s="1077" t="s">
        <v>590</v>
      </c>
      <c r="B1" s="1077"/>
      <c r="C1" s="1077"/>
    </row>
    <row r="2" spans="1:8" ht="15.75" x14ac:dyDescent="0.25">
      <c r="A2" s="772" t="s">
        <v>578</v>
      </c>
      <c r="B2" s="774"/>
      <c r="C2" s="774"/>
    </row>
    <row r="4" spans="1:8" ht="15.75" x14ac:dyDescent="0.25">
      <c r="A4" s="1087" t="s">
        <v>593</v>
      </c>
      <c r="B4" s="1087"/>
      <c r="C4" s="1087"/>
      <c r="D4" s="1087"/>
      <c r="E4" s="1087"/>
      <c r="F4" s="1087"/>
      <c r="G4" s="1087"/>
      <c r="H4" s="1087"/>
    </row>
    <row r="5" spans="1:8" ht="15.75" customHeight="1" x14ac:dyDescent="0.25">
      <c r="A5" s="944" t="s">
        <v>798</v>
      </c>
    </row>
    <row r="6" spans="1:8" x14ac:dyDescent="0.25">
      <c r="A6" s="944" t="s">
        <v>715</v>
      </c>
      <c r="B6" s="801" t="str">
        <f>T13cm!$E$4</f>
        <v>Wholetime</v>
      </c>
      <c r="C6" s="801">
        <f>T13cm!$E$6</f>
        <v>50</v>
      </c>
      <c r="D6" s="801"/>
      <c r="E6" s="801" t="s">
        <v>119</v>
      </c>
      <c r="F6" s="801">
        <v>74</v>
      </c>
    </row>
    <row r="7" spans="1:8" x14ac:dyDescent="0.25">
      <c r="A7" s="801"/>
      <c r="B7" s="801" t="str">
        <f>T13cm!$F$4</f>
        <v>Wholetime and Day</v>
      </c>
      <c r="C7" s="801">
        <f>T13cm!$F$6</f>
        <v>1</v>
      </c>
      <c r="D7" s="801"/>
      <c r="E7" s="801" t="s">
        <v>195</v>
      </c>
      <c r="F7" s="801">
        <v>240</v>
      </c>
    </row>
    <row r="8" spans="1:8" ht="15.75" customHeight="1" x14ac:dyDescent="0.25">
      <c r="A8" s="801"/>
      <c r="B8" s="801" t="str">
        <f>T13cm!$G$4</f>
        <v>Wholetime and Retained</v>
      </c>
      <c r="C8" s="801">
        <f>T13cm!$G$6</f>
        <v>23</v>
      </c>
      <c r="D8" s="801"/>
      <c r="E8" s="801" t="s">
        <v>29</v>
      </c>
      <c r="F8" s="801">
        <v>42</v>
      </c>
    </row>
    <row r="9" spans="1:8" x14ac:dyDescent="0.25">
      <c r="A9" s="801"/>
      <c r="B9" s="801" t="str">
        <f>T13cm!$C$4</f>
        <v>Retained</v>
      </c>
      <c r="C9" s="801">
        <f>T13cm!$C$6</f>
        <v>240</v>
      </c>
      <c r="D9" s="801"/>
      <c r="E9" s="801"/>
      <c r="F9" s="801"/>
    </row>
    <row r="10" spans="1:8" x14ac:dyDescent="0.25">
      <c r="A10" s="801"/>
      <c r="B10" s="801" t="str">
        <f>T13cm!$D$4</f>
        <v>Volunteer</v>
      </c>
      <c r="C10" s="801">
        <f>T13cm!$D$6</f>
        <v>43</v>
      </c>
      <c r="D10" s="801"/>
      <c r="E10" s="801"/>
      <c r="F10" s="801"/>
    </row>
    <row r="11" spans="1:8" x14ac:dyDescent="0.25">
      <c r="A11" s="801"/>
      <c r="B11" s="801"/>
      <c r="C11" s="801"/>
      <c r="D11" s="801"/>
      <c r="E11" s="801"/>
      <c r="F11" s="801"/>
    </row>
    <row r="12" spans="1:8" x14ac:dyDescent="0.25">
      <c r="A12" s="801"/>
      <c r="B12" s="801"/>
      <c r="C12" s="801"/>
      <c r="D12" s="801"/>
      <c r="E12" s="801"/>
      <c r="F12" s="801"/>
    </row>
    <row r="13" spans="1:8" x14ac:dyDescent="0.25">
      <c r="A13" s="801"/>
      <c r="B13" s="801" t="s">
        <v>119</v>
      </c>
      <c r="C13" s="801">
        <v>74</v>
      </c>
      <c r="D13" s="801"/>
      <c r="E13" s="801"/>
      <c r="F13" s="801"/>
    </row>
    <row r="14" spans="1:8" x14ac:dyDescent="0.25">
      <c r="A14" s="801"/>
      <c r="B14" s="801" t="s">
        <v>195</v>
      </c>
      <c r="C14" s="801">
        <v>240</v>
      </c>
      <c r="D14" s="801"/>
      <c r="E14" s="801"/>
      <c r="F14" s="801"/>
    </row>
    <row r="15" spans="1:8" x14ac:dyDescent="0.25">
      <c r="A15" s="801"/>
      <c r="B15" s="801" t="s">
        <v>29</v>
      </c>
      <c r="C15" s="801">
        <v>42</v>
      </c>
      <c r="D15" s="801"/>
      <c r="E15" s="801"/>
      <c r="F15" s="801"/>
    </row>
    <row r="16" spans="1:8" x14ac:dyDescent="0.25">
      <c r="A16" s="801"/>
      <c r="B16" s="801"/>
      <c r="C16" s="801"/>
      <c r="D16" s="801"/>
      <c r="E16" s="801"/>
      <c r="F16" s="801"/>
    </row>
    <row r="17" spans="1:6" x14ac:dyDescent="0.25">
      <c r="A17" s="801"/>
      <c r="B17" s="801"/>
      <c r="C17" s="801"/>
      <c r="D17" s="801"/>
      <c r="E17" s="801"/>
      <c r="F17" s="801"/>
    </row>
    <row r="18" spans="1:6" x14ac:dyDescent="0.25">
      <c r="A18" s="801"/>
      <c r="B18" s="801"/>
      <c r="C18" s="801"/>
      <c r="D18" s="801"/>
      <c r="E18" s="801"/>
      <c r="F18" s="801"/>
    </row>
    <row r="19" spans="1:6" x14ac:dyDescent="0.25">
      <c r="A19" s="801"/>
      <c r="B19" s="801"/>
      <c r="C19" s="801"/>
      <c r="D19" s="801"/>
      <c r="E19" s="801"/>
      <c r="F19" s="801"/>
    </row>
    <row r="20" spans="1:6" x14ac:dyDescent="0.25">
      <c r="A20" s="801"/>
      <c r="B20" s="801"/>
      <c r="C20" s="801"/>
      <c r="D20" s="801"/>
      <c r="E20" s="801"/>
      <c r="F20" s="801"/>
    </row>
  </sheetData>
  <sheetProtection algorithmName="SHA-512" hashValue="ftnD6Fb7ZLb52Tsc5FK+jXpKOKnmXxRf8Isp8Ga9ztVFNTWz+a08RyjS1nH76WGE7SzWXZefNCS9dFds7eA63A==" saltValue="tJEouLHLpd2XKgDvXdqn3w=="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zoomScale="85" zoomScaleNormal="85" workbookViewId="0">
      <pane ySplit="4" topLeftCell="A5" activePane="bottomLeft" state="frozen"/>
      <selection pane="bottomLeft"/>
    </sheetView>
  </sheetViews>
  <sheetFormatPr defaultRowHeight="15" x14ac:dyDescent="0.25"/>
  <sheetData>
    <row r="1" spans="1:11" ht="15.75" x14ac:dyDescent="0.25">
      <c r="A1" s="981" t="s">
        <v>1193</v>
      </c>
    </row>
    <row r="2" spans="1:11" x14ac:dyDescent="0.25">
      <c r="A2" s="1139">
        <v>44071</v>
      </c>
      <c r="B2" s="1140"/>
    </row>
    <row r="4" spans="1:11" x14ac:dyDescent="0.25">
      <c r="A4" s="1066" t="s">
        <v>270</v>
      </c>
      <c r="B4" s="1066" t="s">
        <v>1082</v>
      </c>
      <c r="C4" s="1066" t="s">
        <v>1083</v>
      </c>
      <c r="D4" s="1066" t="s">
        <v>257</v>
      </c>
      <c r="E4" s="1066" t="s">
        <v>26</v>
      </c>
      <c r="F4" s="1066" t="s">
        <v>18</v>
      </c>
      <c r="G4" s="1066" t="s">
        <v>19</v>
      </c>
      <c r="H4" s="1066" t="s">
        <v>20</v>
      </c>
      <c r="I4" s="1066" t="s">
        <v>21</v>
      </c>
      <c r="J4" s="1066" t="s">
        <v>22</v>
      </c>
      <c r="K4" s="1066" t="s">
        <v>80</v>
      </c>
    </row>
    <row r="5" spans="1:11" x14ac:dyDescent="0.25">
      <c r="A5" s="1067" t="s">
        <v>204</v>
      </c>
      <c r="B5" s="1067" t="s">
        <v>250</v>
      </c>
      <c r="C5" s="1067" t="s">
        <v>259</v>
      </c>
      <c r="D5" s="1067" t="s">
        <v>382</v>
      </c>
      <c r="E5" s="1067">
        <v>223</v>
      </c>
      <c r="F5" s="1071">
        <v>0</v>
      </c>
      <c r="G5" s="1067">
        <v>5</v>
      </c>
      <c r="H5" s="1067">
        <v>11</v>
      </c>
      <c r="I5" s="1067">
        <v>52</v>
      </c>
      <c r="J5" s="1067">
        <v>52</v>
      </c>
      <c r="K5" s="1067">
        <v>103</v>
      </c>
    </row>
    <row r="6" spans="1:11" x14ac:dyDescent="0.25">
      <c r="A6" s="1067" t="s">
        <v>203</v>
      </c>
      <c r="B6" s="1067" t="s">
        <v>250</v>
      </c>
      <c r="C6" s="1067" t="s">
        <v>259</v>
      </c>
      <c r="D6" s="1067" t="s">
        <v>382</v>
      </c>
      <c r="E6" s="1067">
        <v>230</v>
      </c>
      <c r="F6" s="1071">
        <v>0</v>
      </c>
      <c r="G6" s="1067">
        <v>5</v>
      </c>
      <c r="H6" s="1067">
        <v>13</v>
      </c>
      <c r="I6" s="1067">
        <v>50</v>
      </c>
      <c r="J6" s="1067">
        <v>52</v>
      </c>
      <c r="K6" s="1067">
        <v>110</v>
      </c>
    </row>
    <row r="7" spans="1:11" x14ac:dyDescent="0.25">
      <c r="A7" s="1067" t="s">
        <v>202</v>
      </c>
      <c r="B7" s="1067" t="s">
        <v>250</v>
      </c>
      <c r="C7" s="1067" t="s">
        <v>259</v>
      </c>
      <c r="D7" s="1067" t="s">
        <v>382</v>
      </c>
      <c r="E7" s="1067">
        <v>203</v>
      </c>
      <c r="F7" s="1071">
        <v>0</v>
      </c>
      <c r="G7" s="1067">
        <v>6</v>
      </c>
      <c r="H7" s="1067">
        <v>7</v>
      </c>
      <c r="I7" s="1067">
        <v>51</v>
      </c>
      <c r="J7" s="1067">
        <v>44</v>
      </c>
      <c r="K7" s="1067">
        <v>95</v>
      </c>
    </row>
    <row r="8" spans="1:11" x14ac:dyDescent="0.25">
      <c r="A8" s="1067" t="s">
        <v>273</v>
      </c>
      <c r="B8" s="1067" t="s">
        <v>250</v>
      </c>
      <c r="C8" s="1067" t="s">
        <v>259</v>
      </c>
      <c r="D8" s="1067" t="s">
        <v>382</v>
      </c>
      <c r="E8" s="1067">
        <v>165</v>
      </c>
      <c r="F8" s="1071">
        <v>0</v>
      </c>
      <c r="G8" s="1067">
        <v>5</v>
      </c>
      <c r="H8" s="1067">
        <v>8</v>
      </c>
      <c r="I8" s="1067">
        <v>41</v>
      </c>
      <c r="J8" s="1067">
        <v>31</v>
      </c>
      <c r="K8" s="1067">
        <v>80</v>
      </c>
    </row>
    <row r="9" spans="1:11" x14ac:dyDescent="0.25">
      <c r="A9" s="1067" t="s">
        <v>255</v>
      </c>
      <c r="B9" s="1067" t="s">
        <v>250</v>
      </c>
      <c r="C9" s="1067" t="s">
        <v>259</v>
      </c>
      <c r="D9" s="1067" t="s">
        <v>382</v>
      </c>
      <c r="E9" s="1067">
        <v>189</v>
      </c>
      <c r="F9" s="1071">
        <v>0</v>
      </c>
      <c r="G9" s="1067">
        <v>5</v>
      </c>
      <c r="H9" s="1067">
        <v>8</v>
      </c>
      <c r="I9" s="1067">
        <v>43</v>
      </c>
      <c r="J9" s="1067">
        <v>27</v>
      </c>
      <c r="K9" s="1067">
        <v>106</v>
      </c>
    </row>
    <row r="10" spans="1:11" x14ac:dyDescent="0.25">
      <c r="A10" s="1067" t="s">
        <v>254</v>
      </c>
      <c r="B10" s="1067" t="s">
        <v>250</v>
      </c>
      <c r="C10" s="1067" t="s">
        <v>259</v>
      </c>
      <c r="D10" s="1067" t="s">
        <v>382</v>
      </c>
      <c r="E10" s="1067">
        <v>207</v>
      </c>
      <c r="F10" s="1071">
        <v>1</v>
      </c>
      <c r="G10" s="1067">
        <v>4</v>
      </c>
      <c r="H10" s="1067">
        <v>9</v>
      </c>
      <c r="I10" s="1067">
        <v>42</v>
      </c>
      <c r="J10" s="1067">
        <v>27</v>
      </c>
      <c r="K10" s="1067">
        <v>124</v>
      </c>
    </row>
    <row r="11" spans="1:11" x14ac:dyDescent="0.25">
      <c r="A11" s="1067" t="s">
        <v>851</v>
      </c>
      <c r="B11" s="1067" t="s">
        <v>250</v>
      </c>
      <c r="C11" s="1067" t="s">
        <v>259</v>
      </c>
      <c r="D11" s="1067" t="s">
        <v>382</v>
      </c>
      <c r="E11" s="1067">
        <v>188</v>
      </c>
      <c r="F11" s="1071">
        <v>1</v>
      </c>
      <c r="G11" s="1067">
        <v>4</v>
      </c>
      <c r="H11" s="1067">
        <v>8</v>
      </c>
      <c r="I11" s="1067">
        <v>45</v>
      </c>
      <c r="J11" s="1067">
        <v>26</v>
      </c>
      <c r="K11" s="1067">
        <v>104</v>
      </c>
    </row>
  </sheetData>
  <sheetProtection algorithmName="SHA-512" hashValue="FpQWAWpczZ7kNaMYTjuB0LKf4L7SuIrj57mcTznn2X4aLjZgBrkHifbOiVs92VolfFAm5HIQ/wJGs+u4Ahw7+g==" saltValue="Cb+Y9mo0IVqn58s6C4j2V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zoomScale="85" zoomScaleNormal="85" workbookViewId="0">
      <pane ySplit="4" topLeftCell="A5" activePane="bottomLeft" state="frozen"/>
      <selection pane="bottomLeft"/>
    </sheetView>
  </sheetViews>
  <sheetFormatPr defaultRowHeight="15" x14ac:dyDescent="0.25"/>
  <sheetData>
    <row r="1" spans="1:12" ht="15.75" x14ac:dyDescent="0.25">
      <c r="A1" s="981" t="s">
        <v>1194</v>
      </c>
    </row>
    <row r="2" spans="1:12" x14ac:dyDescent="0.25">
      <c r="A2" s="1139">
        <v>44071</v>
      </c>
      <c r="B2" s="1140"/>
    </row>
    <row r="4" spans="1:12" x14ac:dyDescent="0.25">
      <c r="A4" s="1066" t="s">
        <v>270</v>
      </c>
      <c r="B4" s="1066" t="s">
        <v>1082</v>
      </c>
      <c r="C4" s="1066" t="s">
        <v>257</v>
      </c>
      <c r="D4" s="1066" t="s">
        <v>1083</v>
      </c>
      <c r="E4" s="1066" t="s">
        <v>26</v>
      </c>
      <c r="F4" s="1066" t="s">
        <v>210</v>
      </c>
      <c r="G4" s="1066" t="s">
        <v>81</v>
      </c>
      <c r="H4" s="1066" t="s">
        <v>87</v>
      </c>
      <c r="I4" s="1066" t="s">
        <v>83</v>
      </c>
      <c r="J4" s="1066" t="s">
        <v>317</v>
      </c>
      <c r="K4" s="1066" t="s">
        <v>318</v>
      </c>
      <c r="L4" s="1066" t="s">
        <v>98</v>
      </c>
    </row>
    <row r="5" spans="1:12" x14ac:dyDescent="0.25">
      <c r="A5" s="1067" t="s">
        <v>204</v>
      </c>
      <c r="B5" s="1067" t="s">
        <v>249</v>
      </c>
      <c r="C5" s="1067" t="s">
        <v>403</v>
      </c>
      <c r="D5" s="1067" t="s">
        <v>173</v>
      </c>
      <c r="E5" s="1067">
        <v>416</v>
      </c>
      <c r="F5" s="1067"/>
      <c r="G5" s="1067">
        <v>4</v>
      </c>
      <c r="H5" s="1067">
        <v>4</v>
      </c>
      <c r="I5" s="1067">
        <v>8</v>
      </c>
      <c r="J5" s="1067">
        <v>107</v>
      </c>
      <c r="K5" s="1067">
        <v>149</v>
      </c>
      <c r="L5" s="1067">
        <v>144</v>
      </c>
    </row>
    <row r="6" spans="1:12" x14ac:dyDescent="0.25">
      <c r="A6" s="1067" t="s">
        <v>204</v>
      </c>
      <c r="B6" s="1067" t="s">
        <v>249</v>
      </c>
      <c r="C6" s="1067" t="s">
        <v>402</v>
      </c>
      <c r="D6" s="1067" t="s">
        <v>174</v>
      </c>
      <c r="E6" s="1067">
        <v>175</v>
      </c>
      <c r="F6" s="1067"/>
      <c r="G6" s="1067">
        <v>6</v>
      </c>
      <c r="H6" s="1067">
        <v>2</v>
      </c>
      <c r="I6" s="1067">
        <v>7</v>
      </c>
      <c r="J6" s="1067">
        <v>46</v>
      </c>
      <c r="K6" s="1067">
        <v>66</v>
      </c>
      <c r="L6" s="1067">
        <v>48</v>
      </c>
    </row>
    <row r="7" spans="1:12" x14ac:dyDescent="0.25">
      <c r="A7" s="1067" t="s">
        <v>204</v>
      </c>
      <c r="B7" s="1067" t="s">
        <v>249</v>
      </c>
      <c r="C7" s="1067" t="s">
        <v>404</v>
      </c>
      <c r="D7" s="1067" t="s">
        <v>172</v>
      </c>
      <c r="E7" s="1067">
        <v>133</v>
      </c>
      <c r="F7" s="1067"/>
      <c r="G7" s="1067">
        <v>4</v>
      </c>
      <c r="H7" s="1067">
        <v>5</v>
      </c>
      <c r="I7" s="1067">
        <v>6</v>
      </c>
      <c r="J7" s="1067">
        <v>59</v>
      </c>
      <c r="K7" s="1067">
        <v>19</v>
      </c>
      <c r="L7" s="1067">
        <v>40</v>
      </c>
    </row>
    <row r="8" spans="1:12" x14ac:dyDescent="0.25">
      <c r="A8" s="1067" t="s">
        <v>204</v>
      </c>
      <c r="B8" s="1067" t="s">
        <v>250</v>
      </c>
      <c r="C8" s="1067" t="s">
        <v>382</v>
      </c>
      <c r="D8" s="1067" t="s">
        <v>259</v>
      </c>
      <c r="E8" s="1067">
        <v>237</v>
      </c>
      <c r="F8" s="1067"/>
      <c r="G8" s="1067">
        <v>56</v>
      </c>
      <c r="H8" s="1067">
        <v>9</v>
      </c>
      <c r="I8" s="1067">
        <v>24</v>
      </c>
      <c r="J8" s="1067">
        <v>102</v>
      </c>
      <c r="K8" s="1067">
        <v>0</v>
      </c>
      <c r="L8" s="1067">
        <v>46</v>
      </c>
    </row>
    <row r="9" spans="1:12" x14ac:dyDescent="0.25">
      <c r="A9" s="1067" t="s">
        <v>203</v>
      </c>
      <c r="B9" s="1067" t="s">
        <v>249</v>
      </c>
      <c r="C9" s="1067" t="s">
        <v>403</v>
      </c>
      <c r="D9" s="1067" t="s">
        <v>173</v>
      </c>
      <c r="E9" s="1067">
        <v>340</v>
      </c>
      <c r="F9" s="1067"/>
      <c r="G9" s="1067">
        <v>3</v>
      </c>
      <c r="H9" s="1067">
        <v>9</v>
      </c>
      <c r="I9" s="1067">
        <v>14</v>
      </c>
      <c r="J9" s="1067">
        <v>113</v>
      </c>
      <c r="K9" s="1067">
        <v>109</v>
      </c>
      <c r="L9" s="1067">
        <v>92</v>
      </c>
    </row>
    <row r="10" spans="1:12" x14ac:dyDescent="0.25">
      <c r="A10" s="1067" t="s">
        <v>203</v>
      </c>
      <c r="B10" s="1067" t="s">
        <v>249</v>
      </c>
      <c r="C10" s="1067" t="s">
        <v>402</v>
      </c>
      <c r="D10" s="1067" t="s">
        <v>174</v>
      </c>
      <c r="E10" s="1067">
        <v>163</v>
      </c>
      <c r="F10" s="1067"/>
      <c r="G10" s="1067">
        <v>3</v>
      </c>
      <c r="H10" s="1067">
        <v>7</v>
      </c>
      <c r="I10" s="1067">
        <v>12</v>
      </c>
      <c r="J10" s="1067">
        <v>48</v>
      </c>
      <c r="K10" s="1067">
        <v>65</v>
      </c>
      <c r="L10" s="1067">
        <v>28</v>
      </c>
    </row>
    <row r="11" spans="1:12" x14ac:dyDescent="0.25">
      <c r="A11" s="1067" t="s">
        <v>203</v>
      </c>
      <c r="B11" s="1067" t="s">
        <v>249</v>
      </c>
      <c r="C11" s="1067" t="s">
        <v>404</v>
      </c>
      <c r="D11" s="1067" t="s">
        <v>172</v>
      </c>
      <c r="E11" s="1067">
        <v>126</v>
      </c>
      <c r="F11" s="1067"/>
      <c r="G11" s="1067">
        <v>3</v>
      </c>
      <c r="H11" s="1067">
        <v>7</v>
      </c>
      <c r="I11" s="1067">
        <v>6</v>
      </c>
      <c r="J11" s="1067">
        <v>64</v>
      </c>
      <c r="K11" s="1067">
        <v>19</v>
      </c>
      <c r="L11" s="1067">
        <v>27</v>
      </c>
    </row>
    <row r="12" spans="1:12" x14ac:dyDescent="0.25">
      <c r="A12" s="1067" t="s">
        <v>203</v>
      </c>
      <c r="B12" s="1067" t="s">
        <v>250</v>
      </c>
      <c r="C12" s="1067" t="s">
        <v>382</v>
      </c>
      <c r="D12" s="1067" t="s">
        <v>259</v>
      </c>
      <c r="E12" s="1067">
        <v>238</v>
      </c>
      <c r="F12" s="1067">
        <v>2</v>
      </c>
      <c r="G12" s="1067">
        <v>35</v>
      </c>
      <c r="H12" s="1067">
        <v>13</v>
      </c>
      <c r="I12" s="1067">
        <v>27</v>
      </c>
      <c r="J12" s="1067">
        <v>112</v>
      </c>
      <c r="K12" s="1067">
        <v>0</v>
      </c>
      <c r="L12" s="1067">
        <v>49</v>
      </c>
    </row>
    <row r="13" spans="1:12" x14ac:dyDescent="0.25">
      <c r="A13" s="1067" t="s">
        <v>202</v>
      </c>
      <c r="B13" s="1067" t="s">
        <v>249</v>
      </c>
      <c r="C13" s="1067" t="s">
        <v>403</v>
      </c>
      <c r="D13" s="1067" t="s">
        <v>173</v>
      </c>
      <c r="E13" s="1067">
        <v>286</v>
      </c>
      <c r="F13" s="1067"/>
      <c r="G13" s="1067">
        <v>2</v>
      </c>
      <c r="H13" s="1067">
        <v>10</v>
      </c>
      <c r="I13" s="1067">
        <v>15</v>
      </c>
      <c r="J13" s="1067">
        <v>110</v>
      </c>
      <c r="K13" s="1067">
        <v>84</v>
      </c>
      <c r="L13" s="1067">
        <v>65</v>
      </c>
    </row>
    <row r="14" spans="1:12" x14ac:dyDescent="0.25">
      <c r="A14" s="1067" t="s">
        <v>202</v>
      </c>
      <c r="B14" s="1067" t="s">
        <v>249</v>
      </c>
      <c r="C14" s="1067" t="s">
        <v>402</v>
      </c>
      <c r="D14" s="1067" t="s">
        <v>174</v>
      </c>
      <c r="E14" s="1067">
        <v>124</v>
      </c>
      <c r="F14" s="1067"/>
      <c r="G14" s="1067">
        <v>3</v>
      </c>
      <c r="H14" s="1067">
        <v>5</v>
      </c>
      <c r="I14" s="1067">
        <v>13</v>
      </c>
      <c r="J14" s="1067">
        <v>35</v>
      </c>
      <c r="K14" s="1067">
        <v>56</v>
      </c>
      <c r="L14" s="1067">
        <v>12</v>
      </c>
    </row>
    <row r="15" spans="1:12" x14ac:dyDescent="0.25">
      <c r="A15" s="1067" t="s">
        <v>202</v>
      </c>
      <c r="B15" s="1067" t="s">
        <v>249</v>
      </c>
      <c r="C15" s="1067" t="s">
        <v>404</v>
      </c>
      <c r="D15" s="1067" t="s">
        <v>172</v>
      </c>
      <c r="E15" s="1067">
        <v>121</v>
      </c>
      <c r="F15" s="1067"/>
      <c r="G15" s="1067">
        <v>3</v>
      </c>
      <c r="H15" s="1067">
        <v>7</v>
      </c>
      <c r="I15" s="1067">
        <v>11</v>
      </c>
      <c r="J15" s="1067">
        <v>61</v>
      </c>
      <c r="K15" s="1067">
        <v>20</v>
      </c>
      <c r="L15" s="1067">
        <v>19</v>
      </c>
    </row>
    <row r="16" spans="1:12" x14ac:dyDescent="0.25">
      <c r="A16" s="1067" t="s">
        <v>202</v>
      </c>
      <c r="B16" s="1067" t="s">
        <v>250</v>
      </c>
      <c r="C16" s="1067" t="s">
        <v>382</v>
      </c>
      <c r="D16" s="1067" t="s">
        <v>259</v>
      </c>
      <c r="E16" s="1067">
        <v>297</v>
      </c>
      <c r="F16" s="1067">
        <v>3</v>
      </c>
      <c r="G16" s="1067">
        <v>32</v>
      </c>
      <c r="H16" s="1067">
        <v>12</v>
      </c>
      <c r="I16" s="1067">
        <v>35</v>
      </c>
      <c r="J16" s="1067">
        <v>110</v>
      </c>
      <c r="K16" s="1067">
        <v>7</v>
      </c>
      <c r="L16" s="1067">
        <v>98</v>
      </c>
    </row>
    <row r="17" spans="1:12" x14ac:dyDescent="0.25">
      <c r="A17" s="1067" t="s">
        <v>273</v>
      </c>
      <c r="B17" s="1067" t="s">
        <v>249</v>
      </c>
      <c r="C17" s="1067" t="s">
        <v>403</v>
      </c>
      <c r="D17" s="1067" t="s">
        <v>173</v>
      </c>
      <c r="E17" s="1067">
        <v>294</v>
      </c>
      <c r="F17" s="1067"/>
      <c r="G17" s="1067">
        <v>2</v>
      </c>
      <c r="H17" s="1067">
        <v>10</v>
      </c>
      <c r="I17" s="1067">
        <v>15</v>
      </c>
      <c r="J17" s="1067">
        <v>120</v>
      </c>
      <c r="K17" s="1067">
        <v>89</v>
      </c>
      <c r="L17" s="1067">
        <v>58</v>
      </c>
    </row>
    <row r="18" spans="1:12" x14ac:dyDescent="0.25">
      <c r="A18" s="1067" t="s">
        <v>273</v>
      </c>
      <c r="B18" s="1067" t="s">
        <v>249</v>
      </c>
      <c r="C18" s="1067" t="s">
        <v>402</v>
      </c>
      <c r="D18" s="1067" t="s">
        <v>174</v>
      </c>
      <c r="E18" s="1067">
        <v>142</v>
      </c>
      <c r="F18" s="1067"/>
      <c r="G18" s="1067">
        <v>3</v>
      </c>
      <c r="H18" s="1067">
        <v>5</v>
      </c>
      <c r="I18" s="1067">
        <v>13</v>
      </c>
      <c r="J18" s="1067">
        <v>48</v>
      </c>
      <c r="K18" s="1067">
        <v>54</v>
      </c>
      <c r="L18" s="1067">
        <v>19</v>
      </c>
    </row>
    <row r="19" spans="1:12" x14ac:dyDescent="0.25">
      <c r="A19" s="1067" t="s">
        <v>273</v>
      </c>
      <c r="B19" s="1067" t="s">
        <v>249</v>
      </c>
      <c r="C19" s="1067" t="s">
        <v>404</v>
      </c>
      <c r="D19" s="1067" t="s">
        <v>172</v>
      </c>
      <c r="E19" s="1067">
        <v>135</v>
      </c>
      <c r="F19" s="1067"/>
      <c r="G19" s="1067">
        <v>3</v>
      </c>
      <c r="H19" s="1067">
        <v>7</v>
      </c>
      <c r="I19" s="1067">
        <v>12</v>
      </c>
      <c r="J19" s="1067">
        <v>75</v>
      </c>
      <c r="K19" s="1067">
        <v>14</v>
      </c>
      <c r="L19" s="1067">
        <v>24</v>
      </c>
    </row>
    <row r="20" spans="1:12" x14ac:dyDescent="0.25">
      <c r="A20" s="1067" t="s">
        <v>273</v>
      </c>
      <c r="B20" s="1067" t="s">
        <v>250</v>
      </c>
      <c r="C20" s="1067" t="s">
        <v>382</v>
      </c>
      <c r="D20" s="1067" t="s">
        <v>259</v>
      </c>
      <c r="E20" s="1067">
        <v>267</v>
      </c>
      <c r="F20" s="1067">
        <v>3</v>
      </c>
      <c r="G20" s="1067">
        <v>34</v>
      </c>
      <c r="H20" s="1067">
        <v>12</v>
      </c>
      <c r="I20" s="1067">
        <v>38</v>
      </c>
      <c r="J20" s="1067">
        <v>103</v>
      </c>
      <c r="K20" s="1067">
        <v>8</v>
      </c>
      <c r="L20" s="1067">
        <v>69</v>
      </c>
    </row>
    <row r="21" spans="1:12" x14ac:dyDescent="0.25">
      <c r="A21" s="1067" t="s">
        <v>255</v>
      </c>
      <c r="B21" s="1067" t="s">
        <v>249</v>
      </c>
      <c r="C21" s="1067" t="s">
        <v>403</v>
      </c>
      <c r="D21" s="1067" t="s">
        <v>173</v>
      </c>
      <c r="E21" s="1067">
        <v>300</v>
      </c>
      <c r="F21" s="1067"/>
      <c r="G21" s="1067">
        <v>2</v>
      </c>
      <c r="H21" s="1067">
        <v>10</v>
      </c>
      <c r="I21" s="1067">
        <v>16</v>
      </c>
      <c r="J21" s="1067">
        <v>133</v>
      </c>
      <c r="K21" s="1067">
        <v>82</v>
      </c>
      <c r="L21" s="1067">
        <v>57</v>
      </c>
    </row>
    <row r="22" spans="1:12" x14ac:dyDescent="0.25">
      <c r="A22" s="1067" t="s">
        <v>255</v>
      </c>
      <c r="B22" s="1067" t="s">
        <v>249</v>
      </c>
      <c r="C22" s="1067" t="s">
        <v>402</v>
      </c>
      <c r="D22" s="1067" t="s">
        <v>174</v>
      </c>
      <c r="E22" s="1067">
        <v>128</v>
      </c>
      <c r="F22" s="1067"/>
      <c r="G22" s="1067">
        <v>3</v>
      </c>
      <c r="H22" s="1067">
        <v>3</v>
      </c>
      <c r="I22" s="1067">
        <v>11</v>
      </c>
      <c r="J22" s="1067">
        <v>45</v>
      </c>
      <c r="K22" s="1067">
        <v>49</v>
      </c>
      <c r="L22" s="1067">
        <v>17</v>
      </c>
    </row>
    <row r="23" spans="1:12" x14ac:dyDescent="0.25">
      <c r="A23" s="1067" t="s">
        <v>255</v>
      </c>
      <c r="B23" s="1067" t="s">
        <v>249</v>
      </c>
      <c r="C23" s="1067" t="s">
        <v>404</v>
      </c>
      <c r="D23" s="1067" t="s">
        <v>172</v>
      </c>
      <c r="E23" s="1067">
        <v>141</v>
      </c>
      <c r="F23" s="1067"/>
      <c r="G23" s="1067">
        <v>3</v>
      </c>
      <c r="H23" s="1067">
        <v>8</v>
      </c>
      <c r="I23" s="1067">
        <v>11</v>
      </c>
      <c r="J23" s="1067">
        <v>81</v>
      </c>
      <c r="K23" s="1067">
        <v>15</v>
      </c>
      <c r="L23" s="1067">
        <v>23</v>
      </c>
    </row>
    <row r="24" spans="1:12" x14ac:dyDescent="0.25">
      <c r="A24" s="1067" t="s">
        <v>255</v>
      </c>
      <c r="B24" s="1067" t="s">
        <v>250</v>
      </c>
      <c r="C24" s="1067" t="s">
        <v>382</v>
      </c>
      <c r="D24" s="1067" t="s">
        <v>259</v>
      </c>
      <c r="E24" s="1067">
        <v>277</v>
      </c>
      <c r="F24" s="1067">
        <v>2</v>
      </c>
      <c r="G24" s="1067">
        <v>42</v>
      </c>
      <c r="H24" s="1067">
        <v>11</v>
      </c>
      <c r="I24" s="1067">
        <v>41</v>
      </c>
      <c r="J24" s="1067">
        <v>107</v>
      </c>
      <c r="K24" s="1067">
        <v>7</v>
      </c>
      <c r="L24" s="1067">
        <v>67</v>
      </c>
    </row>
    <row r="25" spans="1:12" x14ac:dyDescent="0.25">
      <c r="A25" s="1067" t="s">
        <v>254</v>
      </c>
      <c r="B25" s="1067" t="s">
        <v>249</v>
      </c>
      <c r="C25" s="1067" t="s">
        <v>403</v>
      </c>
      <c r="D25" s="1067" t="s">
        <v>173</v>
      </c>
      <c r="E25" s="1067">
        <v>246</v>
      </c>
      <c r="F25" s="1067"/>
      <c r="G25" s="1067">
        <v>2</v>
      </c>
      <c r="H25" s="1067">
        <v>9</v>
      </c>
      <c r="I25" s="1067">
        <v>15</v>
      </c>
      <c r="J25" s="1067">
        <v>134</v>
      </c>
      <c r="K25" s="1067">
        <v>28</v>
      </c>
      <c r="L25" s="1067">
        <v>58</v>
      </c>
    </row>
    <row r="26" spans="1:12" x14ac:dyDescent="0.25">
      <c r="A26" s="1067" t="s">
        <v>254</v>
      </c>
      <c r="B26" s="1067" t="s">
        <v>249</v>
      </c>
      <c r="C26" s="1067" t="s">
        <v>402</v>
      </c>
      <c r="D26" s="1067" t="s">
        <v>174</v>
      </c>
      <c r="E26" s="1067">
        <v>102</v>
      </c>
      <c r="F26" s="1067"/>
      <c r="G26" s="1067">
        <v>2</v>
      </c>
      <c r="H26" s="1067">
        <v>4</v>
      </c>
      <c r="I26" s="1067">
        <v>11</v>
      </c>
      <c r="J26" s="1067">
        <v>49</v>
      </c>
      <c r="K26" s="1067">
        <v>18</v>
      </c>
      <c r="L26" s="1067">
        <v>18</v>
      </c>
    </row>
    <row r="27" spans="1:12" x14ac:dyDescent="0.25">
      <c r="A27" s="1067" t="s">
        <v>254</v>
      </c>
      <c r="B27" s="1067" t="s">
        <v>249</v>
      </c>
      <c r="C27" s="1067" t="s">
        <v>404</v>
      </c>
      <c r="D27" s="1067" t="s">
        <v>172</v>
      </c>
      <c r="E27" s="1067">
        <v>141</v>
      </c>
      <c r="F27" s="1067"/>
      <c r="G27" s="1067">
        <v>3</v>
      </c>
      <c r="H27" s="1067">
        <v>9</v>
      </c>
      <c r="I27" s="1067">
        <v>11</v>
      </c>
      <c r="J27" s="1067">
        <v>77</v>
      </c>
      <c r="K27" s="1067">
        <v>17</v>
      </c>
      <c r="L27" s="1067">
        <v>24</v>
      </c>
    </row>
    <row r="28" spans="1:12" x14ac:dyDescent="0.25">
      <c r="A28" s="1067" t="s">
        <v>254</v>
      </c>
      <c r="B28" s="1067" t="s">
        <v>250</v>
      </c>
      <c r="C28" s="1067" t="s">
        <v>382</v>
      </c>
      <c r="D28" s="1067" t="s">
        <v>259</v>
      </c>
      <c r="E28" s="1067">
        <v>303</v>
      </c>
      <c r="F28" s="1067">
        <v>3</v>
      </c>
      <c r="G28" s="1067">
        <v>42</v>
      </c>
      <c r="H28" s="1067">
        <v>12</v>
      </c>
      <c r="I28" s="1067">
        <v>47</v>
      </c>
      <c r="J28" s="1067">
        <v>128</v>
      </c>
      <c r="K28" s="1067">
        <v>1</v>
      </c>
      <c r="L28" s="1067">
        <v>70</v>
      </c>
    </row>
    <row r="29" spans="1:12" x14ac:dyDescent="0.25">
      <c r="A29" s="1067" t="s">
        <v>851</v>
      </c>
      <c r="B29" s="1067" t="s">
        <v>249</v>
      </c>
      <c r="C29" s="1067" t="s">
        <v>403</v>
      </c>
      <c r="D29" s="1067" t="s">
        <v>173</v>
      </c>
      <c r="E29" s="1067">
        <v>242</v>
      </c>
      <c r="F29" s="1067"/>
      <c r="G29" s="1067">
        <v>2</v>
      </c>
      <c r="H29" s="1067">
        <v>9</v>
      </c>
      <c r="I29" s="1067">
        <v>8</v>
      </c>
      <c r="J29" s="1067">
        <v>137</v>
      </c>
      <c r="K29" s="1067">
        <v>28</v>
      </c>
      <c r="L29" s="1067">
        <v>58</v>
      </c>
    </row>
    <row r="30" spans="1:12" x14ac:dyDescent="0.25">
      <c r="A30" s="1067" t="s">
        <v>851</v>
      </c>
      <c r="B30" s="1067" t="s">
        <v>249</v>
      </c>
      <c r="C30" s="1067" t="s">
        <v>402</v>
      </c>
      <c r="D30" s="1067" t="s">
        <v>174</v>
      </c>
      <c r="E30" s="1067">
        <v>95</v>
      </c>
      <c r="F30" s="1067"/>
      <c r="G30" s="1067">
        <v>2</v>
      </c>
      <c r="H30" s="1067">
        <v>5</v>
      </c>
      <c r="I30" s="1067">
        <v>6</v>
      </c>
      <c r="J30" s="1067">
        <v>45</v>
      </c>
      <c r="K30" s="1067">
        <v>18</v>
      </c>
      <c r="L30" s="1067">
        <v>19</v>
      </c>
    </row>
    <row r="31" spans="1:12" x14ac:dyDescent="0.25">
      <c r="A31" s="1067" t="s">
        <v>851</v>
      </c>
      <c r="B31" s="1067" t="s">
        <v>249</v>
      </c>
      <c r="C31" s="1067" t="s">
        <v>404</v>
      </c>
      <c r="D31" s="1067" t="s">
        <v>172</v>
      </c>
      <c r="E31" s="1067">
        <v>132</v>
      </c>
      <c r="F31" s="1067"/>
      <c r="G31" s="1067">
        <v>2</v>
      </c>
      <c r="H31" s="1067">
        <v>9</v>
      </c>
      <c r="I31" s="1067">
        <v>5</v>
      </c>
      <c r="J31" s="1067">
        <v>74</v>
      </c>
      <c r="K31" s="1067">
        <v>16</v>
      </c>
      <c r="L31" s="1067">
        <v>26</v>
      </c>
    </row>
    <row r="32" spans="1:12" x14ac:dyDescent="0.25">
      <c r="A32" s="1067" t="s">
        <v>851</v>
      </c>
      <c r="B32" s="1067" t="s">
        <v>250</v>
      </c>
      <c r="C32" s="1067" t="s">
        <v>382</v>
      </c>
      <c r="D32" s="1067" t="s">
        <v>259</v>
      </c>
      <c r="E32" s="1067">
        <v>349</v>
      </c>
      <c r="F32" s="1067">
        <v>3</v>
      </c>
      <c r="G32" s="1067">
        <v>41</v>
      </c>
      <c r="H32" s="1067">
        <v>9</v>
      </c>
      <c r="I32" s="1067">
        <v>71</v>
      </c>
      <c r="J32" s="1067">
        <v>144</v>
      </c>
      <c r="K32" s="1067">
        <v>1</v>
      </c>
      <c r="L32" s="1067">
        <v>80</v>
      </c>
    </row>
  </sheetData>
  <sheetProtection algorithmName="SHA-512" hashValue="q4XXh4cGrrQ9Pdqwf0vPujp3aC9sR6p5OrcSvRkPV0npzU5vgSmEsuG2H++5qKWr48ZLnOnrbSKOBRyGh0/XsA==" saltValue="yuHha5eNSoC2XqavELQo3w=="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4"/>
  <sheetViews>
    <sheetView zoomScale="85" zoomScaleNormal="85" workbookViewId="0">
      <pane ySplit="4" topLeftCell="A5" activePane="bottomLeft" state="frozen"/>
      <selection pane="bottomLeft"/>
    </sheetView>
  </sheetViews>
  <sheetFormatPr defaultRowHeight="15" x14ac:dyDescent="0.25"/>
  <sheetData>
    <row r="1" spans="1:8" ht="15.75" x14ac:dyDescent="0.25">
      <c r="A1" s="981" t="s">
        <v>1196</v>
      </c>
    </row>
    <row r="2" spans="1:8" x14ac:dyDescent="0.25">
      <c r="A2" s="1139">
        <v>44071</v>
      </c>
      <c r="B2" s="1140"/>
    </row>
    <row r="4" spans="1:8" x14ac:dyDescent="0.25">
      <c r="A4" s="1066" t="s">
        <v>270</v>
      </c>
      <c r="B4" s="1066" t="s">
        <v>1082</v>
      </c>
      <c r="C4" s="1066" t="s">
        <v>257</v>
      </c>
      <c r="D4" s="1066" t="s">
        <v>1083</v>
      </c>
      <c r="E4" s="1066" t="s">
        <v>26</v>
      </c>
      <c r="F4" s="1066" t="s">
        <v>21</v>
      </c>
      <c r="G4" s="1066" t="s">
        <v>22</v>
      </c>
      <c r="H4" s="1066" t="s">
        <v>23</v>
      </c>
    </row>
    <row r="5" spans="1:8" x14ac:dyDescent="0.25">
      <c r="A5" s="1067" t="s">
        <v>204</v>
      </c>
      <c r="B5" s="1067" t="s">
        <v>247</v>
      </c>
      <c r="C5" s="1067" t="s">
        <v>282</v>
      </c>
      <c r="D5" s="1067" t="s">
        <v>35</v>
      </c>
      <c r="E5" s="1067">
        <v>0</v>
      </c>
      <c r="F5" s="1067">
        <v>0</v>
      </c>
      <c r="G5" s="1067">
        <v>0</v>
      </c>
      <c r="H5" s="1067">
        <v>0</v>
      </c>
    </row>
    <row r="6" spans="1:8" x14ac:dyDescent="0.25">
      <c r="A6" s="1067" t="s">
        <v>204</v>
      </c>
      <c r="B6" s="1067" t="s">
        <v>247</v>
      </c>
      <c r="C6" s="1067" t="s">
        <v>283</v>
      </c>
      <c r="D6" s="1067" t="s">
        <v>36</v>
      </c>
      <c r="E6" s="1067">
        <v>4</v>
      </c>
      <c r="F6" s="1067">
        <v>0</v>
      </c>
      <c r="G6" s="1067">
        <v>1</v>
      </c>
      <c r="H6" s="1067">
        <v>3</v>
      </c>
    </row>
    <row r="7" spans="1:8" x14ac:dyDescent="0.25">
      <c r="A7" s="1067" t="s">
        <v>204</v>
      </c>
      <c r="B7" s="1067" t="s">
        <v>247</v>
      </c>
      <c r="C7" s="1067" t="s">
        <v>284</v>
      </c>
      <c r="D7" s="1067" t="s">
        <v>38</v>
      </c>
      <c r="E7" s="1067">
        <v>0</v>
      </c>
      <c r="F7" s="1067">
        <v>0</v>
      </c>
      <c r="G7" s="1067">
        <v>0</v>
      </c>
      <c r="H7" s="1067">
        <v>0</v>
      </c>
    </row>
    <row r="8" spans="1:8" x14ac:dyDescent="0.25">
      <c r="A8" s="1067" t="s">
        <v>204</v>
      </c>
      <c r="B8" s="1067" t="s">
        <v>247</v>
      </c>
      <c r="C8" s="1067" t="s">
        <v>285</v>
      </c>
      <c r="D8" s="1067" t="s">
        <v>40</v>
      </c>
      <c r="E8" s="1067">
        <v>0</v>
      </c>
      <c r="F8" s="1067">
        <v>0</v>
      </c>
      <c r="G8" s="1067">
        <v>0</v>
      </c>
      <c r="H8" s="1067">
        <v>0</v>
      </c>
    </row>
    <row r="9" spans="1:8" x14ac:dyDescent="0.25">
      <c r="A9" s="1067" t="s">
        <v>204</v>
      </c>
      <c r="B9" s="1067" t="s">
        <v>247</v>
      </c>
      <c r="C9" s="1067" t="s">
        <v>286</v>
      </c>
      <c r="D9" s="1067" t="s">
        <v>41</v>
      </c>
      <c r="E9" s="1067">
        <v>0</v>
      </c>
      <c r="F9" s="1067">
        <v>0</v>
      </c>
      <c r="G9" s="1067">
        <v>0</v>
      </c>
      <c r="H9" s="1067">
        <v>0</v>
      </c>
    </row>
    <row r="10" spans="1:8" x14ac:dyDescent="0.25">
      <c r="A10" s="1067" t="s">
        <v>204</v>
      </c>
      <c r="B10" s="1067" t="s">
        <v>247</v>
      </c>
      <c r="C10" s="1067" t="s">
        <v>287</v>
      </c>
      <c r="D10" s="1067" t="s">
        <v>48</v>
      </c>
      <c r="E10" s="1067">
        <v>0</v>
      </c>
      <c r="F10" s="1067">
        <v>0</v>
      </c>
      <c r="G10" s="1067">
        <v>0</v>
      </c>
      <c r="H10" s="1067">
        <v>0</v>
      </c>
    </row>
    <row r="11" spans="1:8" x14ac:dyDescent="0.25">
      <c r="A11" s="1067" t="s">
        <v>204</v>
      </c>
      <c r="B11" s="1067" t="s">
        <v>247</v>
      </c>
      <c r="C11" s="1067" t="s">
        <v>288</v>
      </c>
      <c r="D11" s="1067" t="s">
        <v>42</v>
      </c>
      <c r="E11" s="1067">
        <v>0</v>
      </c>
      <c r="F11" s="1067">
        <v>0</v>
      </c>
      <c r="G11" s="1067">
        <v>0</v>
      </c>
      <c r="H11" s="1067">
        <v>0</v>
      </c>
    </row>
    <row r="12" spans="1:8" x14ac:dyDescent="0.25">
      <c r="A12" s="1067" t="s">
        <v>204</v>
      </c>
      <c r="B12" s="1067" t="s">
        <v>247</v>
      </c>
      <c r="C12" s="1067" t="s">
        <v>289</v>
      </c>
      <c r="D12" s="1067" t="s">
        <v>44</v>
      </c>
      <c r="E12" s="1067">
        <v>72</v>
      </c>
      <c r="F12" s="1067">
        <v>8</v>
      </c>
      <c r="G12" s="1067">
        <v>13</v>
      </c>
      <c r="H12" s="1067">
        <v>51</v>
      </c>
    </row>
    <row r="13" spans="1:8" x14ac:dyDescent="0.25">
      <c r="A13" s="1067" t="s">
        <v>204</v>
      </c>
      <c r="B13" s="1067" t="s">
        <v>247</v>
      </c>
      <c r="C13" s="1067" t="s">
        <v>290</v>
      </c>
      <c r="D13" s="1067" t="s">
        <v>45</v>
      </c>
      <c r="E13" s="1067">
        <v>0</v>
      </c>
      <c r="F13" s="1067">
        <v>0</v>
      </c>
      <c r="G13" s="1067">
        <v>0</v>
      </c>
      <c r="H13" s="1067">
        <v>0</v>
      </c>
    </row>
    <row r="14" spans="1:8" x14ac:dyDescent="0.25">
      <c r="A14" s="1067" t="s">
        <v>204</v>
      </c>
      <c r="B14" s="1067" t="s">
        <v>247</v>
      </c>
      <c r="C14" s="1067" t="s">
        <v>291</v>
      </c>
      <c r="D14" s="1067" t="s">
        <v>46</v>
      </c>
      <c r="E14" s="1067">
        <v>0</v>
      </c>
      <c r="F14" s="1067">
        <v>0</v>
      </c>
      <c r="G14" s="1067">
        <v>0</v>
      </c>
      <c r="H14" s="1067">
        <v>0</v>
      </c>
    </row>
    <row r="15" spans="1:8" x14ac:dyDescent="0.25">
      <c r="A15" s="1067" t="s">
        <v>204</v>
      </c>
      <c r="B15" s="1067" t="s">
        <v>247</v>
      </c>
      <c r="C15" s="1067" t="s">
        <v>292</v>
      </c>
      <c r="D15" s="1067" t="s">
        <v>47</v>
      </c>
      <c r="E15" s="1067">
        <v>32</v>
      </c>
      <c r="F15" s="1067">
        <v>1</v>
      </c>
      <c r="G15" s="1067">
        <v>2</v>
      </c>
      <c r="H15" s="1067">
        <v>29</v>
      </c>
    </row>
    <row r="16" spans="1:8" x14ac:dyDescent="0.25">
      <c r="A16" s="1067" t="s">
        <v>204</v>
      </c>
      <c r="B16" s="1067" t="s">
        <v>247</v>
      </c>
      <c r="C16" s="1067" t="s">
        <v>293</v>
      </c>
      <c r="D16" s="1067" t="s">
        <v>49</v>
      </c>
      <c r="E16" s="1067">
        <v>21</v>
      </c>
      <c r="F16" s="1067">
        <v>0</v>
      </c>
      <c r="G16" s="1067">
        <v>6</v>
      </c>
      <c r="H16" s="1067">
        <v>15</v>
      </c>
    </row>
    <row r="17" spans="1:8" x14ac:dyDescent="0.25">
      <c r="A17" s="1067" t="s">
        <v>204</v>
      </c>
      <c r="B17" s="1067" t="s">
        <v>247</v>
      </c>
      <c r="C17" s="1067" t="s">
        <v>294</v>
      </c>
      <c r="D17" s="1067" t="s">
        <v>51</v>
      </c>
      <c r="E17" s="1067">
        <v>0</v>
      </c>
      <c r="F17" s="1067">
        <v>0</v>
      </c>
      <c r="G17" s="1067">
        <v>0</v>
      </c>
      <c r="H17" s="1067">
        <v>0</v>
      </c>
    </row>
    <row r="18" spans="1:8" x14ac:dyDescent="0.25">
      <c r="A18" s="1067" t="s">
        <v>204</v>
      </c>
      <c r="B18" s="1067" t="s">
        <v>247</v>
      </c>
      <c r="C18" s="1067" t="s">
        <v>295</v>
      </c>
      <c r="D18" s="1067" t="s">
        <v>52</v>
      </c>
      <c r="E18" s="1067">
        <v>25</v>
      </c>
      <c r="F18" s="1067">
        <v>0</v>
      </c>
      <c r="G18" s="1067">
        <v>3</v>
      </c>
      <c r="H18" s="1067">
        <v>22</v>
      </c>
    </row>
    <row r="19" spans="1:8" x14ac:dyDescent="0.25">
      <c r="A19" s="1067" t="s">
        <v>204</v>
      </c>
      <c r="B19" s="1067" t="s">
        <v>247</v>
      </c>
      <c r="C19" s="1067" t="s">
        <v>296</v>
      </c>
      <c r="D19" s="1067" t="s">
        <v>54</v>
      </c>
      <c r="E19" s="1067">
        <v>0</v>
      </c>
      <c r="F19" s="1067">
        <v>0</v>
      </c>
      <c r="G19" s="1067">
        <v>0</v>
      </c>
      <c r="H19" s="1067">
        <v>0</v>
      </c>
    </row>
    <row r="20" spans="1:8" x14ac:dyDescent="0.25">
      <c r="A20" s="1067" t="s">
        <v>204</v>
      </c>
      <c r="B20" s="1067" t="s">
        <v>247</v>
      </c>
      <c r="C20" s="1067" t="s">
        <v>297</v>
      </c>
      <c r="D20" s="1067" t="s">
        <v>55</v>
      </c>
      <c r="E20" s="1067">
        <v>0</v>
      </c>
      <c r="F20" s="1067">
        <v>0</v>
      </c>
      <c r="G20" s="1067">
        <v>0</v>
      </c>
      <c r="H20" s="1067">
        <v>0</v>
      </c>
    </row>
    <row r="21" spans="1:8" x14ac:dyDescent="0.25">
      <c r="A21" s="1067" t="s">
        <v>204</v>
      </c>
      <c r="B21" s="1067" t="s">
        <v>247</v>
      </c>
      <c r="C21" s="1067" t="s">
        <v>298</v>
      </c>
      <c r="D21" s="1067" t="s">
        <v>56</v>
      </c>
      <c r="E21" s="1067">
        <v>0</v>
      </c>
      <c r="F21" s="1067">
        <v>0</v>
      </c>
      <c r="G21" s="1067">
        <v>0</v>
      </c>
      <c r="H21" s="1067">
        <v>0</v>
      </c>
    </row>
    <row r="22" spans="1:8" x14ac:dyDescent="0.25">
      <c r="A22" s="1067" t="s">
        <v>204</v>
      </c>
      <c r="B22" s="1067" t="s">
        <v>247</v>
      </c>
      <c r="C22" s="1067" t="s">
        <v>299</v>
      </c>
      <c r="D22" s="1067" t="s">
        <v>57</v>
      </c>
      <c r="E22" s="1067">
        <v>2</v>
      </c>
      <c r="F22" s="1067">
        <v>0</v>
      </c>
      <c r="G22" s="1067">
        <v>1</v>
      </c>
      <c r="H22" s="1067">
        <v>1</v>
      </c>
    </row>
    <row r="23" spans="1:8" x14ac:dyDescent="0.25">
      <c r="A23" s="1067" t="s">
        <v>204</v>
      </c>
      <c r="B23" s="1067" t="s">
        <v>247</v>
      </c>
      <c r="C23" s="1067" t="s">
        <v>300</v>
      </c>
      <c r="D23" s="1067" t="s">
        <v>58</v>
      </c>
      <c r="E23" s="1067">
        <v>0</v>
      </c>
      <c r="F23" s="1067">
        <v>0</v>
      </c>
      <c r="G23" s="1067">
        <v>0</v>
      </c>
      <c r="H23" s="1067">
        <v>0</v>
      </c>
    </row>
    <row r="24" spans="1:8" x14ac:dyDescent="0.25">
      <c r="A24" s="1067" t="s">
        <v>204</v>
      </c>
      <c r="B24" s="1067" t="s">
        <v>247</v>
      </c>
      <c r="C24" s="1067" t="s">
        <v>301</v>
      </c>
      <c r="D24" s="1067" t="s">
        <v>31</v>
      </c>
      <c r="E24" s="1067">
        <v>0</v>
      </c>
      <c r="F24" s="1067">
        <v>0</v>
      </c>
      <c r="G24" s="1067">
        <v>0</v>
      </c>
      <c r="H24" s="1067">
        <v>0</v>
      </c>
    </row>
    <row r="25" spans="1:8" x14ac:dyDescent="0.25">
      <c r="A25" s="1067" t="s">
        <v>204</v>
      </c>
      <c r="B25" s="1067" t="s">
        <v>247</v>
      </c>
      <c r="C25" s="1067" t="s">
        <v>302</v>
      </c>
      <c r="D25" s="1067" t="s">
        <v>32</v>
      </c>
      <c r="E25" s="1067">
        <v>0</v>
      </c>
      <c r="F25" s="1067">
        <v>0</v>
      </c>
      <c r="G25" s="1067">
        <v>0</v>
      </c>
      <c r="H25" s="1067">
        <v>0</v>
      </c>
    </row>
    <row r="26" spans="1:8" x14ac:dyDescent="0.25">
      <c r="A26" s="1067" t="s">
        <v>204</v>
      </c>
      <c r="B26" s="1067" t="s">
        <v>247</v>
      </c>
      <c r="C26" s="1067" t="s">
        <v>303</v>
      </c>
      <c r="D26" s="1067" t="s">
        <v>34</v>
      </c>
      <c r="E26" s="1067">
        <v>203</v>
      </c>
      <c r="F26" s="1067">
        <v>0</v>
      </c>
      <c r="G26" s="1067">
        <v>47</v>
      </c>
      <c r="H26" s="1067">
        <v>156</v>
      </c>
    </row>
    <row r="27" spans="1:8" x14ac:dyDescent="0.25">
      <c r="A27" s="1067" t="s">
        <v>204</v>
      </c>
      <c r="B27" s="1067" t="s">
        <v>247</v>
      </c>
      <c r="C27" s="1067" t="s">
        <v>304</v>
      </c>
      <c r="D27" s="1067" t="s">
        <v>258</v>
      </c>
      <c r="E27" s="1067">
        <v>0</v>
      </c>
      <c r="F27" s="1067">
        <v>0</v>
      </c>
      <c r="G27" s="1067">
        <v>0</v>
      </c>
      <c r="H27" s="1067">
        <v>0</v>
      </c>
    </row>
    <row r="28" spans="1:8" x14ac:dyDescent="0.25">
      <c r="A28" s="1067" t="s">
        <v>204</v>
      </c>
      <c r="B28" s="1067" t="s">
        <v>247</v>
      </c>
      <c r="C28" s="1067" t="s">
        <v>305</v>
      </c>
      <c r="D28" s="1067" t="s">
        <v>53</v>
      </c>
      <c r="E28" s="1067">
        <v>0</v>
      </c>
      <c r="F28" s="1067">
        <v>0</v>
      </c>
      <c r="G28" s="1067">
        <v>0</v>
      </c>
      <c r="H28" s="1067">
        <v>0</v>
      </c>
    </row>
    <row r="29" spans="1:8" x14ac:dyDescent="0.25">
      <c r="A29" s="1067" t="s">
        <v>204</v>
      </c>
      <c r="B29" s="1067" t="s">
        <v>247</v>
      </c>
      <c r="C29" s="1067" t="s">
        <v>306</v>
      </c>
      <c r="D29" s="1067" t="s">
        <v>59</v>
      </c>
      <c r="E29" s="1067">
        <v>0</v>
      </c>
      <c r="F29" s="1067">
        <v>0</v>
      </c>
      <c r="G29" s="1067">
        <v>0</v>
      </c>
      <c r="H29" s="1067">
        <v>0</v>
      </c>
    </row>
    <row r="30" spans="1:8" x14ac:dyDescent="0.25">
      <c r="A30" s="1067" t="s">
        <v>204</v>
      </c>
      <c r="B30" s="1067" t="s">
        <v>247</v>
      </c>
      <c r="C30" s="1067" t="s">
        <v>307</v>
      </c>
      <c r="D30" s="1067" t="s">
        <v>60</v>
      </c>
      <c r="E30" s="1067">
        <v>0</v>
      </c>
      <c r="F30" s="1067">
        <v>0</v>
      </c>
      <c r="G30" s="1067">
        <v>0</v>
      </c>
      <c r="H30" s="1067">
        <v>0</v>
      </c>
    </row>
    <row r="31" spans="1:8" x14ac:dyDescent="0.25">
      <c r="A31" s="1067" t="s">
        <v>204</v>
      </c>
      <c r="B31" s="1067" t="s">
        <v>247</v>
      </c>
      <c r="C31" s="1067" t="s">
        <v>308</v>
      </c>
      <c r="D31" s="1067" t="s">
        <v>33</v>
      </c>
      <c r="E31" s="1067">
        <v>0</v>
      </c>
      <c r="F31" s="1067">
        <v>0</v>
      </c>
      <c r="G31" s="1067">
        <v>0</v>
      </c>
      <c r="H31" s="1067">
        <v>0</v>
      </c>
    </row>
    <row r="32" spans="1:8" x14ac:dyDescent="0.25">
      <c r="A32" s="1067" t="s">
        <v>204</v>
      </c>
      <c r="B32" s="1067" t="s">
        <v>247</v>
      </c>
      <c r="C32" s="1067" t="s">
        <v>309</v>
      </c>
      <c r="D32" s="1067" t="s">
        <v>37</v>
      </c>
      <c r="E32" s="1067">
        <v>0</v>
      </c>
      <c r="F32" s="1067">
        <v>0</v>
      </c>
      <c r="G32" s="1067">
        <v>0</v>
      </c>
      <c r="H32" s="1067">
        <v>0</v>
      </c>
    </row>
    <row r="33" spans="1:8" x14ac:dyDescent="0.25">
      <c r="A33" s="1067" t="s">
        <v>204</v>
      </c>
      <c r="B33" s="1067" t="s">
        <v>247</v>
      </c>
      <c r="C33" s="1067" t="s">
        <v>310</v>
      </c>
      <c r="D33" s="1067" t="s">
        <v>50</v>
      </c>
      <c r="E33" s="1067">
        <v>0</v>
      </c>
      <c r="F33" s="1067">
        <v>0</v>
      </c>
      <c r="G33" s="1067">
        <v>0</v>
      </c>
      <c r="H33" s="1067">
        <v>0</v>
      </c>
    </row>
    <row r="34" spans="1:8" x14ac:dyDescent="0.25">
      <c r="A34" s="1067" t="s">
        <v>204</v>
      </c>
      <c r="B34" s="1067" t="s">
        <v>247</v>
      </c>
      <c r="C34" s="1067" t="s">
        <v>311</v>
      </c>
      <c r="D34" s="1067" t="s">
        <v>39</v>
      </c>
      <c r="E34" s="1067">
        <v>0</v>
      </c>
      <c r="F34" s="1067">
        <v>0</v>
      </c>
      <c r="G34" s="1067">
        <v>0</v>
      </c>
      <c r="H34" s="1067">
        <v>0</v>
      </c>
    </row>
    <row r="35" spans="1:8" x14ac:dyDescent="0.25">
      <c r="A35" s="1067" t="s">
        <v>204</v>
      </c>
      <c r="B35" s="1067" t="s">
        <v>247</v>
      </c>
      <c r="C35" s="1067" t="s">
        <v>312</v>
      </c>
      <c r="D35" s="1067" t="s">
        <v>121</v>
      </c>
      <c r="E35" s="1067">
        <v>0</v>
      </c>
      <c r="F35" s="1067">
        <v>0</v>
      </c>
      <c r="G35" s="1067">
        <v>0</v>
      </c>
      <c r="H35" s="1067">
        <v>0</v>
      </c>
    </row>
    <row r="36" spans="1:8" x14ac:dyDescent="0.25">
      <c r="A36" s="1067" t="s">
        <v>204</v>
      </c>
      <c r="B36" s="1067" t="s">
        <v>247</v>
      </c>
      <c r="C36" s="1067" t="s">
        <v>313</v>
      </c>
      <c r="D36" s="1067" t="s">
        <v>43</v>
      </c>
      <c r="E36" s="1067">
        <v>0</v>
      </c>
      <c r="F36" s="1067">
        <v>0</v>
      </c>
      <c r="G36" s="1067">
        <v>0</v>
      </c>
      <c r="H36" s="1067">
        <v>0</v>
      </c>
    </row>
    <row r="37" spans="1:8" x14ac:dyDescent="0.25">
      <c r="A37" s="1067" t="s">
        <v>203</v>
      </c>
      <c r="B37" s="1067" t="s">
        <v>247</v>
      </c>
      <c r="C37" s="1067" t="s">
        <v>282</v>
      </c>
      <c r="D37" s="1067" t="s">
        <v>35</v>
      </c>
      <c r="E37" s="1067">
        <v>0</v>
      </c>
      <c r="F37" s="1067">
        <v>0</v>
      </c>
      <c r="G37" s="1067">
        <v>0</v>
      </c>
      <c r="H37" s="1067">
        <v>0</v>
      </c>
    </row>
    <row r="38" spans="1:8" x14ac:dyDescent="0.25">
      <c r="A38" s="1067" t="s">
        <v>203</v>
      </c>
      <c r="B38" s="1067" t="s">
        <v>247</v>
      </c>
      <c r="C38" s="1067" t="s">
        <v>283</v>
      </c>
      <c r="D38" s="1067" t="s">
        <v>36</v>
      </c>
      <c r="E38" s="1067">
        <v>3</v>
      </c>
      <c r="F38" s="1067">
        <v>0</v>
      </c>
      <c r="G38" s="1067">
        <v>1</v>
      </c>
      <c r="H38" s="1067">
        <v>2</v>
      </c>
    </row>
    <row r="39" spans="1:8" x14ac:dyDescent="0.25">
      <c r="A39" s="1067" t="s">
        <v>203</v>
      </c>
      <c r="B39" s="1067" t="s">
        <v>247</v>
      </c>
      <c r="C39" s="1067" t="s">
        <v>284</v>
      </c>
      <c r="D39" s="1067" t="s">
        <v>38</v>
      </c>
      <c r="E39" s="1067">
        <v>0</v>
      </c>
      <c r="F39" s="1067">
        <v>0</v>
      </c>
      <c r="G39" s="1067">
        <v>0</v>
      </c>
      <c r="H39" s="1067">
        <v>0</v>
      </c>
    </row>
    <row r="40" spans="1:8" x14ac:dyDescent="0.25">
      <c r="A40" s="1067" t="s">
        <v>203</v>
      </c>
      <c r="B40" s="1067" t="s">
        <v>247</v>
      </c>
      <c r="C40" s="1067" t="s">
        <v>285</v>
      </c>
      <c r="D40" s="1067" t="s">
        <v>40</v>
      </c>
      <c r="E40" s="1067">
        <v>0</v>
      </c>
      <c r="F40" s="1067">
        <v>0</v>
      </c>
      <c r="G40" s="1067">
        <v>0</v>
      </c>
      <c r="H40" s="1067">
        <v>0</v>
      </c>
    </row>
    <row r="41" spans="1:8" x14ac:dyDescent="0.25">
      <c r="A41" s="1067" t="s">
        <v>203</v>
      </c>
      <c r="B41" s="1067" t="s">
        <v>247</v>
      </c>
      <c r="C41" s="1067" t="s">
        <v>286</v>
      </c>
      <c r="D41" s="1067" t="s">
        <v>41</v>
      </c>
      <c r="E41" s="1067">
        <v>0</v>
      </c>
      <c r="F41" s="1067">
        <v>0</v>
      </c>
      <c r="G41" s="1067">
        <v>0</v>
      </c>
      <c r="H41" s="1067">
        <v>0</v>
      </c>
    </row>
    <row r="42" spans="1:8" x14ac:dyDescent="0.25">
      <c r="A42" s="1067" t="s">
        <v>203</v>
      </c>
      <c r="B42" s="1067" t="s">
        <v>247</v>
      </c>
      <c r="C42" s="1067" t="s">
        <v>287</v>
      </c>
      <c r="D42" s="1067" t="s">
        <v>48</v>
      </c>
      <c r="E42" s="1067">
        <v>0</v>
      </c>
      <c r="F42" s="1067">
        <v>0</v>
      </c>
      <c r="G42" s="1067">
        <v>0</v>
      </c>
      <c r="H42" s="1067">
        <v>0</v>
      </c>
    </row>
    <row r="43" spans="1:8" x14ac:dyDescent="0.25">
      <c r="A43" s="1067" t="s">
        <v>203</v>
      </c>
      <c r="B43" s="1067" t="s">
        <v>247</v>
      </c>
      <c r="C43" s="1067" t="s">
        <v>288</v>
      </c>
      <c r="D43" s="1067" t="s">
        <v>42</v>
      </c>
      <c r="E43" s="1067">
        <v>0</v>
      </c>
      <c r="F43" s="1067">
        <v>0</v>
      </c>
      <c r="G43" s="1067">
        <v>0</v>
      </c>
      <c r="H43" s="1067">
        <v>0</v>
      </c>
    </row>
    <row r="44" spans="1:8" x14ac:dyDescent="0.25">
      <c r="A44" s="1067" t="s">
        <v>203</v>
      </c>
      <c r="B44" s="1067" t="s">
        <v>247</v>
      </c>
      <c r="C44" s="1067" t="s">
        <v>289</v>
      </c>
      <c r="D44" s="1067" t="s">
        <v>44</v>
      </c>
      <c r="E44" s="1067">
        <v>69</v>
      </c>
      <c r="F44" s="1067">
        <v>8</v>
      </c>
      <c r="G44" s="1067">
        <v>12</v>
      </c>
      <c r="H44" s="1067">
        <v>49</v>
      </c>
    </row>
    <row r="45" spans="1:8" x14ac:dyDescent="0.25">
      <c r="A45" s="1067" t="s">
        <v>203</v>
      </c>
      <c r="B45" s="1067" t="s">
        <v>247</v>
      </c>
      <c r="C45" s="1067" t="s">
        <v>290</v>
      </c>
      <c r="D45" s="1067" t="s">
        <v>45</v>
      </c>
      <c r="E45" s="1067">
        <v>0</v>
      </c>
      <c r="F45" s="1067">
        <v>0</v>
      </c>
      <c r="G45" s="1067">
        <v>0</v>
      </c>
      <c r="H45" s="1067">
        <v>0</v>
      </c>
    </row>
    <row r="46" spans="1:8" x14ac:dyDescent="0.25">
      <c r="A46" s="1067" t="s">
        <v>203</v>
      </c>
      <c r="B46" s="1067" t="s">
        <v>247</v>
      </c>
      <c r="C46" s="1067" t="s">
        <v>291</v>
      </c>
      <c r="D46" s="1067" t="s">
        <v>46</v>
      </c>
      <c r="E46" s="1067">
        <v>0</v>
      </c>
      <c r="F46" s="1067">
        <v>0</v>
      </c>
      <c r="G46" s="1067">
        <v>0</v>
      </c>
      <c r="H46" s="1067">
        <v>0</v>
      </c>
    </row>
    <row r="47" spans="1:8" x14ac:dyDescent="0.25">
      <c r="A47" s="1067" t="s">
        <v>203</v>
      </c>
      <c r="B47" s="1067" t="s">
        <v>247</v>
      </c>
      <c r="C47" s="1067" t="s">
        <v>292</v>
      </c>
      <c r="D47" s="1067" t="s">
        <v>47</v>
      </c>
      <c r="E47" s="1067">
        <v>25</v>
      </c>
      <c r="F47" s="1067">
        <v>1</v>
      </c>
      <c r="G47" s="1067">
        <v>2</v>
      </c>
      <c r="H47" s="1067">
        <v>22</v>
      </c>
    </row>
    <row r="48" spans="1:8" x14ac:dyDescent="0.25">
      <c r="A48" s="1067" t="s">
        <v>203</v>
      </c>
      <c r="B48" s="1067" t="s">
        <v>247</v>
      </c>
      <c r="C48" s="1067" t="s">
        <v>293</v>
      </c>
      <c r="D48" s="1067" t="s">
        <v>49</v>
      </c>
      <c r="E48" s="1067">
        <v>26</v>
      </c>
      <c r="F48" s="1067">
        <v>3</v>
      </c>
      <c r="G48" s="1067">
        <v>3</v>
      </c>
      <c r="H48" s="1067">
        <v>20</v>
      </c>
    </row>
    <row r="49" spans="1:8" x14ac:dyDescent="0.25">
      <c r="A49" s="1067" t="s">
        <v>203</v>
      </c>
      <c r="B49" s="1067" t="s">
        <v>247</v>
      </c>
      <c r="C49" s="1067" t="s">
        <v>294</v>
      </c>
      <c r="D49" s="1067" t="s">
        <v>51</v>
      </c>
      <c r="E49" s="1067">
        <v>1</v>
      </c>
      <c r="F49" s="1067">
        <v>0</v>
      </c>
      <c r="G49" s="1067">
        <v>1</v>
      </c>
      <c r="H49" s="1067">
        <v>0</v>
      </c>
    </row>
    <row r="50" spans="1:8" x14ac:dyDescent="0.25">
      <c r="A50" s="1067" t="s">
        <v>203</v>
      </c>
      <c r="B50" s="1067" t="s">
        <v>247</v>
      </c>
      <c r="C50" s="1067" t="s">
        <v>295</v>
      </c>
      <c r="D50" s="1067" t="s">
        <v>52</v>
      </c>
      <c r="E50" s="1067">
        <v>24</v>
      </c>
      <c r="F50" s="1067">
        <v>0</v>
      </c>
      <c r="G50" s="1067">
        <v>5</v>
      </c>
      <c r="H50" s="1067">
        <v>19</v>
      </c>
    </row>
    <row r="51" spans="1:8" x14ac:dyDescent="0.25">
      <c r="A51" s="1067" t="s">
        <v>203</v>
      </c>
      <c r="B51" s="1067" t="s">
        <v>247</v>
      </c>
      <c r="C51" s="1067" t="s">
        <v>296</v>
      </c>
      <c r="D51" s="1067" t="s">
        <v>54</v>
      </c>
      <c r="E51" s="1067">
        <v>0</v>
      </c>
      <c r="F51" s="1067">
        <v>0</v>
      </c>
      <c r="G51" s="1067">
        <v>0</v>
      </c>
      <c r="H51" s="1067">
        <v>0</v>
      </c>
    </row>
    <row r="52" spans="1:8" x14ac:dyDescent="0.25">
      <c r="A52" s="1067" t="s">
        <v>203</v>
      </c>
      <c r="B52" s="1067" t="s">
        <v>247</v>
      </c>
      <c r="C52" s="1067" t="s">
        <v>297</v>
      </c>
      <c r="D52" s="1067" t="s">
        <v>55</v>
      </c>
      <c r="E52" s="1067">
        <v>1</v>
      </c>
      <c r="F52" s="1067">
        <v>0</v>
      </c>
      <c r="G52" s="1067">
        <v>0</v>
      </c>
      <c r="H52" s="1067">
        <v>1</v>
      </c>
    </row>
    <row r="53" spans="1:8" x14ac:dyDescent="0.25">
      <c r="A53" s="1067" t="s">
        <v>203</v>
      </c>
      <c r="B53" s="1067" t="s">
        <v>247</v>
      </c>
      <c r="C53" s="1067" t="s">
        <v>298</v>
      </c>
      <c r="D53" s="1067" t="s">
        <v>56</v>
      </c>
      <c r="E53" s="1067">
        <v>0</v>
      </c>
      <c r="F53" s="1067">
        <v>0</v>
      </c>
      <c r="G53" s="1067">
        <v>0</v>
      </c>
      <c r="H53" s="1067">
        <v>0</v>
      </c>
    </row>
    <row r="54" spans="1:8" x14ac:dyDescent="0.25">
      <c r="A54" s="1067" t="s">
        <v>203</v>
      </c>
      <c r="B54" s="1067" t="s">
        <v>247</v>
      </c>
      <c r="C54" s="1067" t="s">
        <v>299</v>
      </c>
      <c r="D54" s="1067" t="s">
        <v>57</v>
      </c>
      <c r="E54" s="1067">
        <v>4</v>
      </c>
      <c r="F54" s="1067">
        <v>1</v>
      </c>
      <c r="G54" s="1067"/>
      <c r="H54" s="1067">
        <v>3</v>
      </c>
    </row>
    <row r="55" spans="1:8" x14ac:dyDescent="0.25">
      <c r="A55" s="1067" t="s">
        <v>203</v>
      </c>
      <c r="B55" s="1067" t="s">
        <v>247</v>
      </c>
      <c r="C55" s="1067" t="s">
        <v>300</v>
      </c>
      <c r="D55" s="1067" t="s">
        <v>58</v>
      </c>
      <c r="E55" s="1067">
        <v>0</v>
      </c>
      <c r="F55" s="1067">
        <v>0</v>
      </c>
      <c r="G55" s="1067">
        <v>0</v>
      </c>
      <c r="H55" s="1067">
        <v>0</v>
      </c>
    </row>
    <row r="56" spans="1:8" x14ac:dyDescent="0.25">
      <c r="A56" s="1067" t="s">
        <v>203</v>
      </c>
      <c r="B56" s="1067" t="s">
        <v>247</v>
      </c>
      <c r="C56" s="1067" t="s">
        <v>301</v>
      </c>
      <c r="D56" s="1067" t="s">
        <v>31</v>
      </c>
      <c r="E56" s="1067">
        <v>0</v>
      </c>
      <c r="F56" s="1067">
        <v>0</v>
      </c>
      <c r="G56" s="1067">
        <v>0</v>
      </c>
      <c r="H56" s="1067">
        <v>0</v>
      </c>
    </row>
    <row r="57" spans="1:8" x14ac:dyDescent="0.25">
      <c r="A57" s="1067" t="s">
        <v>203</v>
      </c>
      <c r="B57" s="1067" t="s">
        <v>247</v>
      </c>
      <c r="C57" s="1067" t="s">
        <v>302</v>
      </c>
      <c r="D57" s="1067" t="s">
        <v>32</v>
      </c>
      <c r="E57" s="1067">
        <v>0</v>
      </c>
      <c r="F57" s="1067">
        <v>0</v>
      </c>
      <c r="G57" s="1067">
        <v>0</v>
      </c>
      <c r="H57" s="1067">
        <v>0</v>
      </c>
    </row>
    <row r="58" spans="1:8" x14ac:dyDescent="0.25">
      <c r="A58" s="1067" t="s">
        <v>203</v>
      </c>
      <c r="B58" s="1067" t="s">
        <v>247</v>
      </c>
      <c r="C58" s="1067" t="s">
        <v>303</v>
      </c>
      <c r="D58" s="1067" t="s">
        <v>34</v>
      </c>
      <c r="E58" s="1067">
        <v>225</v>
      </c>
      <c r="F58" s="1067">
        <v>25</v>
      </c>
      <c r="G58" s="1067">
        <v>20</v>
      </c>
      <c r="H58" s="1067">
        <v>180</v>
      </c>
    </row>
    <row r="59" spans="1:8" x14ac:dyDescent="0.25">
      <c r="A59" s="1067" t="s">
        <v>203</v>
      </c>
      <c r="B59" s="1067" t="s">
        <v>247</v>
      </c>
      <c r="C59" s="1067" t="s">
        <v>304</v>
      </c>
      <c r="D59" s="1067" t="s">
        <v>258</v>
      </c>
      <c r="E59" s="1067">
        <v>0</v>
      </c>
      <c r="F59" s="1067">
        <v>0</v>
      </c>
      <c r="G59" s="1067">
        <v>0</v>
      </c>
      <c r="H59" s="1067">
        <v>0</v>
      </c>
    </row>
    <row r="60" spans="1:8" x14ac:dyDescent="0.25">
      <c r="A60" s="1067" t="s">
        <v>203</v>
      </c>
      <c r="B60" s="1067" t="s">
        <v>247</v>
      </c>
      <c r="C60" s="1067" t="s">
        <v>305</v>
      </c>
      <c r="D60" s="1067" t="s">
        <v>53</v>
      </c>
      <c r="E60" s="1067">
        <v>0</v>
      </c>
      <c r="F60" s="1067">
        <v>0</v>
      </c>
      <c r="G60" s="1067">
        <v>0</v>
      </c>
      <c r="H60" s="1067">
        <v>0</v>
      </c>
    </row>
    <row r="61" spans="1:8" x14ac:dyDescent="0.25">
      <c r="A61" s="1067" t="s">
        <v>203</v>
      </c>
      <c r="B61" s="1067" t="s">
        <v>247</v>
      </c>
      <c r="C61" s="1067" t="s">
        <v>306</v>
      </c>
      <c r="D61" s="1067" t="s">
        <v>59</v>
      </c>
      <c r="E61" s="1067">
        <v>0</v>
      </c>
      <c r="F61" s="1067">
        <v>0</v>
      </c>
      <c r="G61" s="1067">
        <v>0</v>
      </c>
      <c r="H61" s="1067">
        <v>0</v>
      </c>
    </row>
    <row r="62" spans="1:8" x14ac:dyDescent="0.25">
      <c r="A62" s="1067" t="s">
        <v>203</v>
      </c>
      <c r="B62" s="1067" t="s">
        <v>247</v>
      </c>
      <c r="C62" s="1067" t="s">
        <v>307</v>
      </c>
      <c r="D62" s="1067" t="s">
        <v>60</v>
      </c>
      <c r="E62" s="1067">
        <v>0</v>
      </c>
      <c r="F62" s="1067">
        <v>0</v>
      </c>
      <c r="G62" s="1067">
        <v>0</v>
      </c>
      <c r="H62" s="1067">
        <v>0</v>
      </c>
    </row>
    <row r="63" spans="1:8" x14ac:dyDescent="0.25">
      <c r="A63" s="1067" t="s">
        <v>203</v>
      </c>
      <c r="B63" s="1067" t="s">
        <v>247</v>
      </c>
      <c r="C63" s="1067" t="s">
        <v>308</v>
      </c>
      <c r="D63" s="1067" t="s">
        <v>33</v>
      </c>
      <c r="E63" s="1067">
        <v>0</v>
      </c>
      <c r="F63" s="1067">
        <v>0</v>
      </c>
      <c r="G63" s="1067">
        <v>0</v>
      </c>
      <c r="H63" s="1067">
        <v>0</v>
      </c>
    </row>
    <row r="64" spans="1:8" x14ac:dyDescent="0.25">
      <c r="A64" s="1067" t="s">
        <v>203</v>
      </c>
      <c r="B64" s="1067" t="s">
        <v>247</v>
      </c>
      <c r="C64" s="1067" t="s">
        <v>309</v>
      </c>
      <c r="D64" s="1067" t="s">
        <v>37</v>
      </c>
      <c r="E64" s="1067">
        <v>0</v>
      </c>
      <c r="F64" s="1067">
        <v>0</v>
      </c>
      <c r="G64" s="1067">
        <v>0</v>
      </c>
      <c r="H64" s="1067">
        <v>0</v>
      </c>
    </row>
    <row r="65" spans="1:8" x14ac:dyDescent="0.25">
      <c r="A65" s="1067" t="s">
        <v>203</v>
      </c>
      <c r="B65" s="1067" t="s">
        <v>247</v>
      </c>
      <c r="C65" s="1067" t="s">
        <v>310</v>
      </c>
      <c r="D65" s="1067" t="s">
        <v>50</v>
      </c>
      <c r="E65" s="1067">
        <v>0</v>
      </c>
      <c r="F65" s="1067">
        <v>0</v>
      </c>
      <c r="G65" s="1067">
        <v>0</v>
      </c>
      <c r="H65" s="1067">
        <v>0</v>
      </c>
    </row>
    <row r="66" spans="1:8" x14ac:dyDescent="0.25">
      <c r="A66" s="1067" t="s">
        <v>203</v>
      </c>
      <c r="B66" s="1067" t="s">
        <v>247</v>
      </c>
      <c r="C66" s="1067" t="s">
        <v>311</v>
      </c>
      <c r="D66" s="1067" t="s">
        <v>39</v>
      </c>
      <c r="E66" s="1067">
        <v>0</v>
      </c>
      <c r="F66" s="1067">
        <v>0</v>
      </c>
      <c r="G66" s="1067">
        <v>0</v>
      </c>
      <c r="H66" s="1067">
        <v>0</v>
      </c>
    </row>
    <row r="67" spans="1:8" x14ac:dyDescent="0.25">
      <c r="A67" s="1067" t="s">
        <v>203</v>
      </c>
      <c r="B67" s="1067" t="s">
        <v>247</v>
      </c>
      <c r="C67" s="1067" t="s">
        <v>312</v>
      </c>
      <c r="D67" s="1067" t="s">
        <v>121</v>
      </c>
      <c r="E67" s="1067">
        <v>0</v>
      </c>
      <c r="F67" s="1067">
        <v>0</v>
      </c>
      <c r="G67" s="1067">
        <v>0</v>
      </c>
      <c r="H67" s="1067">
        <v>0</v>
      </c>
    </row>
    <row r="68" spans="1:8" x14ac:dyDescent="0.25">
      <c r="A68" s="1067" t="s">
        <v>203</v>
      </c>
      <c r="B68" s="1067" t="s">
        <v>247</v>
      </c>
      <c r="C68" s="1067" t="s">
        <v>313</v>
      </c>
      <c r="D68" s="1067" t="s">
        <v>43</v>
      </c>
      <c r="E68" s="1067">
        <v>0</v>
      </c>
      <c r="F68" s="1067">
        <v>0</v>
      </c>
      <c r="G68" s="1067">
        <v>0</v>
      </c>
      <c r="H68" s="1067">
        <v>0</v>
      </c>
    </row>
    <row r="69" spans="1:8" x14ac:dyDescent="0.25">
      <c r="A69" s="1067" t="s">
        <v>202</v>
      </c>
      <c r="B69" s="1067" t="s">
        <v>247</v>
      </c>
      <c r="C69" s="1067" t="s">
        <v>282</v>
      </c>
      <c r="D69" s="1067" t="s">
        <v>35</v>
      </c>
      <c r="E69" s="1067">
        <v>0</v>
      </c>
      <c r="F69" s="1067">
        <v>0</v>
      </c>
      <c r="G69" s="1067">
        <v>0</v>
      </c>
      <c r="H69" s="1067">
        <v>0</v>
      </c>
    </row>
    <row r="70" spans="1:8" x14ac:dyDescent="0.25">
      <c r="A70" s="1067" t="s">
        <v>202</v>
      </c>
      <c r="B70" s="1067" t="s">
        <v>247</v>
      </c>
      <c r="C70" s="1067" t="s">
        <v>283</v>
      </c>
      <c r="D70" s="1067" t="s">
        <v>36</v>
      </c>
      <c r="E70" s="1067">
        <v>5</v>
      </c>
      <c r="F70" s="1067">
        <v>1</v>
      </c>
      <c r="G70" s="1067">
        <v>1</v>
      </c>
      <c r="H70" s="1067">
        <v>3</v>
      </c>
    </row>
    <row r="71" spans="1:8" x14ac:dyDescent="0.25">
      <c r="A71" s="1067" t="s">
        <v>202</v>
      </c>
      <c r="B71" s="1067" t="s">
        <v>247</v>
      </c>
      <c r="C71" s="1067" t="s">
        <v>284</v>
      </c>
      <c r="D71" s="1067" t="s">
        <v>38</v>
      </c>
      <c r="E71" s="1067">
        <v>0</v>
      </c>
      <c r="F71" s="1067">
        <v>0</v>
      </c>
      <c r="G71" s="1067">
        <v>0</v>
      </c>
      <c r="H71" s="1067">
        <v>0</v>
      </c>
    </row>
    <row r="72" spans="1:8" x14ac:dyDescent="0.25">
      <c r="A72" s="1067" t="s">
        <v>202</v>
      </c>
      <c r="B72" s="1067" t="s">
        <v>247</v>
      </c>
      <c r="C72" s="1067" t="s">
        <v>285</v>
      </c>
      <c r="D72" s="1067" t="s">
        <v>40</v>
      </c>
      <c r="E72" s="1067">
        <v>0</v>
      </c>
      <c r="F72" s="1067">
        <v>0</v>
      </c>
      <c r="G72" s="1067">
        <v>0</v>
      </c>
      <c r="H72" s="1067">
        <v>0</v>
      </c>
    </row>
    <row r="73" spans="1:8" x14ac:dyDescent="0.25">
      <c r="A73" s="1067" t="s">
        <v>202</v>
      </c>
      <c r="B73" s="1067" t="s">
        <v>247</v>
      </c>
      <c r="C73" s="1067" t="s">
        <v>286</v>
      </c>
      <c r="D73" s="1067" t="s">
        <v>41</v>
      </c>
      <c r="E73" s="1067">
        <v>0</v>
      </c>
      <c r="F73" s="1067">
        <v>0</v>
      </c>
      <c r="G73" s="1067">
        <v>0</v>
      </c>
      <c r="H73" s="1067">
        <v>0</v>
      </c>
    </row>
    <row r="74" spans="1:8" x14ac:dyDescent="0.25">
      <c r="A74" s="1067" t="s">
        <v>202</v>
      </c>
      <c r="B74" s="1067" t="s">
        <v>247</v>
      </c>
      <c r="C74" s="1067" t="s">
        <v>287</v>
      </c>
      <c r="D74" s="1067" t="s">
        <v>48</v>
      </c>
      <c r="E74" s="1067">
        <v>0</v>
      </c>
      <c r="F74" s="1067">
        <v>0</v>
      </c>
      <c r="G74" s="1067">
        <v>0</v>
      </c>
      <c r="H74" s="1067">
        <v>0</v>
      </c>
    </row>
    <row r="75" spans="1:8" x14ac:dyDescent="0.25">
      <c r="A75" s="1067" t="s">
        <v>202</v>
      </c>
      <c r="B75" s="1067" t="s">
        <v>247</v>
      </c>
      <c r="C75" s="1067" t="s">
        <v>288</v>
      </c>
      <c r="D75" s="1067" t="s">
        <v>42</v>
      </c>
      <c r="E75" s="1067">
        <v>0</v>
      </c>
      <c r="F75" s="1067">
        <v>0</v>
      </c>
      <c r="G75" s="1067">
        <v>0</v>
      </c>
      <c r="H75" s="1067">
        <v>0</v>
      </c>
    </row>
    <row r="76" spans="1:8" x14ac:dyDescent="0.25">
      <c r="A76" s="1067" t="s">
        <v>202</v>
      </c>
      <c r="B76" s="1067" t="s">
        <v>247</v>
      </c>
      <c r="C76" s="1067" t="s">
        <v>289</v>
      </c>
      <c r="D76" s="1067" t="s">
        <v>44</v>
      </c>
      <c r="E76" s="1067">
        <v>68</v>
      </c>
      <c r="F76" s="1067">
        <v>8</v>
      </c>
      <c r="G76" s="1067">
        <v>14</v>
      </c>
      <c r="H76" s="1067">
        <v>46</v>
      </c>
    </row>
    <row r="77" spans="1:8" x14ac:dyDescent="0.25">
      <c r="A77" s="1067" t="s">
        <v>202</v>
      </c>
      <c r="B77" s="1067" t="s">
        <v>247</v>
      </c>
      <c r="C77" s="1067" t="s">
        <v>290</v>
      </c>
      <c r="D77" s="1067" t="s">
        <v>45</v>
      </c>
      <c r="E77" s="1067">
        <v>0</v>
      </c>
      <c r="F77" s="1067">
        <v>0</v>
      </c>
      <c r="G77" s="1067">
        <v>0</v>
      </c>
      <c r="H77" s="1067">
        <v>0</v>
      </c>
    </row>
    <row r="78" spans="1:8" x14ac:dyDescent="0.25">
      <c r="A78" s="1067" t="s">
        <v>202</v>
      </c>
      <c r="B78" s="1067" t="s">
        <v>247</v>
      </c>
      <c r="C78" s="1067" t="s">
        <v>291</v>
      </c>
      <c r="D78" s="1067" t="s">
        <v>46</v>
      </c>
      <c r="E78" s="1067">
        <v>0</v>
      </c>
      <c r="F78" s="1067">
        <v>0</v>
      </c>
      <c r="G78" s="1067">
        <v>0</v>
      </c>
      <c r="H78" s="1067">
        <v>0</v>
      </c>
    </row>
    <row r="79" spans="1:8" x14ac:dyDescent="0.25">
      <c r="A79" s="1067" t="s">
        <v>202</v>
      </c>
      <c r="B79" s="1067" t="s">
        <v>247</v>
      </c>
      <c r="C79" s="1067" t="s">
        <v>292</v>
      </c>
      <c r="D79" s="1067" t="s">
        <v>47</v>
      </c>
      <c r="E79" s="1067">
        <v>20</v>
      </c>
      <c r="F79" s="1067">
        <v>2</v>
      </c>
      <c r="G79" s="1067">
        <v>1</v>
      </c>
      <c r="H79" s="1067">
        <v>17</v>
      </c>
    </row>
    <row r="80" spans="1:8" x14ac:dyDescent="0.25">
      <c r="A80" s="1067" t="s">
        <v>202</v>
      </c>
      <c r="B80" s="1067" t="s">
        <v>247</v>
      </c>
      <c r="C80" s="1067" t="s">
        <v>293</v>
      </c>
      <c r="D80" s="1067" t="s">
        <v>49</v>
      </c>
      <c r="E80" s="1067">
        <v>22</v>
      </c>
      <c r="F80" s="1067">
        <v>3</v>
      </c>
      <c r="G80" s="1067">
        <v>4</v>
      </c>
      <c r="H80" s="1067">
        <v>15</v>
      </c>
    </row>
    <row r="81" spans="1:8" x14ac:dyDescent="0.25">
      <c r="A81" s="1067" t="s">
        <v>202</v>
      </c>
      <c r="B81" s="1067" t="s">
        <v>247</v>
      </c>
      <c r="C81" s="1067" t="s">
        <v>294</v>
      </c>
      <c r="D81" s="1067" t="s">
        <v>51</v>
      </c>
      <c r="E81" s="1067">
        <v>0</v>
      </c>
      <c r="F81" s="1067">
        <v>0</v>
      </c>
      <c r="G81" s="1067">
        <v>0</v>
      </c>
      <c r="H81" s="1067">
        <v>0</v>
      </c>
    </row>
    <row r="82" spans="1:8" x14ac:dyDescent="0.25">
      <c r="A82" s="1067" t="s">
        <v>202</v>
      </c>
      <c r="B82" s="1067" t="s">
        <v>247</v>
      </c>
      <c r="C82" s="1067" t="s">
        <v>295</v>
      </c>
      <c r="D82" s="1067" t="s">
        <v>52</v>
      </c>
      <c r="E82" s="1067">
        <v>23</v>
      </c>
      <c r="F82" s="1067">
        <v>0</v>
      </c>
      <c r="G82" s="1067">
        <v>2</v>
      </c>
      <c r="H82" s="1067">
        <v>21</v>
      </c>
    </row>
    <row r="83" spans="1:8" x14ac:dyDescent="0.25">
      <c r="A83" s="1067" t="s">
        <v>202</v>
      </c>
      <c r="B83" s="1067" t="s">
        <v>247</v>
      </c>
      <c r="C83" s="1067" t="s">
        <v>296</v>
      </c>
      <c r="D83" s="1067" t="s">
        <v>54</v>
      </c>
      <c r="E83" s="1067">
        <v>0</v>
      </c>
      <c r="F83" s="1067">
        <v>0</v>
      </c>
      <c r="G83" s="1067">
        <v>0</v>
      </c>
      <c r="H83" s="1067">
        <v>0</v>
      </c>
    </row>
    <row r="84" spans="1:8" x14ac:dyDescent="0.25">
      <c r="A84" s="1067" t="s">
        <v>202</v>
      </c>
      <c r="B84" s="1067" t="s">
        <v>247</v>
      </c>
      <c r="C84" s="1067" t="s">
        <v>297</v>
      </c>
      <c r="D84" s="1067" t="s">
        <v>55</v>
      </c>
      <c r="E84" s="1067">
        <v>0</v>
      </c>
      <c r="F84" s="1067">
        <v>0</v>
      </c>
      <c r="G84" s="1067">
        <v>0</v>
      </c>
      <c r="H84" s="1067">
        <v>0</v>
      </c>
    </row>
    <row r="85" spans="1:8" x14ac:dyDescent="0.25">
      <c r="A85" s="1067" t="s">
        <v>202</v>
      </c>
      <c r="B85" s="1067" t="s">
        <v>247</v>
      </c>
      <c r="C85" s="1067" t="s">
        <v>298</v>
      </c>
      <c r="D85" s="1067" t="s">
        <v>56</v>
      </c>
      <c r="E85" s="1067">
        <v>0</v>
      </c>
      <c r="F85" s="1067">
        <v>0</v>
      </c>
      <c r="G85" s="1067">
        <v>0</v>
      </c>
      <c r="H85" s="1067">
        <v>0</v>
      </c>
    </row>
    <row r="86" spans="1:8" x14ac:dyDescent="0.25">
      <c r="A86" s="1067" t="s">
        <v>202</v>
      </c>
      <c r="B86" s="1067" t="s">
        <v>247</v>
      </c>
      <c r="C86" s="1067" t="s">
        <v>299</v>
      </c>
      <c r="D86" s="1067" t="s">
        <v>57</v>
      </c>
      <c r="E86" s="1067">
        <v>3</v>
      </c>
      <c r="F86" s="1067">
        <v>0</v>
      </c>
      <c r="G86" s="1067">
        <v>1</v>
      </c>
      <c r="H86" s="1067">
        <v>2</v>
      </c>
    </row>
    <row r="87" spans="1:8" x14ac:dyDescent="0.25">
      <c r="A87" s="1067" t="s">
        <v>202</v>
      </c>
      <c r="B87" s="1067" t="s">
        <v>247</v>
      </c>
      <c r="C87" s="1067" t="s">
        <v>300</v>
      </c>
      <c r="D87" s="1067" t="s">
        <v>58</v>
      </c>
      <c r="E87" s="1067">
        <v>0</v>
      </c>
      <c r="F87" s="1067">
        <v>0</v>
      </c>
      <c r="G87" s="1067">
        <v>0</v>
      </c>
      <c r="H87" s="1067">
        <v>0</v>
      </c>
    </row>
    <row r="88" spans="1:8" x14ac:dyDescent="0.25">
      <c r="A88" s="1067" t="s">
        <v>202</v>
      </c>
      <c r="B88" s="1067" t="s">
        <v>247</v>
      </c>
      <c r="C88" s="1067" t="s">
        <v>301</v>
      </c>
      <c r="D88" s="1067" t="s">
        <v>31</v>
      </c>
      <c r="E88" s="1067">
        <v>0</v>
      </c>
      <c r="F88" s="1067">
        <v>0</v>
      </c>
      <c r="G88" s="1067">
        <v>0</v>
      </c>
      <c r="H88" s="1067">
        <v>0</v>
      </c>
    </row>
    <row r="89" spans="1:8" x14ac:dyDescent="0.25">
      <c r="A89" s="1067" t="s">
        <v>202</v>
      </c>
      <c r="B89" s="1067" t="s">
        <v>247</v>
      </c>
      <c r="C89" s="1067" t="s">
        <v>302</v>
      </c>
      <c r="D89" s="1067" t="s">
        <v>32</v>
      </c>
      <c r="E89" s="1067">
        <v>0</v>
      </c>
      <c r="F89" s="1067">
        <v>0</v>
      </c>
      <c r="G89" s="1067">
        <v>0</v>
      </c>
      <c r="H89" s="1067">
        <v>0</v>
      </c>
    </row>
    <row r="90" spans="1:8" x14ac:dyDescent="0.25">
      <c r="A90" s="1067" t="s">
        <v>202</v>
      </c>
      <c r="B90" s="1067" t="s">
        <v>247</v>
      </c>
      <c r="C90" s="1067" t="s">
        <v>303</v>
      </c>
      <c r="D90" s="1067" t="s">
        <v>34</v>
      </c>
      <c r="E90" s="1067">
        <v>201</v>
      </c>
      <c r="F90" s="1067">
        <v>22</v>
      </c>
      <c r="G90" s="1067">
        <v>23</v>
      </c>
      <c r="H90" s="1067">
        <v>156</v>
      </c>
    </row>
    <row r="91" spans="1:8" x14ac:dyDescent="0.25">
      <c r="A91" s="1067" t="s">
        <v>202</v>
      </c>
      <c r="B91" s="1067" t="s">
        <v>247</v>
      </c>
      <c r="C91" s="1067" t="s">
        <v>304</v>
      </c>
      <c r="D91" s="1067" t="s">
        <v>258</v>
      </c>
      <c r="E91" s="1067">
        <v>0</v>
      </c>
      <c r="F91" s="1067">
        <v>0</v>
      </c>
      <c r="G91" s="1067">
        <v>0</v>
      </c>
      <c r="H91" s="1067">
        <v>0</v>
      </c>
    </row>
    <row r="92" spans="1:8" x14ac:dyDescent="0.25">
      <c r="A92" s="1067" t="s">
        <v>202</v>
      </c>
      <c r="B92" s="1067" t="s">
        <v>247</v>
      </c>
      <c r="C92" s="1067" t="s">
        <v>305</v>
      </c>
      <c r="D92" s="1067" t="s">
        <v>53</v>
      </c>
      <c r="E92" s="1067">
        <v>0</v>
      </c>
      <c r="F92" s="1067">
        <v>0</v>
      </c>
      <c r="G92" s="1067">
        <v>0</v>
      </c>
      <c r="H92" s="1067">
        <v>0</v>
      </c>
    </row>
    <row r="93" spans="1:8" x14ac:dyDescent="0.25">
      <c r="A93" s="1067" t="s">
        <v>202</v>
      </c>
      <c r="B93" s="1067" t="s">
        <v>247</v>
      </c>
      <c r="C93" s="1067" t="s">
        <v>306</v>
      </c>
      <c r="D93" s="1067" t="s">
        <v>59</v>
      </c>
      <c r="E93" s="1067">
        <v>0</v>
      </c>
      <c r="F93" s="1067">
        <v>0</v>
      </c>
      <c r="G93" s="1067">
        <v>0</v>
      </c>
      <c r="H93" s="1067">
        <v>0</v>
      </c>
    </row>
    <row r="94" spans="1:8" x14ac:dyDescent="0.25">
      <c r="A94" s="1067" t="s">
        <v>202</v>
      </c>
      <c r="B94" s="1067" t="s">
        <v>247</v>
      </c>
      <c r="C94" s="1067" t="s">
        <v>307</v>
      </c>
      <c r="D94" s="1067" t="s">
        <v>60</v>
      </c>
      <c r="E94" s="1067">
        <v>0</v>
      </c>
      <c r="F94" s="1067">
        <v>0</v>
      </c>
      <c r="G94" s="1067">
        <v>0</v>
      </c>
      <c r="H94" s="1067">
        <v>0</v>
      </c>
    </row>
    <row r="95" spans="1:8" x14ac:dyDescent="0.25">
      <c r="A95" s="1067" t="s">
        <v>202</v>
      </c>
      <c r="B95" s="1067" t="s">
        <v>247</v>
      </c>
      <c r="C95" s="1067" t="s">
        <v>308</v>
      </c>
      <c r="D95" s="1067" t="s">
        <v>33</v>
      </c>
      <c r="E95" s="1067">
        <v>0</v>
      </c>
      <c r="F95" s="1067">
        <v>0</v>
      </c>
      <c r="G95" s="1067">
        <v>0</v>
      </c>
      <c r="H95" s="1067">
        <v>0</v>
      </c>
    </row>
    <row r="96" spans="1:8" x14ac:dyDescent="0.25">
      <c r="A96" s="1067" t="s">
        <v>202</v>
      </c>
      <c r="B96" s="1067" t="s">
        <v>247</v>
      </c>
      <c r="C96" s="1067" t="s">
        <v>309</v>
      </c>
      <c r="D96" s="1067" t="s">
        <v>37</v>
      </c>
      <c r="E96" s="1067">
        <v>0</v>
      </c>
      <c r="F96" s="1067">
        <v>0</v>
      </c>
      <c r="G96" s="1067">
        <v>0</v>
      </c>
      <c r="H96" s="1067">
        <v>0</v>
      </c>
    </row>
    <row r="97" spans="1:8" x14ac:dyDescent="0.25">
      <c r="A97" s="1067" t="s">
        <v>202</v>
      </c>
      <c r="B97" s="1067" t="s">
        <v>247</v>
      </c>
      <c r="C97" s="1067" t="s">
        <v>310</v>
      </c>
      <c r="D97" s="1067" t="s">
        <v>50</v>
      </c>
      <c r="E97" s="1067">
        <v>0</v>
      </c>
      <c r="F97" s="1067">
        <v>0</v>
      </c>
      <c r="G97" s="1067">
        <v>0</v>
      </c>
      <c r="H97" s="1067">
        <v>0</v>
      </c>
    </row>
    <row r="98" spans="1:8" x14ac:dyDescent="0.25">
      <c r="A98" s="1067" t="s">
        <v>202</v>
      </c>
      <c r="B98" s="1067" t="s">
        <v>247</v>
      </c>
      <c r="C98" s="1067" t="s">
        <v>311</v>
      </c>
      <c r="D98" s="1067" t="s">
        <v>39</v>
      </c>
      <c r="E98" s="1067">
        <v>0</v>
      </c>
      <c r="F98" s="1067">
        <v>0</v>
      </c>
      <c r="G98" s="1067">
        <v>0</v>
      </c>
      <c r="H98" s="1067">
        <v>0</v>
      </c>
    </row>
    <row r="99" spans="1:8" x14ac:dyDescent="0.25">
      <c r="A99" s="1067" t="s">
        <v>202</v>
      </c>
      <c r="B99" s="1067" t="s">
        <v>247</v>
      </c>
      <c r="C99" s="1067" t="s">
        <v>312</v>
      </c>
      <c r="D99" s="1067" t="s">
        <v>121</v>
      </c>
      <c r="E99" s="1067">
        <v>0</v>
      </c>
      <c r="F99" s="1067">
        <v>0</v>
      </c>
      <c r="G99" s="1067">
        <v>0</v>
      </c>
      <c r="H99" s="1067">
        <v>0</v>
      </c>
    </row>
    <row r="100" spans="1:8" x14ac:dyDescent="0.25">
      <c r="A100" s="1067" t="s">
        <v>202</v>
      </c>
      <c r="B100" s="1067" t="s">
        <v>247</v>
      </c>
      <c r="C100" s="1067" t="s">
        <v>313</v>
      </c>
      <c r="D100" s="1067" t="s">
        <v>43</v>
      </c>
      <c r="E100" s="1067">
        <v>0</v>
      </c>
      <c r="F100" s="1067">
        <v>0</v>
      </c>
      <c r="G100" s="1067">
        <v>0</v>
      </c>
      <c r="H100" s="1067">
        <v>0</v>
      </c>
    </row>
    <row r="101" spans="1:8" x14ac:dyDescent="0.25">
      <c r="A101" s="1067" t="s">
        <v>273</v>
      </c>
      <c r="B101" s="1067" t="s">
        <v>247</v>
      </c>
      <c r="C101" s="1067" t="s">
        <v>282</v>
      </c>
      <c r="D101" s="1067" t="s">
        <v>35</v>
      </c>
      <c r="E101" s="1067">
        <v>0</v>
      </c>
      <c r="F101" s="1067">
        <v>0</v>
      </c>
      <c r="G101" s="1067">
        <v>0</v>
      </c>
      <c r="H101" s="1067">
        <v>0</v>
      </c>
    </row>
    <row r="102" spans="1:8" x14ac:dyDescent="0.25">
      <c r="A102" s="1067" t="s">
        <v>273</v>
      </c>
      <c r="B102" s="1067" t="s">
        <v>247</v>
      </c>
      <c r="C102" s="1067" t="s">
        <v>283</v>
      </c>
      <c r="D102" s="1067" t="s">
        <v>36</v>
      </c>
      <c r="E102" s="1067">
        <v>5</v>
      </c>
      <c r="F102" s="1067">
        <v>1</v>
      </c>
      <c r="G102" s="1067">
        <v>1</v>
      </c>
      <c r="H102" s="1067">
        <v>3</v>
      </c>
    </row>
    <row r="103" spans="1:8" x14ac:dyDescent="0.25">
      <c r="A103" s="1067" t="s">
        <v>273</v>
      </c>
      <c r="B103" s="1067" t="s">
        <v>247</v>
      </c>
      <c r="C103" s="1067" t="s">
        <v>284</v>
      </c>
      <c r="D103" s="1067" t="s">
        <v>38</v>
      </c>
      <c r="E103" s="1067">
        <v>0</v>
      </c>
      <c r="F103" s="1067">
        <v>0</v>
      </c>
      <c r="G103" s="1067">
        <v>0</v>
      </c>
      <c r="H103" s="1067">
        <v>0</v>
      </c>
    </row>
    <row r="104" spans="1:8" x14ac:dyDescent="0.25">
      <c r="A104" s="1067" t="s">
        <v>273</v>
      </c>
      <c r="B104" s="1067" t="s">
        <v>247</v>
      </c>
      <c r="C104" s="1067" t="s">
        <v>285</v>
      </c>
      <c r="D104" s="1067" t="s">
        <v>40</v>
      </c>
      <c r="E104" s="1067">
        <v>0</v>
      </c>
      <c r="F104" s="1067">
        <v>0</v>
      </c>
      <c r="G104" s="1067">
        <v>0</v>
      </c>
      <c r="H104" s="1067">
        <v>0</v>
      </c>
    </row>
    <row r="105" spans="1:8" x14ac:dyDescent="0.25">
      <c r="A105" s="1067" t="s">
        <v>273</v>
      </c>
      <c r="B105" s="1067" t="s">
        <v>247</v>
      </c>
      <c r="C105" s="1067" t="s">
        <v>286</v>
      </c>
      <c r="D105" s="1067" t="s">
        <v>41</v>
      </c>
      <c r="E105" s="1067">
        <v>0</v>
      </c>
      <c r="F105" s="1067">
        <v>0</v>
      </c>
      <c r="G105" s="1067">
        <v>0</v>
      </c>
      <c r="H105" s="1067">
        <v>0</v>
      </c>
    </row>
    <row r="106" spans="1:8" x14ac:dyDescent="0.25">
      <c r="A106" s="1067" t="s">
        <v>273</v>
      </c>
      <c r="B106" s="1067" t="s">
        <v>247</v>
      </c>
      <c r="C106" s="1067" t="s">
        <v>287</v>
      </c>
      <c r="D106" s="1067" t="s">
        <v>48</v>
      </c>
      <c r="E106" s="1067">
        <v>0</v>
      </c>
      <c r="F106" s="1067">
        <v>0</v>
      </c>
      <c r="G106" s="1067">
        <v>0</v>
      </c>
      <c r="H106" s="1067">
        <v>0</v>
      </c>
    </row>
    <row r="107" spans="1:8" x14ac:dyDescent="0.25">
      <c r="A107" s="1067" t="s">
        <v>273</v>
      </c>
      <c r="B107" s="1067" t="s">
        <v>247</v>
      </c>
      <c r="C107" s="1067" t="s">
        <v>288</v>
      </c>
      <c r="D107" s="1067" t="s">
        <v>42</v>
      </c>
      <c r="E107" s="1067">
        <v>0</v>
      </c>
      <c r="F107" s="1067">
        <v>0</v>
      </c>
      <c r="G107" s="1067">
        <v>0</v>
      </c>
      <c r="H107" s="1067">
        <v>0</v>
      </c>
    </row>
    <row r="108" spans="1:8" x14ac:dyDescent="0.25">
      <c r="A108" s="1067" t="s">
        <v>273</v>
      </c>
      <c r="B108" s="1067" t="s">
        <v>247</v>
      </c>
      <c r="C108" s="1067" t="s">
        <v>289</v>
      </c>
      <c r="D108" s="1067" t="s">
        <v>44</v>
      </c>
      <c r="E108" s="1067">
        <v>67</v>
      </c>
      <c r="F108" s="1067">
        <v>7</v>
      </c>
      <c r="G108" s="1067">
        <v>13</v>
      </c>
      <c r="H108" s="1067">
        <v>47</v>
      </c>
    </row>
    <row r="109" spans="1:8" x14ac:dyDescent="0.25">
      <c r="A109" s="1067" t="s">
        <v>273</v>
      </c>
      <c r="B109" s="1067" t="s">
        <v>247</v>
      </c>
      <c r="C109" s="1067" t="s">
        <v>290</v>
      </c>
      <c r="D109" s="1067" t="s">
        <v>45</v>
      </c>
      <c r="E109" s="1067">
        <v>0</v>
      </c>
      <c r="F109" s="1067">
        <v>0</v>
      </c>
      <c r="G109" s="1067">
        <v>0</v>
      </c>
      <c r="H109" s="1067">
        <v>0</v>
      </c>
    </row>
    <row r="110" spans="1:8" x14ac:dyDescent="0.25">
      <c r="A110" s="1067" t="s">
        <v>273</v>
      </c>
      <c r="B110" s="1067" t="s">
        <v>247</v>
      </c>
      <c r="C110" s="1067" t="s">
        <v>291</v>
      </c>
      <c r="D110" s="1067" t="s">
        <v>46</v>
      </c>
      <c r="E110" s="1067">
        <v>0</v>
      </c>
      <c r="F110" s="1067">
        <v>0</v>
      </c>
      <c r="G110" s="1067">
        <v>0</v>
      </c>
      <c r="H110" s="1067">
        <v>0</v>
      </c>
    </row>
    <row r="111" spans="1:8" x14ac:dyDescent="0.25">
      <c r="A111" s="1067" t="s">
        <v>273</v>
      </c>
      <c r="B111" s="1067" t="s">
        <v>247</v>
      </c>
      <c r="C111" s="1067" t="s">
        <v>292</v>
      </c>
      <c r="D111" s="1067" t="s">
        <v>47</v>
      </c>
      <c r="E111" s="1067">
        <v>4</v>
      </c>
      <c r="F111" s="1067">
        <v>1</v>
      </c>
      <c r="G111" s="1067">
        <v>2</v>
      </c>
      <c r="H111" s="1067">
        <v>1</v>
      </c>
    </row>
    <row r="112" spans="1:8" x14ac:dyDescent="0.25">
      <c r="A112" s="1067" t="s">
        <v>273</v>
      </c>
      <c r="B112" s="1067" t="s">
        <v>247</v>
      </c>
      <c r="C112" s="1067" t="s">
        <v>293</v>
      </c>
      <c r="D112" s="1067" t="s">
        <v>49</v>
      </c>
      <c r="E112" s="1067">
        <v>18</v>
      </c>
      <c r="F112" s="1067">
        <v>3</v>
      </c>
      <c r="G112" s="1067">
        <v>4</v>
      </c>
      <c r="H112" s="1067">
        <v>11</v>
      </c>
    </row>
    <row r="113" spans="1:8" x14ac:dyDescent="0.25">
      <c r="A113" s="1067" t="s">
        <v>273</v>
      </c>
      <c r="B113" s="1067" t="s">
        <v>247</v>
      </c>
      <c r="C113" s="1067" t="s">
        <v>294</v>
      </c>
      <c r="D113" s="1067" t="s">
        <v>51</v>
      </c>
      <c r="E113" s="1067">
        <v>0</v>
      </c>
      <c r="F113" s="1067">
        <v>0</v>
      </c>
      <c r="G113" s="1067">
        <v>0</v>
      </c>
      <c r="H113" s="1067">
        <v>0</v>
      </c>
    </row>
    <row r="114" spans="1:8" x14ac:dyDescent="0.25">
      <c r="A114" s="1067" t="s">
        <v>273</v>
      </c>
      <c r="B114" s="1067" t="s">
        <v>247</v>
      </c>
      <c r="C114" s="1067" t="s">
        <v>295</v>
      </c>
      <c r="D114" s="1067" t="s">
        <v>52</v>
      </c>
      <c r="E114" s="1067">
        <v>23</v>
      </c>
      <c r="F114" s="1067">
        <v>0</v>
      </c>
      <c r="G114" s="1067">
        <v>3</v>
      </c>
      <c r="H114" s="1067">
        <v>20</v>
      </c>
    </row>
    <row r="115" spans="1:8" x14ac:dyDescent="0.25">
      <c r="A115" s="1067" t="s">
        <v>273</v>
      </c>
      <c r="B115" s="1067" t="s">
        <v>247</v>
      </c>
      <c r="C115" s="1067" t="s">
        <v>296</v>
      </c>
      <c r="D115" s="1067" t="s">
        <v>54</v>
      </c>
      <c r="E115" s="1067">
        <v>0</v>
      </c>
      <c r="F115" s="1067">
        <v>0</v>
      </c>
      <c r="G115" s="1067">
        <v>0</v>
      </c>
      <c r="H115" s="1067">
        <v>0</v>
      </c>
    </row>
    <row r="116" spans="1:8" x14ac:dyDescent="0.25">
      <c r="A116" s="1067" t="s">
        <v>273</v>
      </c>
      <c r="B116" s="1067" t="s">
        <v>247</v>
      </c>
      <c r="C116" s="1067" t="s">
        <v>297</v>
      </c>
      <c r="D116" s="1067" t="s">
        <v>55</v>
      </c>
      <c r="E116" s="1067">
        <v>0</v>
      </c>
      <c r="F116" s="1067">
        <v>0</v>
      </c>
      <c r="G116" s="1067">
        <v>0</v>
      </c>
      <c r="H116" s="1067">
        <v>0</v>
      </c>
    </row>
    <row r="117" spans="1:8" x14ac:dyDescent="0.25">
      <c r="A117" s="1067" t="s">
        <v>273</v>
      </c>
      <c r="B117" s="1067" t="s">
        <v>247</v>
      </c>
      <c r="C117" s="1067" t="s">
        <v>298</v>
      </c>
      <c r="D117" s="1067" t="s">
        <v>56</v>
      </c>
      <c r="E117" s="1067">
        <v>0</v>
      </c>
      <c r="F117" s="1067">
        <v>0</v>
      </c>
      <c r="G117" s="1067">
        <v>0</v>
      </c>
      <c r="H117" s="1067">
        <v>0</v>
      </c>
    </row>
    <row r="118" spans="1:8" x14ac:dyDescent="0.25">
      <c r="A118" s="1067" t="s">
        <v>273</v>
      </c>
      <c r="B118" s="1067" t="s">
        <v>247</v>
      </c>
      <c r="C118" s="1067" t="s">
        <v>299</v>
      </c>
      <c r="D118" s="1067" t="s">
        <v>57</v>
      </c>
      <c r="E118" s="1067">
        <v>3</v>
      </c>
      <c r="F118" s="1067">
        <v>1</v>
      </c>
      <c r="G118" s="1067">
        <v>0</v>
      </c>
      <c r="H118" s="1067">
        <v>2</v>
      </c>
    </row>
    <row r="119" spans="1:8" x14ac:dyDescent="0.25">
      <c r="A119" s="1067" t="s">
        <v>273</v>
      </c>
      <c r="B119" s="1067" t="s">
        <v>247</v>
      </c>
      <c r="C119" s="1067" t="s">
        <v>300</v>
      </c>
      <c r="D119" s="1067" t="s">
        <v>58</v>
      </c>
      <c r="E119" s="1067">
        <v>0</v>
      </c>
      <c r="F119" s="1067">
        <v>0</v>
      </c>
      <c r="G119" s="1067">
        <v>0</v>
      </c>
      <c r="H119" s="1067">
        <v>0</v>
      </c>
    </row>
    <row r="120" spans="1:8" x14ac:dyDescent="0.25">
      <c r="A120" s="1067" t="s">
        <v>273</v>
      </c>
      <c r="B120" s="1067" t="s">
        <v>247</v>
      </c>
      <c r="C120" s="1067" t="s">
        <v>301</v>
      </c>
      <c r="D120" s="1067" t="s">
        <v>31</v>
      </c>
      <c r="E120" s="1067">
        <v>0</v>
      </c>
      <c r="F120" s="1067">
        <v>0</v>
      </c>
      <c r="G120" s="1067">
        <v>0</v>
      </c>
      <c r="H120" s="1067">
        <v>0</v>
      </c>
    </row>
    <row r="121" spans="1:8" x14ac:dyDescent="0.25">
      <c r="A121" s="1067" t="s">
        <v>273</v>
      </c>
      <c r="B121" s="1067" t="s">
        <v>247</v>
      </c>
      <c r="C121" s="1067" t="s">
        <v>302</v>
      </c>
      <c r="D121" s="1067" t="s">
        <v>32</v>
      </c>
      <c r="E121" s="1067">
        <v>0</v>
      </c>
      <c r="F121" s="1067">
        <v>0</v>
      </c>
      <c r="G121" s="1067">
        <v>0</v>
      </c>
      <c r="H121" s="1067">
        <v>0</v>
      </c>
    </row>
    <row r="122" spans="1:8" x14ac:dyDescent="0.25">
      <c r="A122" s="1067" t="s">
        <v>273</v>
      </c>
      <c r="B122" s="1067" t="s">
        <v>247</v>
      </c>
      <c r="C122" s="1067" t="s">
        <v>303</v>
      </c>
      <c r="D122" s="1067" t="s">
        <v>34</v>
      </c>
      <c r="E122" s="1067">
        <v>200</v>
      </c>
      <c r="F122" s="1067">
        <v>24</v>
      </c>
      <c r="G122" s="1067">
        <v>21</v>
      </c>
      <c r="H122" s="1067">
        <v>155</v>
      </c>
    </row>
    <row r="123" spans="1:8" x14ac:dyDescent="0.25">
      <c r="A123" s="1067" t="s">
        <v>273</v>
      </c>
      <c r="B123" s="1067" t="s">
        <v>247</v>
      </c>
      <c r="C123" s="1067" t="s">
        <v>304</v>
      </c>
      <c r="D123" s="1067" t="s">
        <v>258</v>
      </c>
      <c r="E123" s="1067">
        <v>0</v>
      </c>
      <c r="F123" s="1067">
        <v>0</v>
      </c>
      <c r="G123" s="1067">
        <v>0</v>
      </c>
      <c r="H123" s="1067">
        <v>0</v>
      </c>
    </row>
    <row r="124" spans="1:8" x14ac:dyDescent="0.25">
      <c r="A124" s="1067" t="s">
        <v>273</v>
      </c>
      <c r="B124" s="1067" t="s">
        <v>247</v>
      </c>
      <c r="C124" s="1067" t="s">
        <v>305</v>
      </c>
      <c r="D124" s="1067" t="s">
        <v>53</v>
      </c>
      <c r="E124" s="1067">
        <v>0</v>
      </c>
      <c r="F124" s="1067">
        <v>0</v>
      </c>
      <c r="G124" s="1067">
        <v>0</v>
      </c>
      <c r="H124" s="1067">
        <v>0</v>
      </c>
    </row>
    <row r="125" spans="1:8" x14ac:dyDescent="0.25">
      <c r="A125" s="1067" t="s">
        <v>273</v>
      </c>
      <c r="B125" s="1067" t="s">
        <v>247</v>
      </c>
      <c r="C125" s="1067" t="s">
        <v>306</v>
      </c>
      <c r="D125" s="1067" t="s">
        <v>59</v>
      </c>
      <c r="E125" s="1067">
        <v>0</v>
      </c>
      <c r="F125" s="1067">
        <v>0</v>
      </c>
      <c r="G125" s="1067">
        <v>0</v>
      </c>
      <c r="H125" s="1067">
        <v>0</v>
      </c>
    </row>
    <row r="126" spans="1:8" x14ac:dyDescent="0.25">
      <c r="A126" s="1067" t="s">
        <v>273</v>
      </c>
      <c r="B126" s="1067" t="s">
        <v>247</v>
      </c>
      <c r="C126" s="1067" t="s">
        <v>307</v>
      </c>
      <c r="D126" s="1067" t="s">
        <v>60</v>
      </c>
      <c r="E126" s="1067">
        <v>0</v>
      </c>
      <c r="F126" s="1067">
        <v>0</v>
      </c>
      <c r="G126" s="1067">
        <v>0</v>
      </c>
      <c r="H126" s="1067">
        <v>0</v>
      </c>
    </row>
    <row r="127" spans="1:8" x14ac:dyDescent="0.25">
      <c r="A127" s="1067" t="s">
        <v>273</v>
      </c>
      <c r="B127" s="1067" t="s">
        <v>247</v>
      </c>
      <c r="C127" s="1067" t="s">
        <v>308</v>
      </c>
      <c r="D127" s="1067" t="s">
        <v>33</v>
      </c>
      <c r="E127" s="1067">
        <v>0</v>
      </c>
      <c r="F127" s="1067">
        <v>0</v>
      </c>
      <c r="G127" s="1067">
        <v>0</v>
      </c>
      <c r="H127" s="1067">
        <v>0</v>
      </c>
    </row>
    <row r="128" spans="1:8" x14ac:dyDescent="0.25">
      <c r="A128" s="1067" t="s">
        <v>273</v>
      </c>
      <c r="B128" s="1067" t="s">
        <v>247</v>
      </c>
      <c r="C128" s="1067" t="s">
        <v>309</v>
      </c>
      <c r="D128" s="1067" t="s">
        <v>37</v>
      </c>
      <c r="E128" s="1067">
        <v>0</v>
      </c>
      <c r="F128" s="1067">
        <v>0</v>
      </c>
      <c r="G128" s="1067">
        <v>0</v>
      </c>
      <c r="H128" s="1067">
        <v>0</v>
      </c>
    </row>
    <row r="129" spans="1:8" x14ac:dyDescent="0.25">
      <c r="A129" s="1067" t="s">
        <v>273</v>
      </c>
      <c r="B129" s="1067" t="s">
        <v>247</v>
      </c>
      <c r="C129" s="1067" t="s">
        <v>310</v>
      </c>
      <c r="D129" s="1067" t="s">
        <v>50</v>
      </c>
      <c r="E129" s="1067">
        <v>0</v>
      </c>
      <c r="F129" s="1067">
        <v>0</v>
      </c>
      <c r="G129" s="1067">
        <v>0</v>
      </c>
      <c r="H129" s="1067">
        <v>0</v>
      </c>
    </row>
    <row r="130" spans="1:8" x14ac:dyDescent="0.25">
      <c r="A130" s="1067" t="s">
        <v>273</v>
      </c>
      <c r="B130" s="1067" t="s">
        <v>247</v>
      </c>
      <c r="C130" s="1067" t="s">
        <v>311</v>
      </c>
      <c r="D130" s="1067" t="s">
        <v>39</v>
      </c>
      <c r="E130" s="1067">
        <v>0</v>
      </c>
      <c r="F130" s="1067">
        <v>0</v>
      </c>
      <c r="G130" s="1067">
        <v>0</v>
      </c>
      <c r="H130" s="1067">
        <v>0</v>
      </c>
    </row>
    <row r="131" spans="1:8" x14ac:dyDescent="0.25">
      <c r="A131" s="1067" t="s">
        <v>273</v>
      </c>
      <c r="B131" s="1067" t="s">
        <v>247</v>
      </c>
      <c r="C131" s="1067" t="s">
        <v>312</v>
      </c>
      <c r="D131" s="1067" t="s">
        <v>121</v>
      </c>
      <c r="E131" s="1067">
        <v>0</v>
      </c>
      <c r="F131" s="1067">
        <v>0</v>
      </c>
      <c r="G131" s="1067">
        <v>0</v>
      </c>
      <c r="H131" s="1067">
        <v>0</v>
      </c>
    </row>
    <row r="132" spans="1:8" x14ac:dyDescent="0.25">
      <c r="A132" s="1067" t="s">
        <v>273</v>
      </c>
      <c r="B132" s="1067" t="s">
        <v>247</v>
      </c>
      <c r="C132" s="1067" t="s">
        <v>313</v>
      </c>
      <c r="D132" s="1067" t="s">
        <v>43</v>
      </c>
      <c r="E132" s="1067">
        <v>0</v>
      </c>
      <c r="F132" s="1067">
        <v>0</v>
      </c>
      <c r="G132" s="1067">
        <v>0</v>
      </c>
      <c r="H132" s="1067">
        <v>0</v>
      </c>
    </row>
    <row r="133" spans="1:8" x14ac:dyDescent="0.25">
      <c r="A133" s="1067" t="s">
        <v>273</v>
      </c>
      <c r="B133" s="1067" t="s">
        <v>1195</v>
      </c>
      <c r="C133" s="1067" t="s">
        <v>292</v>
      </c>
      <c r="D133" s="1067" t="s">
        <v>47</v>
      </c>
      <c r="E133" s="1067">
        <v>4</v>
      </c>
      <c r="F133" s="1067">
        <v>2</v>
      </c>
      <c r="G133" s="1067">
        <v>1</v>
      </c>
      <c r="H133" s="1067">
        <v>1</v>
      </c>
    </row>
    <row r="134" spans="1:8" x14ac:dyDescent="0.25">
      <c r="A134" s="1067" t="s">
        <v>255</v>
      </c>
      <c r="B134" s="1067" t="s">
        <v>247</v>
      </c>
      <c r="C134" s="1067" t="s">
        <v>283</v>
      </c>
      <c r="D134" s="1067" t="s">
        <v>36</v>
      </c>
      <c r="E134" s="1067">
        <v>4</v>
      </c>
      <c r="F134" s="1067">
        <v>1</v>
      </c>
      <c r="G134" s="1067"/>
      <c r="H134" s="1067">
        <v>3</v>
      </c>
    </row>
    <row r="135" spans="1:8" x14ac:dyDescent="0.25">
      <c r="A135" s="1067" t="s">
        <v>255</v>
      </c>
      <c r="B135" s="1067" t="s">
        <v>247</v>
      </c>
      <c r="C135" s="1067" t="s">
        <v>289</v>
      </c>
      <c r="D135" s="1067" t="s">
        <v>44</v>
      </c>
      <c r="E135" s="1067">
        <v>64</v>
      </c>
      <c r="F135" s="1067">
        <v>7</v>
      </c>
      <c r="G135" s="1067">
        <v>11</v>
      </c>
      <c r="H135" s="1067">
        <v>46</v>
      </c>
    </row>
    <row r="136" spans="1:8" x14ac:dyDescent="0.25">
      <c r="A136" s="1067" t="s">
        <v>255</v>
      </c>
      <c r="B136" s="1067" t="s">
        <v>247</v>
      </c>
      <c r="C136" s="1067" t="s">
        <v>292</v>
      </c>
      <c r="D136" s="1067" t="s">
        <v>47</v>
      </c>
      <c r="E136" s="1067">
        <v>4</v>
      </c>
      <c r="F136" s="1067">
        <v>2</v>
      </c>
      <c r="G136" s="1067">
        <v>1</v>
      </c>
      <c r="H136" s="1067">
        <v>1</v>
      </c>
    </row>
    <row r="137" spans="1:8" x14ac:dyDescent="0.25">
      <c r="A137" s="1067" t="s">
        <v>255</v>
      </c>
      <c r="B137" s="1067" t="s">
        <v>247</v>
      </c>
      <c r="C137" s="1067" t="s">
        <v>293</v>
      </c>
      <c r="D137" s="1067" t="s">
        <v>49</v>
      </c>
      <c r="E137" s="1067">
        <v>23</v>
      </c>
      <c r="F137" s="1067">
        <v>3</v>
      </c>
      <c r="G137" s="1067">
        <v>3</v>
      </c>
      <c r="H137" s="1067">
        <v>17</v>
      </c>
    </row>
    <row r="138" spans="1:8" x14ac:dyDescent="0.25">
      <c r="A138" s="1067" t="s">
        <v>255</v>
      </c>
      <c r="B138" s="1067" t="s">
        <v>247</v>
      </c>
      <c r="C138" s="1067" t="s">
        <v>295</v>
      </c>
      <c r="D138" s="1067" t="s">
        <v>52</v>
      </c>
      <c r="E138" s="1067">
        <v>28</v>
      </c>
      <c r="F138" s="1067"/>
      <c r="G138" s="1067">
        <v>3</v>
      </c>
      <c r="H138" s="1067">
        <v>25</v>
      </c>
    </row>
    <row r="139" spans="1:8" x14ac:dyDescent="0.25">
      <c r="A139" s="1067" t="s">
        <v>255</v>
      </c>
      <c r="B139" s="1067" t="s">
        <v>247</v>
      </c>
      <c r="C139" s="1067" t="s">
        <v>299</v>
      </c>
      <c r="D139" s="1067" t="s">
        <v>57</v>
      </c>
      <c r="E139" s="1067">
        <v>2</v>
      </c>
      <c r="F139" s="1067">
        <v>1</v>
      </c>
      <c r="G139" s="1067"/>
      <c r="H139" s="1067">
        <v>1</v>
      </c>
    </row>
    <row r="140" spans="1:8" x14ac:dyDescent="0.25">
      <c r="A140" s="1067" t="s">
        <v>255</v>
      </c>
      <c r="B140" s="1067" t="s">
        <v>247</v>
      </c>
      <c r="C140" s="1067" t="s">
        <v>303</v>
      </c>
      <c r="D140" s="1067" t="s">
        <v>34</v>
      </c>
      <c r="E140" s="1067">
        <v>211</v>
      </c>
      <c r="F140" s="1067">
        <v>25</v>
      </c>
      <c r="G140" s="1067">
        <v>22</v>
      </c>
      <c r="H140" s="1067">
        <v>164</v>
      </c>
    </row>
    <row r="141" spans="1:8" x14ac:dyDescent="0.25">
      <c r="A141" s="1067" t="s">
        <v>254</v>
      </c>
      <c r="B141" s="1067" t="s">
        <v>247</v>
      </c>
      <c r="C141" s="1067" t="s">
        <v>283</v>
      </c>
      <c r="D141" s="1067" t="s">
        <v>36</v>
      </c>
      <c r="E141" s="1067">
        <v>6</v>
      </c>
      <c r="F141" s="1067">
        <v>1</v>
      </c>
      <c r="G141" s="1067"/>
      <c r="H141" s="1067">
        <v>5</v>
      </c>
    </row>
    <row r="142" spans="1:8" x14ac:dyDescent="0.25">
      <c r="A142" s="1067" t="s">
        <v>254</v>
      </c>
      <c r="B142" s="1067" t="s">
        <v>247</v>
      </c>
      <c r="C142" s="1067" t="s">
        <v>289</v>
      </c>
      <c r="D142" s="1067" t="s">
        <v>44</v>
      </c>
      <c r="E142" s="1067">
        <v>62</v>
      </c>
      <c r="F142" s="1067">
        <v>7</v>
      </c>
      <c r="G142" s="1067">
        <v>12</v>
      </c>
      <c r="H142" s="1067">
        <v>43</v>
      </c>
    </row>
    <row r="143" spans="1:8" x14ac:dyDescent="0.25">
      <c r="A143" s="1067" t="s">
        <v>254</v>
      </c>
      <c r="B143" s="1067" t="s">
        <v>247</v>
      </c>
      <c r="C143" s="1067" t="s">
        <v>292</v>
      </c>
      <c r="D143" s="1067" t="s">
        <v>47</v>
      </c>
      <c r="E143" s="1067">
        <v>4</v>
      </c>
      <c r="F143" s="1067">
        <v>1</v>
      </c>
      <c r="G143" s="1067">
        <v>2</v>
      </c>
      <c r="H143" s="1067">
        <v>1</v>
      </c>
    </row>
    <row r="144" spans="1:8" x14ac:dyDescent="0.25">
      <c r="A144" s="1067" t="s">
        <v>254</v>
      </c>
      <c r="B144" s="1067" t="s">
        <v>247</v>
      </c>
      <c r="C144" s="1067" t="s">
        <v>293</v>
      </c>
      <c r="D144" s="1067" t="s">
        <v>49</v>
      </c>
      <c r="E144" s="1067">
        <v>22</v>
      </c>
      <c r="F144" s="1067">
        <v>3</v>
      </c>
      <c r="G144" s="1067">
        <v>3</v>
      </c>
      <c r="H144" s="1067">
        <v>16</v>
      </c>
    </row>
    <row r="145" spans="1:8" x14ac:dyDescent="0.25">
      <c r="A145" s="1067" t="s">
        <v>254</v>
      </c>
      <c r="B145" s="1067" t="s">
        <v>247</v>
      </c>
      <c r="C145" s="1067" t="s">
        <v>295</v>
      </c>
      <c r="D145" s="1067" t="s">
        <v>52</v>
      </c>
      <c r="E145" s="1067">
        <v>22</v>
      </c>
      <c r="F145" s="1067"/>
      <c r="G145" s="1067">
        <v>3</v>
      </c>
      <c r="H145" s="1067">
        <v>19</v>
      </c>
    </row>
    <row r="146" spans="1:8" x14ac:dyDescent="0.25">
      <c r="A146" s="1067" t="s">
        <v>254</v>
      </c>
      <c r="B146" s="1067" t="s">
        <v>247</v>
      </c>
      <c r="C146" s="1067" t="s">
        <v>299</v>
      </c>
      <c r="D146" s="1067" t="s">
        <v>57</v>
      </c>
      <c r="E146" s="1067">
        <v>2</v>
      </c>
      <c r="F146" s="1067">
        <v>1</v>
      </c>
      <c r="G146" s="1067"/>
      <c r="H146" s="1067">
        <v>1</v>
      </c>
    </row>
    <row r="147" spans="1:8" x14ac:dyDescent="0.25">
      <c r="A147" s="1067" t="s">
        <v>254</v>
      </c>
      <c r="B147" s="1067" t="s">
        <v>247</v>
      </c>
      <c r="C147" s="1067" t="s">
        <v>303</v>
      </c>
      <c r="D147" s="1067" t="s">
        <v>34</v>
      </c>
      <c r="E147" s="1067">
        <v>203</v>
      </c>
      <c r="F147" s="1067">
        <v>25</v>
      </c>
      <c r="G147" s="1067">
        <v>22</v>
      </c>
      <c r="H147" s="1067">
        <v>156</v>
      </c>
    </row>
    <row r="148" spans="1:8" x14ac:dyDescent="0.25">
      <c r="A148" s="1067" t="s">
        <v>851</v>
      </c>
      <c r="B148" s="1067" t="s">
        <v>247</v>
      </c>
      <c r="C148" s="1067" t="s">
        <v>403</v>
      </c>
      <c r="D148" s="1067" t="s">
        <v>34</v>
      </c>
      <c r="E148" s="1067">
        <v>212</v>
      </c>
      <c r="F148" s="1067">
        <v>25</v>
      </c>
      <c r="G148" s="1067">
        <v>22</v>
      </c>
      <c r="H148" s="1067">
        <v>165</v>
      </c>
    </row>
    <row r="149" spans="1:8" x14ac:dyDescent="0.25">
      <c r="A149" s="1067" t="s">
        <v>851</v>
      </c>
      <c r="B149" s="1067" t="s">
        <v>247</v>
      </c>
      <c r="C149" s="1067" t="s">
        <v>403</v>
      </c>
      <c r="D149" s="1067" t="s">
        <v>36</v>
      </c>
      <c r="E149" s="1067">
        <v>5</v>
      </c>
      <c r="F149" s="1067">
        <v>1</v>
      </c>
      <c r="G149" s="1067">
        <v>1</v>
      </c>
      <c r="H149" s="1067">
        <v>3</v>
      </c>
    </row>
    <row r="150" spans="1:8" x14ac:dyDescent="0.25">
      <c r="A150" s="1067" t="s">
        <v>851</v>
      </c>
      <c r="B150" s="1067" t="s">
        <v>247</v>
      </c>
      <c r="C150" s="1067" t="s">
        <v>403</v>
      </c>
      <c r="D150" s="1067" t="s">
        <v>49</v>
      </c>
      <c r="E150" s="1067">
        <v>22</v>
      </c>
      <c r="F150" s="1067">
        <v>3</v>
      </c>
      <c r="G150" s="1067">
        <v>3</v>
      </c>
      <c r="H150" s="1067">
        <v>16</v>
      </c>
    </row>
    <row r="151" spans="1:8" x14ac:dyDescent="0.25">
      <c r="A151" s="1067" t="s">
        <v>851</v>
      </c>
      <c r="B151" s="1067" t="s">
        <v>247</v>
      </c>
      <c r="C151" s="1067" t="s">
        <v>403</v>
      </c>
      <c r="D151" s="1067" t="s">
        <v>57</v>
      </c>
      <c r="E151" s="1067">
        <v>2</v>
      </c>
      <c r="F151" s="1067">
        <v>1</v>
      </c>
      <c r="G151" s="1067"/>
      <c r="H151" s="1067">
        <v>1</v>
      </c>
    </row>
    <row r="152" spans="1:8" x14ac:dyDescent="0.25">
      <c r="A152" s="1067" t="s">
        <v>851</v>
      </c>
      <c r="B152" s="1067" t="s">
        <v>247</v>
      </c>
      <c r="C152" s="1067" t="s">
        <v>404</v>
      </c>
      <c r="D152" s="1067" t="s">
        <v>44</v>
      </c>
      <c r="E152" s="1067">
        <v>49</v>
      </c>
      <c r="F152" s="1067">
        <v>6</v>
      </c>
      <c r="G152" s="1067">
        <v>10</v>
      </c>
      <c r="H152" s="1067">
        <v>33</v>
      </c>
    </row>
    <row r="153" spans="1:8" x14ac:dyDescent="0.25">
      <c r="A153" s="1067" t="s">
        <v>851</v>
      </c>
      <c r="B153" s="1067" t="s">
        <v>247</v>
      </c>
      <c r="C153" s="1067" t="s">
        <v>404</v>
      </c>
      <c r="D153" s="1067" t="s">
        <v>47</v>
      </c>
      <c r="E153" s="1067">
        <v>4</v>
      </c>
      <c r="F153" s="1067">
        <v>1</v>
      </c>
      <c r="G153" s="1067">
        <v>2</v>
      </c>
      <c r="H153" s="1067">
        <v>1</v>
      </c>
    </row>
    <row r="154" spans="1:8" x14ac:dyDescent="0.25">
      <c r="A154" s="1067" t="s">
        <v>851</v>
      </c>
      <c r="B154" s="1067" t="s">
        <v>247</v>
      </c>
      <c r="C154" s="1067" t="s">
        <v>404</v>
      </c>
      <c r="D154" s="1067" t="s">
        <v>52</v>
      </c>
      <c r="E154" s="1067">
        <v>21</v>
      </c>
      <c r="F154" s="1067"/>
      <c r="G154" s="1067">
        <v>3</v>
      </c>
      <c r="H154" s="1067">
        <v>18</v>
      </c>
    </row>
  </sheetData>
  <sheetProtection algorithmName="SHA-512" hashValue="QbXRYnwW6xaRFQJmHzWiq6XWLxHScolu5lNiHtxpvMLNkdzNHlQZdCeAL3yJx9MEDKTDwmckYMIe246p19xvJA==" saltValue="cTfwbi5FN5IFqELHHwkrug=="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3"/>
  <sheetViews>
    <sheetView zoomScale="85" zoomScaleNormal="85" workbookViewId="0">
      <pane ySplit="4" topLeftCell="A5" activePane="bottomLeft" state="frozen"/>
      <selection pane="bottomLeft"/>
    </sheetView>
  </sheetViews>
  <sheetFormatPr defaultRowHeight="15" x14ac:dyDescent="0.25"/>
  <sheetData>
    <row r="1" spans="1:12" ht="15.75" x14ac:dyDescent="0.25">
      <c r="A1" s="981" t="s">
        <v>1198</v>
      </c>
    </row>
    <row r="2" spans="1:12" x14ac:dyDescent="0.25">
      <c r="A2" s="1139">
        <v>44071</v>
      </c>
      <c r="B2" s="1140"/>
    </row>
    <row r="4" spans="1:12" x14ac:dyDescent="0.25">
      <c r="A4" s="1066" t="s">
        <v>270</v>
      </c>
      <c r="B4" s="1066" t="s">
        <v>1082</v>
      </c>
      <c r="C4" s="1066" t="s">
        <v>257</v>
      </c>
      <c r="D4" s="1066" t="s">
        <v>1083</v>
      </c>
      <c r="E4" s="1066" t="s">
        <v>26</v>
      </c>
      <c r="F4" s="1066" t="s">
        <v>18</v>
      </c>
      <c r="G4" s="1066" t="s">
        <v>209</v>
      </c>
      <c r="H4" s="1066" t="s">
        <v>22</v>
      </c>
      <c r="I4" s="1066" t="s">
        <v>23</v>
      </c>
      <c r="J4" s="1066" t="s">
        <v>19</v>
      </c>
      <c r="K4" s="1066" t="s">
        <v>20</v>
      </c>
      <c r="L4" s="1066" t="s">
        <v>21</v>
      </c>
    </row>
    <row r="5" spans="1:12" x14ac:dyDescent="0.25">
      <c r="A5" s="1067" t="s">
        <v>204</v>
      </c>
      <c r="B5" s="1067" t="s">
        <v>247</v>
      </c>
      <c r="C5" s="1067"/>
      <c r="D5" s="1067" t="s">
        <v>281</v>
      </c>
      <c r="E5" s="1067">
        <v>3391.76</v>
      </c>
      <c r="F5" s="1067">
        <v>0</v>
      </c>
      <c r="G5" s="1067">
        <v>0</v>
      </c>
      <c r="H5" s="1067">
        <v>608</v>
      </c>
      <c r="I5" s="1067">
        <v>2354.7600000000002</v>
      </c>
      <c r="J5" s="1067">
        <v>0</v>
      </c>
      <c r="K5" s="1067">
        <v>13</v>
      </c>
      <c r="L5" s="1067">
        <v>416</v>
      </c>
    </row>
    <row r="6" spans="1:12" x14ac:dyDescent="0.25">
      <c r="A6" s="1067" t="s">
        <v>204</v>
      </c>
      <c r="B6" s="1067" t="s">
        <v>247</v>
      </c>
      <c r="C6" s="1067"/>
      <c r="D6" s="1067" t="s">
        <v>35</v>
      </c>
      <c r="E6" s="1067">
        <v>43</v>
      </c>
      <c r="F6" s="1067">
        <v>0</v>
      </c>
      <c r="G6" s="1067">
        <v>0</v>
      </c>
      <c r="H6" s="1067">
        <v>9</v>
      </c>
      <c r="I6" s="1067">
        <v>30</v>
      </c>
      <c r="J6" s="1067">
        <v>0</v>
      </c>
      <c r="K6" s="1067">
        <v>0</v>
      </c>
      <c r="L6" s="1067">
        <v>4</v>
      </c>
    </row>
    <row r="7" spans="1:12" x14ac:dyDescent="0.25">
      <c r="A7" s="1067" t="s">
        <v>204</v>
      </c>
      <c r="B7" s="1067" t="s">
        <v>247</v>
      </c>
      <c r="C7" s="1067"/>
      <c r="D7" s="1067" t="s">
        <v>36</v>
      </c>
      <c r="E7" s="1067">
        <v>69</v>
      </c>
      <c r="F7" s="1067">
        <v>0</v>
      </c>
      <c r="G7" s="1067">
        <v>0</v>
      </c>
      <c r="H7" s="1067">
        <v>11</v>
      </c>
      <c r="I7" s="1067">
        <v>53</v>
      </c>
      <c r="J7" s="1067">
        <v>0</v>
      </c>
      <c r="K7" s="1067">
        <v>0</v>
      </c>
      <c r="L7" s="1067">
        <v>5</v>
      </c>
    </row>
    <row r="8" spans="1:12" x14ac:dyDescent="0.25">
      <c r="A8" s="1067" t="s">
        <v>204</v>
      </c>
      <c r="B8" s="1067" t="s">
        <v>247</v>
      </c>
      <c r="C8" s="1067"/>
      <c r="D8" s="1067" t="s">
        <v>38</v>
      </c>
      <c r="E8" s="1067">
        <v>59</v>
      </c>
      <c r="F8" s="1067">
        <v>0</v>
      </c>
      <c r="G8" s="1067">
        <v>0</v>
      </c>
      <c r="H8" s="1067">
        <v>11</v>
      </c>
      <c r="I8" s="1067">
        <v>40</v>
      </c>
      <c r="J8" s="1067">
        <v>0</v>
      </c>
      <c r="K8" s="1067">
        <v>0</v>
      </c>
      <c r="L8" s="1067">
        <v>8</v>
      </c>
    </row>
    <row r="9" spans="1:12" x14ac:dyDescent="0.25">
      <c r="A9" s="1067" t="s">
        <v>204</v>
      </c>
      <c r="B9" s="1067" t="s">
        <v>247</v>
      </c>
      <c r="C9" s="1067"/>
      <c r="D9" s="1067" t="s">
        <v>40</v>
      </c>
      <c r="E9" s="1067">
        <v>29</v>
      </c>
      <c r="F9" s="1067">
        <v>0</v>
      </c>
      <c r="G9" s="1067">
        <v>0</v>
      </c>
      <c r="H9" s="1067">
        <v>5</v>
      </c>
      <c r="I9" s="1067">
        <v>21</v>
      </c>
      <c r="J9" s="1067">
        <v>0</v>
      </c>
      <c r="K9" s="1067">
        <v>0</v>
      </c>
      <c r="L9" s="1067">
        <v>3</v>
      </c>
    </row>
    <row r="10" spans="1:12" x14ac:dyDescent="0.25">
      <c r="A10" s="1067" t="s">
        <v>204</v>
      </c>
      <c r="B10" s="1067" t="s">
        <v>247</v>
      </c>
      <c r="C10" s="1067"/>
      <c r="D10" s="1067" t="s">
        <v>41</v>
      </c>
      <c r="E10" s="1067">
        <v>59</v>
      </c>
      <c r="F10" s="1067">
        <v>0</v>
      </c>
      <c r="G10" s="1067">
        <v>0</v>
      </c>
      <c r="H10" s="1067">
        <v>14</v>
      </c>
      <c r="I10" s="1067">
        <v>34</v>
      </c>
      <c r="J10" s="1067">
        <v>0</v>
      </c>
      <c r="K10" s="1067">
        <v>0</v>
      </c>
      <c r="L10" s="1067">
        <v>11</v>
      </c>
    </row>
    <row r="11" spans="1:12" x14ac:dyDescent="0.25">
      <c r="A11" s="1067" t="s">
        <v>204</v>
      </c>
      <c r="B11" s="1067" t="s">
        <v>247</v>
      </c>
      <c r="C11" s="1067"/>
      <c r="D11" s="1067" t="s">
        <v>48</v>
      </c>
      <c r="E11" s="1067">
        <v>0</v>
      </c>
      <c r="F11" s="1067">
        <v>0</v>
      </c>
      <c r="G11" s="1067">
        <v>0</v>
      </c>
      <c r="H11" s="1067">
        <v>0</v>
      </c>
      <c r="I11" s="1067">
        <v>0</v>
      </c>
      <c r="J11" s="1067">
        <v>0</v>
      </c>
      <c r="K11" s="1067">
        <v>0</v>
      </c>
      <c r="L11" s="1067">
        <v>0</v>
      </c>
    </row>
    <row r="12" spans="1:12" x14ac:dyDescent="0.25">
      <c r="A12" s="1067" t="s">
        <v>204</v>
      </c>
      <c r="B12" s="1067" t="s">
        <v>247</v>
      </c>
      <c r="C12" s="1067"/>
      <c r="D12" s="1067" t="s">
        <v>42</v>
      </c>
      <c r="E12" s="1067">
        <v>96</v>
      </c>
      <c r="F12" s="1067">
        <v>0</v>
      </c>
      <c r="G12" s="1067">
        <v>0</v>
      </c>
      <c r="H12" s="1067">
        <v>18</v>
      </c>
      <c r="I12" s="1067">
        <v>65</v>
      </c>
      <c r="J12" s="1067">
        <v>0</v>
      </c>
      <c r="K12" s="1067">
        <v>1</v>
      </c>
      <c r="L12" s="1067">
        <v>12</v>
      </c>
    </row>
    <row r="13" spans="1:12" x14ac:dyDescent="0.25">
      <c r="A13" s="1067" t="s">
        <v>204</v>
      </c>
      <c r="B13" s="1067" t="s">
        <v>247</v>
      </c>
      <c r="C13" s="1067"/>
      <c r="D13" s="1067" t="s">
        <v>44</v>
      </c>
      <c r="E13" s="1067">
        <v>81</v>
      </c>
      <c r="F13" s="1067">
        <v>0</v>
      </c>
      <c r="G13" s="1067">
        <v>0</v>
      </c>
      <c r="H13" s="1067">
        <v>9</v>
      </c>
      <c r="I13" s="1067">
        <v>60</v>
      </c>
      <c r="J13" s="1067">
        <v>0</v>
      </c>
      <c r="K13" s="1067">
        <v>2</v>
      </c>
      <c r="L13" s="1067">
        <v>10</v>
      </c>
    </row>
    <row r="14" spans="1:12" x14ac:dyDescent="0.25">
      <c r="A14" s="1067" t="s">
        <v>204</v>
      </c>
      <c r="B14" s="1067" t="s">
        <v>247</v>
      </c>
      <c r="C14" s="1067"/>
      <c r="D14" s="1067" t="s">
        <v>45</v>
      </c>
      <c r="E14" s="1067">
        <v>78</v>
      </c>
      <c r="F14" s="1067">
        <v>0</v>
      </c>
      <c r="G14" s="1067">
        <v>0</v>
      </c>
      <c r="H14" s="1067">
        <v>18</v>
      </c>
      <c r="I14" s="1067">
        <v>49</v>
      </c>
      <c r="J14" s="1067">
        <v>0</v>
      </c>
      <c r="K14" s="1067">
        <v>0</v>
      </c>
      <c r="L14" s="1067">
        <v>11</v>
      </c>
    </row>
    <row r="15" spans="1:12" x14ac:dyDescent="0.25">
      <c r="A15" s="1067" t="s">
        <v>204</v>
      </c>
      <c r="B15" s="1067" t="s">
        <v>247</v>
      </c>
      <c r="C15" s="1067"/>
      <c r="D15" s="1067" t="s">
        <v>46</v>
      </c>
      <c r="E15" s="1067">
        <v>35</v>
      </c>
      <c r="F15" s="1067">
        <v>0</v>
      </c>
      <c r="G15" s="1067">
        <v>0</v>
      </c>
      <c r="H15" s="1067">
        <v>4</v>
      </c>
      <c r="I15" s="1067">
        <v>26</v>
      </c>
      <c r="J15" s="1067">
        <v>0</v>
      </c>
      <c r="K15" s="1067">
        <v>0</v>
      </c>
      <c r="L15" s="1067">
        <v>5</v>
      </c>
    </row>
    <row r="16" spans="1:12" x14ac:dyDescent="0.25">
      <c r="A16" s="1067" t="s">
        <v>204</v>
      </c>
      <c r="B16" s="1067" t="s">
        <v>247</v>
      </c>
      <c r="C16" s="1067"/>
      <c r="D16" s="1067" t="s">
        <v>47</v>
      </c>
      <c r="E16" s="1067">
        <v>20</v>
      </c>
      <c r="F16" s="1067">
        <v>0</v>
      </c>
      <c r="G16" s="1067">
        <v>0</v>
      </c>
      <c r="H16" s="1067">
        <v>2</v>
      </c>
      <c r="I16" s="1067">
        <v>15</v>
      </c>
      <c r="J16" s="1067">
        <v>0</v>
      </c>
      <c r="K16" s="1067">
        <v>0</v>
      </c>
      <c r="L16" s="1067">
        <v>3</v>
      </c>
    </row>
    <row r="17" spans="1:12" x14ac:dyDescent="0.25">
      <c r="A17" s="1067" t="s">
        <v>204</v>
      </c>
      <c r="B17" s="1067" t="s">
        <v>247</v>
      </c>
      <c r="C17" s="1067"/>
      <c r="D17" s="1067" t="s">
        <v>49</v>
      </c>
      <c r="E17" s="1067">
        <v>76</v>
      </c>
      <c r="F17" s="1067">
        <v>0</v>
      </c>
      <c r="G17" s="1067">
        <v>0</v>
      </c>
      <c r="H17" s="1067">
        <v>13</v>
      </c>
      <c r="I17" s="1067">
        <v>50</v>
      </c>
      <c r="J17" s="1067">
        <v>0</v>
      </c>
      <c r="K17" s="1067">
        <v>0</v>
      </c>
      <c r="L17" s="1067">
        <v>13</v>
      </c>
    </row>
    <row r="18" spans="1:12" x14ac:dyDescent="0.25">
      <c r="A18" s="1067" t="s">
        <v>204</v>
      </c>
      <c r="B18" s="1067" t="s">
        <v>247</v>
      </c>
      <c r="C18" s="1067"/>
      <c r="D18" s="1067" t="s">
        <v>51</v>
      </c>
      <c r="E18" s="1067">
        <v>0</v>
      </c>
      <c r="F18" s="1067">
        <v>0</v>
      </c>
      <c r="G18" s="1067">
        <v>0</v>
      </c>
      <c r="H18" s="1067">
        <v>0</v>
      </c>
      <c r="I18" s="1067">
        <v>0</v>
      </c>
      <c r="J18" s="1067">
        <v>0</v>
      </c>
      <c r="K18" s="1067">
        <v>0</v>
      </c>
      <c r="L18" s="1067">
        <v>0</v>
      </c>
    </row>
    <row r="19" spans="1:12" x14ac:dyDescent="0.25">
      <c r="A19" s="1067" t="s">
        <v>204</v>
      </c>
      <c r="B19" s="1067" t="s">
        <v>247</v>
      </c>
      <c r="C19" s="1067"/>
      <c r="D19" s="1067" t="s">
        <v>52</v>
      </c>
      <c r="E19" s="1067">
        <v>88</v>
      </c>
      <c r="F19" s="1067">
        <v>0</v>
      </c>
      <c r="G19" s="1067">
        <v>0</v>
      </c>
      <c r="H19" s="1067">
        <v>14</v>
      </c>
      <c r="I19" s="1067">
        <v>61</v>
      </c>
      <c r="J19" s="1067">
        <v>0</v>
      </c>
      <c r="K19" s="1067">
        <v>2</v>
      </c>
      <c r="L19" s="1067">
        <v>11</v>
      </c>
    </row>
    <row r="20" spans="1:12" x14ac:dyDescent="0.25">
      <c r="A20" s="1067" t="s">
        <v>204</v>
      </c>
      <c r="B20" s="1067" t="s">
        <v>247</v>
      </c>
      <c r="C20" s="1067"/>
      <c r="D20" s="1067" t="s">
        <v>54</v>
      </c>
      <c r="E20" s="1067">
        <v>75</v>
      </c>
      <c r="F20" s="1067">
        <v>0</v>
      </c>
      <c r="G20" s="1067">
        <v>0</v>
      </c>
      <c r="H20" s="1067">
        <v>11</v>
      </c>
      <c r="I20" s="1067">
        <v>54</v>
      </c>
      <c r="J20" s="1067">
        <v>0</v>
      </c>
      <c r="K20" s="1067">
        <v>0</v>
      </c>
      <c r="L20" s="1067">
        <v>10</v>
      </c>
    </row>
    <row r="21" spans="1:12" x14ac:dyDescent="0.25">
      <c r="A21" s="1067" t="s">
        <v>204</v>
      </c>
      <c r="B21" s="1067" t="s">
        <v>247</v>
      </c>
      <c r="C21" s="1067"/>
      <c r="D21" s="1067" t="s">
        <v>55</v>
      </c>
      <c r="E21" s="1067">
        <v>0</v>
      </c>
      <c r="F21" s="1067">
        <v>0</v>
      </c>
      <c r="G21" s="1067">
        <v>0</v>
      </c>
      <c r="H21" s="1067">
        <v>0</v>
      </c>
      <c r="I21" s="1067">
        <v>0</v>
      </c>
      <c r="J21" s="1067">
        <v>0</v>
      </c>
      <c r="K21" s="1067">
        <v>0</v>
      </c>
      <c r="L21" s="1067">
        <v>0</v>
      </c>
    </row>
    <row r="22" spans="1:12" x14ac:dyDescent="0.25">
      <c r="A22" s="1067" t="s">
        <v>204</v>
      </c>
      <c r="B22" s="1067" t="s">
        <v>247</v>
      </c>
      <c r="C22" s="1067"/>
      <c r="D22" s="1067" t="s">
        <v>56</v>
      </c>
      <c r="E22" s="1067">
        <v>65</v>
      </c>
      <c r="F22" s="1067">
        <v>0</v>
      </c>
      <c r="G22" s="1067">
        <v>0</v>
      </c>
      <c r="H22" s="1067">
        <v>10</v>
      </c>
      <c r="I22" s="1067">
        <v>47</v>
      </c>
      <c r="J22" s="1067">
        <v>0</v>
      </c>
      <c r="K22" s="1067">
        <v>0</v>
      </c>
      <c r="L22" s="1067">
        <v>8</v>
      </c>
    </row>
    <row r="23" spans="1:12" x14ac:dyDescent="0.25">
      <c r="A23" s="1067" t="s">
        <v>204</v>
      </c>
      <c r="B23" s="1067" t="s">
        <v>247</v>
      </c>
      <c r="C23" s="1067"/>
      <c r="D23" s="1067" t="s">
        <v>57</v>
      </c>
      <c r="E23" s="1067">
        <v>190</v>
      </c>
      <c r="F23" s="1067">
        <v>0</v>
      </c>
      <c r="G23" s="1067">
        <v>0</v>
      </c>
      <c r="H23" s="1067">
        <v>33</v>
      </c>
      <c r="I23" s="1067">
        <v>129</v>
      </c>
      <c r="J23" s="1067">
        <v>0</v>
      </c>
      <c r="K23" s="1067">
        <v>2</v>
      </c>
      <c r="L23" s="1067">
        <v>26</v>
      </c>
    </row>
    <row r="24" spans="1:12" x14ac:dyDescent="0.25">
      <c r="A24" s="1067" t="s">
        <v>204</v>
      </c>
      <c r="B24" s="1067" t="s">
        <v>247</v>
      </c>
      <c r="C24" s="1067"/>
      <c r="D24" s="1067" t="s">
        <v>58</v>
      </c>
      <c r="E24" s="1067">
        <v>61.76</v>
      </c>
      <c r="F24" s="1067">
        <v>0</v>
      </c>
      <c r="G24" s="1067">
        <v>0</v>
      </c>
      <c r="H24" s="1067">
        <v>10</v>
      </c>
      <c r="I24" s="1067">
        <v>41.76</v>
      </c>
      <c r="J24" s="1067">
        <v>0</v>
      </c>
      <c r="K24" s="1067">
        <v>0</v>
      </c>
      <c r="L24" s="1067">
        <v>10</v>
      </c>
    </row>
    <row r="25" spans="1:12" x14ac:dyDescent="0.25">
      <c r="A25" s="1067" t="s">
        <v>204</v>
      </c>
      <c r="B25" s="1067" t="s">
        <v>247</v>
      </c>
      <c r="C25" s="1067"/>
      <c r="D25" s="1067" t="s">
        <v>31</v>
      </c>
      <c r="E25" s="1067">
        <v>174</v>
      </c>
      <c r="F25" s="1067">
        <v>0</v>
      </c>
      <c r="G25" s="1067">
        <v>0</v>
      </c>
      <c r="H25" s="1067">
        <v>24</v>
      </c>
      <c r="I25" s="1067">
        <v>128</v>
      </c>
      <c r="J25" s="1067">
        <v>0</v>
      </c>
      <c r="K25" s="1067">
        <v>0</v>
      </c>
      <c r="L25" s="1067">
        <v>22</v>
      </c>
    </row>
    <row r="26" spans="1:12" x14ac:dyDescent="0.25">
      <c r="A26" s="1067" t="s">
        <v>204</v>
      </c>
      <c r="B26" s="1067" t="s">
        <v>247</v>
      </c>
      <c r="C26" s="1067"/>
      <c r="D26" s="1067" t="s">
        <v>32</v>
      </c>
      <c r="E26" s="1067">
        <v>23</v>
      </c>
      <c r="F26" s="1067">
        <v>0</v>
      </c>
      <c r="G26" s="1067">
        <v>0</v>
      </c>
      <c r="H26" s="1067">
        <v>3</v>
      </c>
      <c r="I26" s="1067">
        <v>16</v>
      </c>
      <c r="J26" s="1067">
        <v>0</v>
      </c>
      <c r="K26" s="1067">
        <v>0</v>
      </c>
      <c r="L26" s="1067">
        <v>4</v>
      </c>
    </row>
    <row r="27" spans="1:12" x14ac:dyDescent="0.25">
      <c r="A27" s="1067" t="s">
        <v>204</v>
      </c>
      <c r="B27" s="1067" t="s">
        <v>247</v>
      </c>
      <c r="C27" s="1067"/>
      <c r="D27" s="1067" t="s">
        <v>34</v>
      </c>
      <c r="E27" s="1067">
        <v>58</v>
      </c>
      <c r="F27" s="1067">
        <v>0</v>
      </c>
      <c r="G27" s="1067">
        <v>0</v>
      </c>
      <c r="H27" s="1067">
        <v>10</v>
      </c>
      <c r="I27" s="1067">
        <v>31</v>
      </c>
      <c r="J27" s="1067">
        <v>0</v>
      </c>
      <c r="K27" s="1067">
        <v>2</v>
      </c>
      <c r="L27" s="1067">
        <v>15</v>
      </c>
    </row>
    <row r="28" spans="1:12" x14ac:dyDescent="0.25">
      <c r="A28" s="1067" t="s">
        <v>204</v>
      </c>
      <c r="B28" s="1067" t="s">
        <v>247</v>
      </c>
      <c r="C28" s="1067"/>
      <c r="D28" s="1067" t="s">
        <v>258</v>
      </c>
      <c r="E28" s="1067">
        <v>370</v>
      </c>
      <c r="F28" s="1067">
        <v>0</v>
      </c>
      <c r="G28" s="1067">
        <v>0</v>
      </c>
      <c r="H28" s="1067">
        <v>70</v>
      </c>
      <c r="I28" s="1067">
        <v>275</v>
      </c>
      <c r="J28" s="1067">
        <v>0</v>
      </c>
      <c r="K28" s="1067">
        <v>0</v>
      </c>
      <c r="L28" s="1067">
        <v>25</v>
      </c>
    </row>
    <row r="29" spans="1:12" x14ac:dyDescent="0.25">
      <c r="A29" s="1067" t="s">
        <v>204</v>
      </c>
      <c r="B29" s="1067" t="s">
        <v>247</v>
      </c>
      <c r="C29" s="1067"/>
      <c r="D29" s="1067" t="s">
        <v>53</v>
      </c>
      <c r="E29" s="1067">
        <v>116</v>
      </c>
      <c r="F29" s="1067">
        <v>0</v>
      </c>
      <c r="G29" s="1067">
        <v>0</v>
      </c>
      <c r="H29" s="1067">
        <v>22</v>
      </c>
      <c r="I29" s="1067">
        <v>74</v>
      </c>
      <c r="J29" s="1067">
        <v>0</v>
      </c>
      <c r="K29" s="1067">
        <v>1</v>
      </c>
      <c r="L29" s="1067">
        <v>19</v>
      </c>
    </row>
    <row r="30" spans="1:12" x14ac:dyDescent="0.25">
      <c r="A30" s="1067" t="s">
        <v>204</v>
      </c>
      <c r="B30" s="1067" t="s">
        <v>247</v>
      </c>
      <c r="C30" s="1067"/>
      <c r="D30" s="1067" t="s">
        <v>59</v>
      </c>
      <c r="E30" s="1067">
        <v>80</v>
      </c>
      <c r="F30" s="1067">
        <v>0</v>
      </c>
      <c r="G30" s="1067">
        <v>0</v>
      </c>
      <c r="H30" s="1067">
        <v>18</v>
      </c>
      <c r="I30" s="1067">
        <v>52</v>
      </c>
      <c r="J30" s="1067">
        <v>0</v>
      </c>
      <c r="K30" s="1067">
        <v>0</v>
      </c>
      <c r="L30" s="1067">
        <v>10</v>
      </c>
    </row>
    <row r="31" spans="1:12" x14ac:dyDescent="0.25">
      <c r="A31" s="1067" t="s">
        <v>204</v>
      </c>
      <c r="B31" s="1067" t="s">
        <v>247</v>
      </c>
      <c r="C31" s="1067"/>
      <c r="D31" s="1067" t="s">
        <v>60</v>
      </c>
      <c r="E31" s="1067">
        <v>85</v>
      </c>
      <c r="F31" s="1067">
        <v>0</v>
      </c>
      <c r="G31" s="1067">
        <v>0</v>
      </c>
      <c r="H31" s="1067">
        <v>14</v>
      </c>
      <c r="I31" s="1067">
        <v>61</v>
      </c>
      <c r="J31" s="1067">
        <v>0</v>
      </c>
      <c r="K31" s="1067">
        <v>0</v>
      </c>
      <c r="L31" s="1067">
        <v>10</v>
      </c>
    </row>
    <row r="32" spans="1:12" x14ac:dyDescent="0.25">
      <c r="A32" s="1067" t="s">
        <v>204</v>
      </c>
      <c r="B32" s="1067" t="s">
        <v>247</v>
      </c>
      <c r="C32" s="1067"/>
      <c r="D32" s="1067" t="s">
        <v>33</v>
      </c>
      <c r="E32" s="1067">
        <v>35</v>
      </c>
      <c r="F32" s="1067">
        <v>0</v>
      </c>
      <c r="G32" s="1067">
        <v>0</v>
      </c>
      <c r="H32" s="1067">
        <v>0</v>
      </c>
      <c r="I32" s="1067">
        <v>25</v>
      </c>
      <c r="J32" s="1067">
        <v>0</v>
      </c>
      <c r="K32" s="1067">
        <v>1</v>
      </c>
      <c r="L32" s="1067">
        <v>9</v>
      </c>
    </row>
    <row r="33" spans="1:12" x14ac:dyDescent="0.25">
      <c r="A33" s="1067" t="s">
        <v>204</v>
      </c>
      <c r="B33" s="1067" t="s">
        <v>247</v>
      </c>
      <c r="C33" s="1067"/>
      <c r="D33" s="1067" t="s">
        <v>37</v>
      </c>
      <c r="E33" s="1067">
        <v>215</v>
      </c>
      <c r="F33" s="1067">
        <v>0</v>
      </c>
      <c r="G33" s="1067">
        <v>0</v>
      </c>
      <c r="H33" s="1067">
        <v>29</v>
      </c>
      <c r="I33" s="1067">
        <v>162</v>
      </c>
      <c r="J33" s="1067">
        <v>0</v>
      </c>
      <c r="K33" s="1067">
        <v>1</v>
      </c>
      <c r="L33" s="1067">
        <v>23</v>
      </c>
    </row>
    <row r="34" spans="1:12" x14ac:dyDescent="0.25">
      <c r="A34" s="1067" t="s">
        <v>204</v>
      </c>
      <c r="B34" s="1067" t="s">
        <v>247</v>
      </c>
      <c r="C34" s="1067"/>
      <c r="D34" s="1067" t="s">
        <v>50</v>
      </c>
      <c r="E34" s="1067">
        <v>188</v>
      </c>
      <c r="F34" s="1067">
        <v>0</v>
      </c>
      <c r="G34" s="1067">
        <v>0</v>
      </c>
      <c r="H34" s="1067">
        <v>34</v>
      </c>
      <c r="I34" s="1067">
        <v>129</v>
      </c>
      <c r="J34" s="1067">
        <v>0</v>
      </c>
      <c r="K34" s="1067">
        <v>1</v>
      </c>
      <c r="L34" s="1067">
        <v>24</v>
      </c>
    </row>
    <row r="35" spans="1:12" x14ac:dyDescent="0.25">
      <c r="A35" s="1067" t="s">
        <v>204</v>
      </c>
      <c r="B35" s="1067" t="s">
        <v>247</v>
      </c>
      <c r="C35" s="1067"/>
      <c r="D35" s="1067" t="s">
        <v>39</v>
      </c>
      <c r="E35" s="1067">
        <v>74</v>
      </c>
      <c r="F35" s="1067">
        <v>0</v>
      </c>
      <c r="G35" s="1067">
        <v>0</v>
      </c>
      <c r="H35" s="1067">
        <v>15</v>
      </c>
      <c r="I35" s="1067">
        <v>45</v>
      </c>
      <c r="J35" s="1067">
        <v>0</v>
      </c>
      <c r="K35" s="1067">
        <v>0</v>
      </c>
      <c r="L35" s="1067">
        <v>14</v>
      </c>
    </row>
    <row r="36" spans="1:12" x14ac:dyDescent="0.25">
      <c r="A36" s="1067" t="s">
        <v>204</v>
      </c>
      <c r="B36" s="1067" t="s">
        <v>247</v>
      </c>
      <c r="C36" s="1067"/>
      <c r="D36" s="1067" t="s">
        <v>121</v>
      </c>
      <c r="E36" s="1067">
        <v>560</v>
      </c>
      <c r="F36" s="1067">
        <v>0</v>
      </c>
      <c r="G36" s="1067">
        <v>0</v>
      </c>
      <c r="H36" s="1067">
        <v>119</v>
      </c>
      <c r="I36" s="1067">
        <v>373</v>
      </c>
      <c r="J36" s="1067">
        <v>0</v>
      </c>
      <c r="K36" s="1067">
        <v>0</v>
      </c>
      <c r="L36" s="1067">
        <v>68</v>
      </c>
    </row>
    <row r="37" spans="1:12" x14ac:dyDescent="0.25">
      <c r="A37" s="1067" t="s">
        <v>204</v>
      </c>
      <c r="B37" s="1067" t="s">
        <v>247</v>
      </c>
      <c r="C37" s="1067"/>
      <c r="D37" s="1067" t="s">
        <v>43</v>
      </c>
      <c r="E37" s="1067">
        <v>289</v>
      </c>
      <c r="F37" s="1067">
        <v>0</v>
      </c>
      <c r="G37" s="1067">
        <v>0</v>
      </c>
      <c r="H37" s="1067">
        <v>58</v>
      </c>
      <c r="I37" s="1067">
        <v>208</v>
      </c>
      <c r="J37" s="1067">
        <v>0</v>
      </c>
      <c r="K37" s="1067">
        <v>0</v>
      </c>
      <c r="L37" s="1067">
        <v>23</v>
      </c>
    </row>
    <row r="38" spans="1:12" x14ac:dyDescent="0.25">
      <c r="A38" s="1067" t="s">
        <v>204</v>
      </c>
      <c r="B38" s="1067" t="s">
        <v>248</v>
      </c>
      <c r="C38" s="1067"/>
      <c r="D38" s="1067" t="s">
        <v>281</v>
      </c>
      <c r="E38" s="1067">
        <v>285</v>
      </c>
      <c r="F38" s="1067">
        <v>17</v>
      </c>
      <c r="G38" s="1067">
        <v>0</v>
      </c>
      <c r="H38" s="1067">
        <v>5</v>
      </c>
      <c r="I38" s="1067">
        <v>15</v>
      </c>
      <c r="J38" s="1067">
        <v>69</v>
      </c>
      <c r="K38" s="1067">
        <v>85</v>
      </c>
      <c r="L38" s="1067">
        <v>94</v>
      </c>
    </row>
    <row r="39" spans="1:12" x14ac:dyDescent="0.25">
      <c r="A39" s="1067" t="s">
        <v>204</v>
      </c>
      <c r="B39" s="1067" t="s">
        <v>248</v>
      </c>
      <c r="C39" s="1067"/>
      <c r="D39" s="1067" t="s">
        <v>31</v>
      </c>
      <c r="E39" s="1067">
        <v>23</v>
      </c>
      <c r="F39" s="1067">
        <v>1</v>
      </c>
      <c r="G39" s="1067">
        <v>0</v>
      </c>
      <c r="H39" s="1067">
        <v>0</v>
      </c>
      <c r="I39" s="1067">
        <v>1</v>
      </c>
      <c r="J39" s="1067">
        <v>7</v>
      </c>
      <c r="K39" s="1067">
        <v>6</v>
      </c>
      <c r="L39" s="1067">
        <v>8</v>
      </c>
    </row>
    <row r="40" spans="1:12" x14ac:dyDescent="0.25">
      <c r="A40" s="1067" t="s">
        <v>204</v>
      </c>
      <c r="B40" s="1067" t="s">
        <v>248</v>
      </c>
      <c r="C40" s="1067"/>
      <c r="D40" s="1067" t="s">
        <v>63</v>
      </c>
      <c r="E40" s="1067">
        <v>15</v>
      </c>
      <c r="F40" s="1067">
        <v>1</v>
      </c>
      <c r="G40" s="1067">
        <v>0</v>
      </c>
      <c r="H40" s="1067">
        <v>0</v>
      </c>
      <c r="I40" s="1067">
        <v>0</v>
      </c>
      <c r="J40" s="1067">
        <v>2</v>
      </c>
      <c r="K40" s="1067">
        <v>4</v>
      </c>
      <c r="L40" s="1067">
        <v>8</v>
      </c>
    </row>
    <row r="41" spans="1:12" x14ac:dyDescent="0.25">
      <c r="A41" s="1067" t="s">
        <v>204</v>
      </c>
      <c r="B41" s="1067" t="s">
        <v>248</v>
      </c>
      <c r="C41" s="1067"/>
      <c r="D41" s="1067" t="s">
        <v>64</v>
      </c>
      <c r="E41" s="1067">
        <v>22</v>
      </c>
      <c r="F41" s="1067">
        <v>1</v>
      </c>
      <c r="G41" s="1067">
        <v>0</v>
      </c>
      <c r="H41" s="1067">
        <v>1</v>
      </c>
      <c r="I41" s="1067">
        <v>1</v>
      </c>
      <c r="J41" s="1067">
        <v>3</v>
      </c>
      <c r="K41" s="1067">
        <v>6</v>
      </c>
      <c r="L41" s="1067">
        <v>10</v>
      </c>
    </row>
    <row r="42" spans="1:12" x14ac:dyDescent="0.25">
      <c r="A42" s="1067" t="s">
        <v>204</v>
      </c>
      <c r="B42" s="1067" t="s">
        <v>248</v>
      </c>
      <c r="C42" s="1067"/>
      <c r="D42" s="1067" t="s">
        <v>36</v>
      </c>
      <c r="E42" s="1067">
        <v>16</v>
      </c>
      <c r="F42" s="1067">
        <v>0</v>
      </c>
      <c r="G42" s="1067">
        <v>0</v>
      </c>
      <c r="H42" s="1067">
        <v>0</v>
      </c>
      <c r="I42" s="1067">
        <v>0</v>
      </c>
      <c r="J42" s="1067">
        <v>2</v>
      </c>
      <c r="K42" s="1067">
        <v>5</v>
      </c>
      <c r="L42" s="1067">
        <v>9</v>
      </c>
    </row>
    <row r="43" spans="1:12" x14ac:dyDescent="0.25">
      <c r="A43" s="1067" t="s">
        <v>204</v>
      </c>
      <c r="B43" s="1067" t="s">
        <v>248</v>
      </c>
      <c r="C43" s="1067"/>
      <c r="D43" s="1067" t="s">
        <v>66</v>
      </c>
      <c r="E43" s="1067">
        <v>21</v>
      </c>
      <c r="F43" s="1067">
        <v>1</v>
      </c>
      <c r="G43" s="1067">
        <v>0</v>
      </c>
      <c r="H43" s="1067">
        <v>0</v>
      </c>
      <c r="I43" s="1067">
        <v>5</v>
      </c>
      <c r="J43" s="1067">
        <v>7</v>
      </c>
      <c r="K43" s="1067">
        <v>0</v>
      </c>
      <c r="L43" s="1067">
        <v>8</v>
      </c>
    </row>
    <row r="44" spans="1:12" x14ac:dyDescent="0.25">
      <c r="A44" s="1067" t="s">
        <v>204</v>
      </c>
      <c r="B44" s="1067" t="s">
        <v>248</v>
      </c>
      <c r="C44" s="1067"/>
      <c r="D44" s="1067" t="s">
        <v>67</v>
      </c>
      <c r="E44" s="1067">
        <v>12</v>
      </c>
      <c r="F44" s="1067">
        <v>1</v>
      </c>
      <c r="G44" s="1067">
        <v>0</v>
      </c>
      <c r="H44" s="1067">
        <v>0</v>
      </c>
      <c r="I44" s="1067">
        <v>1</v>
      </c>
      <c r="J44" s="1067">
        <v>3</v>
      </c>
      <c r="K44" s="1067">
        <v>5</v>
      </c>
      <c r="L44" s="1067">
        <v>2</v>
      </c>
    </row>
    <row r="45" spans="1:12" x14ac:dyDescent="0.25">
      <c r="A45" s="1067" t="s">
        <v>204</v>
      </c>
      <c r="B45" s="1067" t="s">
        <v>248</v>
      </c>
      <c r="C45" s="1067"/>
      <c r="D45" s="1067" t="s">
        <v>68</v>
      </c>
      <c r="E45" s="1067">
        <v>23</v>
      </c>
      <c r="F45" s="1067">
        <v>1</v>
      </c>
      <c r="G45" s="1067">
        <v>0</v>
      </c>
      <c r="H45" s="1067">
        <v>0</v>
      </c>
      <c r="I45" s="1067">
        <v>0</v>
      </c>
      <c r="J45" s="1067">
        <v>9</v>
      </c>
      <c r="K45" s="1067">
        <v>7</v>
      </c>
      <c r="L45" s="1067">
        <v>6</v>
      </c>
    </row>
    <row r="46" spans="1:12" x14ac:dyDescent="0.25">
      <c r="A46" s="1067" t="s">
        <v>204</v>
      </c>
      <c r="B46" s="1067" t="s">
        <v>248</v>
      </c>
      <c r="C46" s="1067"/>
      <c r="D46" s="1067" t="s">
        <v>175</v>
      </c>
      <c r="E46" s="1067">
        <v>26</v>
      </c>
      <c r="F46" s="1067">
        <v>2</v>
      </c>
      <c r="G46" s="1067">
        <v>0</v>
      </c>
      <c r="H46" s="1067">
        <v>3</v>
      </c>
      <c r="I46" s="1067">
        <v>2</v>
      </c>
      <c r="J46" s="1067">
        <v>9</v>
      </c>
      <c r="K46" s="1067">
        <v>3</v>
      </c>
      <c r="L46" s="1067">
        <v>7</v>
      </c>
    </row>
    <row r="47" spans="1:12" x14ac:dyDescent="0.25">
      <c r="A47" s="1067" t="s">
        <v>204</v>
      </c>
      <c r="B47" s="1067" t="s">
        <v>248</v>
      </c>
      <c r="C47" s="1067"/>
      <c r="D47" s="1067" t="s">
        <v>69</v>
      </c>
      <c r="E47" s="1067">
        <v>13</v>
      </c>
      <c r="F47" s="1067">
        <v>1</v>
      </c>
      <c r="G47" s="1067">
        <v>0</v>
      </c>
      <c r="H47" s="1067">
        <v>0</v>
      </c>
      <c r="I47" s="1067">
        <v>2</v>
      </c>
      <c r="J47" s="1067">
        <v>2</v>
      </c>
      <c r="K47" s="1067">
        <v>2</v>
      </c>
      <c r="L47" s="1067">
        <v>6</v>
      </c>
    </row>
    <row r="48" spans="1:12" x14ac:dyDescent="0.25">
      <c r="A48" s="1067" t="s">
        <v>204</v>
      </c>
      <c r="B48" s="1067" t="s">
        <v>248</v>
      </c>
      <c r="C48" s="1067"/>
      <c r="D48" s="1067" t="s">
        <v>121</v>
      </c>
      <c r="E48" s="1067">
        <v>28</v>
      </c>
      <c r="F48" s="1067">
        <v>1</v>
      </c>
      <c r="G48" s="1067">
        <v>0</v>
      </c>
      <c r="H48" s="1067">
        <v>0</v>
      </c>
      <c r="I48" s="1067">
        <v>3</v>
      </c>
      <c r="J48" s="1067">
        <v>4</v>
      </c>
      <c r="K48" s="1067">
        <v>10</v>
      </c>
      <c r="L48" s="1067">
        <v>10</v>
      </c>
    </row>
    <row r="49" spans="1:12" x14ac:dyDescent="0.25">
      <c r="A49" s="1067" t="s">
        <v>204</v>
      </c>
      <c r="B49" s="1067" t="s">
        <v>248</v>
      </c>
      <c r="C49" s="1067"/>
      <c r="D49" s="1067" t="s">
        <v>70</v>
      </c>
      <c r="E49" s="1067">
        <v>13</v>
      </c>
      <c r="F49" s="1067">
        <v>1</v>
      </c>
      <c r="G49" s="1067">
        <v>0</v>
      </c>
      <c r="H49" s="1067">
        <v>0</v>
      </c>
      <c r="I49" s="1067">
        <v>0</v>
      </c>
      <c r="J49" s="1067">
        <v>4</v>
      </c>
      <c r="K49" s="1067">
        <v>7</v>
      </c>
      <c r="L49" s="1067">
        <v>1</v>
      </c>
    </row>
    <row r="50" spans="1:12" x14ac:dyDescent="0.25">
      <c r="A50" s="1067" t="s">
        <v>204</v>
      </c>
      <c r="B50" s="1067" t="s">
        <v>248</v>
      </c>
      <c r="C50" s="1067"/>
      <c r="D50" s="1067" t="s">
        <v>50</v>
      </c>
      <c r="E50" s="1067">
        <v>14</v>
      </c>
      <c r="F50" s="1067">
        <v>1</v>
      </c>
      <c r="G50" s="1067">
        <v>0</v>
      </c>
      <c r="H50" s="1067">
        <v>1</v>
      </c>
      <c r="I50" s="1067">
        <v>0</v>
      </c>
      <c r="J50" s="1067">
        <v>2</v>
      </c>
      <c r="K50" s="1067">
        <v>6</v>
      </c>
      <c r="L50" s="1067">
        <v>4</v>
      </c>
    </row>
    <row r="51" spans="1:12" x14ac:dyDescent="0.25">
      <c r="A51" s="1067" t="s">
        <v>204</v>
      </c>
      <c r="B51" s="1067" t="s">
        <v>248</v>
      </c>
      <c r="C51" s="1067"/>
      <c r="D51" s="1067" t="s">
        <v>57</v>
      </c>
      <c r="E51" s="1067">
        <v>10</v>
      </c>
      <c r="F51" s="1067">
        <v>1</v>
      </c>
      <c r="G51" s="1067">
        <v>0</v>
      </c>
      <c r="H51" s="1067">
        <v>0</v>
      </c>
      <c r="I51" s="1067">
        <v>0</v>
      </c>
      <c r="J51" s="1067">
        <v>3</v>
      </c>
      <c r="K51" s="1067">
        <v>4</v>
      </c>
      <c r="L51" s="1067">
        <v>2</v>
      </c>
    </row>
    <row r="52" spans="1:12" x14ac:dyDescent="0.25">
      <c r="A52" s="1067" t="s">
        <v>204</v>
      </c>
      <c r="B52" s="1067" t="s">
        <v>248</v>
      </c>
      <c r="C52" s="1067"/>
      <c r="D52" s="1067" t="s">
        <v>1071</v>
      </c>
      <c r="E52" s="1067">
        <v>8</v>
      </c>
      <c r="F52" s="1067">
        <v>1</v>
      </c>
      <c r="G52" s="1067">
        <v>0</v>
      </c>
      <c r="H52" s="1067">
        <v>0</v>
      </c>
      <c r="I52" s="1067">
        <v>0</v>
      </c>
      <c r="J52" s="1067">
        <v>3</v>
      </c>
      <c r="K52" s="1067">
        <v>4</v>
      </c>
      <c r="L52" s="1067">
        <v>0</v>
      </c>
    </row>
    <row r="53" spans="1:12" x14ac:dyDescent="0.25">
      <c r="A53" s="1067" t="s">
        <v>204</v>
      </c>
      <c r="B53" s="1067" t="s">
        <v>248</v>
      </c>
      <c r="C53" s="1067"/>
      <c r="D53" s="1067" t="s">
        <v>71</v>
      </c>
      <c r="E53" s="1067">
        <v>9</v>
      </c>
      <c r="F53" s="1067">
        <v>1</v>
      </c>
      <c r="G53" s="1067">
        <v>0</v>
      </c>
      <c r="H53" s="1067">
        <v>0</v>
      </c>
      <c r="I53" s="1067">
        <v>0</v>
      </c>
      <c r="J53" s="1067">
        <v>3</v>
      </c>
      <c r="K53" s="1067">
        <v>5</v>
      </c>
      <c r="L53" s="1067">
        <v>0</v>
      </c>
    </row>
    <row r="54" spans="1:12" x14ac:dyDescent="0.25">
      <c r="A54" s="1067" t="s">
        <v>204</v>
      </c>
      <c r="B54" s="1067" t="s">
        <v>248</v>
      </c>
      <c r="C54" s="1067"/>
      <c r="D54" s="1067" t="s">
        <v>65</v>
      </c>
      <c r="E54" s="1067">
        <v>11</v>
      </c>
      <c r="F54" s="1067">
        <v>1</v>
      </c>
      <c r="G54" s="1067">
        <v>0</v>
      </c>
      <c r="H54" s="1067">
        <v>0</v>
      </c>
      <c r="I54" s="1067">
        <v>0</v>
      </c>
      <c r="J54" s="1067">
        <v>3</v>
      </c>
      <c r="K54" s="1067">
        <v>5</v>
      </c>
      <c r="L54" s="1067">
        <v>2</v>
      </c>
    </row>
    <row r="55" spans="1:12" x14ac:dyDescent="0.25">
      <c r="A55" s="1067" t="s">
        <v>204</v>
      </c>
      <c r="B55" s="1067" t="s">
        <v>248</v>
      </c>
      <c r="C55" s="1067"/>
      <c r="D55" s="1067" t="s">
        <v>43</v>
      </c>
      <c r="E55" s="1067">
        <v>21</v>
      </c>
      <c r="F55" s="1067">
        <v>1</v>
      </c>
      <c r="G55" s="1067">
        <v>0</v>
      </c>
      <c r="H55" s="1067">
        <v>0</v>
      </c>
      <c r="I55" s="1067">
        <v>0</v>
      </c>
      <c r="J55" s="1067">
        <v>3</v>
      </c>
      <c r="K55" s="1067">
        <v>6</v>
      </c>
      <c r="L55" s="1067">
        <v>11</v>
      </c>
    </row>
    <row r="56" spans="1:12" x14ac:dyDescent="0.25">
      <c r="A56" s="1067" t="s">
        <v>204</v>
      </c>
      <c r="B56" s="1067" t="s">
        <v>249</v>
      </c>
      <c r="C56" s="1067"/>
      <c r="D56" s="1067" t="s">
        <v>281</v>
      </c>
      <c r="E56" s="1067">
        <v>268</v>
      </c>
      <c r="F56" s="1067">
        <v>6</v>
      </c>
      <c r="G56" s="1067">
        <v>3</v>
      </c>
      <c r="H56" s="1067">
        <v>40</v>
      </c>
      <c r="I56" s="1067">
        <v>4</v>
      </c>
      <c r="J56" s="1067">
        <v>24</v>
      </c>
      <c r="K56" s="1067">
        <v>33</v>
      </c>
      <c r="L56" s="1067">
        <v>158</v>
      </c>
    </row>
    <row r="57" spans="1:12" x14ac:dyDescent="0.25">
      <c r="A57" s="1067" t="s">
        <v>204</v>
      </c>
      <c r="B57" s="1067" t="s">
        <v>249</v>
      </c>
      <c r="C57" s="1067"/>
      <c r="D57" s="1067" t="s">
        <v>173</v>
      </c>
      <c r="E57" s="1067">
        <v>111</v>
      </c>
      <c r="F57" s="1067">
        <v>3</v>
      </c>
      <c r="G57" s="1067">
        <v>1</v>
      </c>
      <c r="H57" s="1067">
        <v>8</v>
      </c>
      <c r="I57" s="1067">
        <v>0</v>
      </c>
      <c r="J57" s="1067">
        <v>12</v>
      </c>
      <c r="K57" s="1067">
        <v>8</v>
      </c>
      <c r="L57" s="1067">
        <v>79</v>
      </c>
    </row>
    <row r="58" spans="1:12" x14ac:dyDescent="0.25">
      <c r="A58" s="1067" t="s">
        <v>204</v>
      </c>
      <c r="B58" s="1067" t="s">
        <v>249</v>
      </c>
      <c r="C58" s="1067"/>
      <c r="D58" s="1067" t="s">
        <v>174</v>
      </c>
      <c r="E58" s="1067">
        <v>80</v>
      </c>
      <c r="F58" s="1067">
        <v>1</v>
      </c>
      <c r="G58" s="1067">
        <v>1</v>
      </c>
      <c r="H58" s="1067">
        <v>8</v>
      </c>
      <c r="I58" s="1067">
        <v>3</v>
      </c>
      <c r="J58" s="1067">
        <v>3</v>
      </c>
      <c r="K58" s="1067">
        <v>15</v>
      </c>
      <c r="L58" s="1067">
        <v>49</v>
      </c>
    </row>
    <row r="59" spans="1:12" x14ac:dyDescent="0.25">
      <c r="A59" s="1067" t="s">
        <v>204</v>
      </c>
      <c r="B59" s="1067" t="s">
        <v>249</v>
      </c>
      <c r="C59" s="1067"/>
      <c r="D59" s="1067" t="s">
        <v>172</v>
      </c>
      <c r="E59" s="1067">
        <v>77</v>
      </c>
      <c r="F59" s="1067">
        <v>2</v>
      </c>
      <c r="G59" s="1067">
        <v>1</v>
      </c>
      <c r="H59" s="1067">
        <v>24</v>
      </c>
      <c r="I59" s="1067">
        <v>1</v>
      </c>
      <c r="J59" s="1067">
        <v>9</v>
      </c>
      <c r="K59" s="1067">
        <v>10</v>
      </c>
      <c r="L59" s="1067">
        <v>30</v>
      </c>
    </row>
    <row r="60" spans="1:12" x14ac:dyDescent="0.25">
      <c r="A60" s="1067" t="s">
        <v>204</v>
      </c>
      <c r="B60" s="1067" t="s">
        <v>250</v>
      </c>
      <c r="C60" s="1067"/>
      <c r="D60" s="1067" t="s">
        <v>259</v>
      </c>
      <c r="E60" s="1067">
        <v>56</v>
      </c>
      <c r="F60" s="1067">
        <v>5</v>
      </c>
      <c r="G60" s="1067">
        <v>6</v>
      </c>
      <c r="H60" s="1067">
        <v>7</v>
      </c>
      <c r="I60" s="1067">
        <v>0</v>
      </c>
      <c r="J60" s="1067">
        <v>22</v>
      </c>
      <c r="K60" s="1067">
        <v>5</v>
      </c>
      <c r="L60" s="1067">
        <v>11</v>
      </c>
    </row>
    <row r="61" spans="1:12" x14ac:dyDescent="0.25">
      <c r="A61" s="1067" t="s">
        <v>204</v>
      </c>
      <c r="B61" s="1067" t="s">
        <v>26</v>
      </c>
      <c r="C61" s="1067"/>
      <c r="D61" s="1067" t="s">
        <v>259</v>
      </c>
      <c r="E61" s="1067">
        <v>4000.76</v>
      </c>
      <c r="F61" s="1067">
        <v>28</v>
      </c>
      <c r="G61" s="1067">
        <v>9</v>
      </c>
      <c r="H61" s="1067">
        <v>660</v>
      </c>
      <c r="I61" s="1067">
        <v>2373.7600000000002</v>
      </c>
      <c r="J61" s="1067">
        <v>115</v>
      </c>
      <c r="K61" s="1067">
        <v>136</v>
      </c>
      <c r="L61" s="1067">
        <v>679</v>
      </c>
    </row>
    <row r="62" spans="1:12" x14ac:dyDescent="0.25">
      <c r="A62" s="1067" t="s">
        <v>203</v>
      </c>
      <c r="B62" s="1067" t="s">
        <v>247</v>
      </c>
      <c r="C62" s="1067"/>
      <c r="D62" s="1067" t="s">
        <v>281</v>
      </c>
      <c r="E62" s="1067">
        <v>3285</v>
      </c>
      <c r="F62" s="1067"/>
      <c r="G62" s="1067"/>
      <c r="H62" s="1067">
        <v>592</v>
      </c>
      <c r="I62" s="1067">
        <v>2263</v>
      </c>
      <c r="J62" s="1067"/>
      <c r="K62" s="1067">
        <v>14</v>
      </c>
      <c r="L62" s="1067">
        <v>416</v>
      </c>
    </row>
    <row r="63" spans="1:12" x14ac:dyDescent="0.25">
      <c r="A63" s="1067" t="s">
        <v>203</v>
      </c>
      <c r="B63" s="1067" t="s">
        <v>247</v>
      </c>
      <c r="C63" s="1067"/>
      <c r="D63" s="1067" t="s">
        <v>35</v>
      </c>
      <c r="E63" s="1067">
        <v>37</v>
      </c>
      <c r="F63" s="1067"/>
      <c r="G63" s="1067"/>
      <c r="H63" s="1067">
        <v>8</v>
      </c>
      <c r="I63" s="1067">
        <v>25</v>
      </c>
      <c r="J63" s="1067"/>
      <c r="K63" s="1067">
        <v>0</v>
      </c>
      <c r="L63" s="1067">
        <v>4</v>
      </c>
    </row>
    <row r="64" spans="1:12" x14ac:dyDescent="0.25">
      <c r="A64" s="1067" t="s">
        <v>203</v>
      </c>
      <c r="B64" s="1067" t="s">
        <v>247</v>
      </c>
      <c r="C64" s="1067"/>
      <c r="D64" s="1067" t="s">
        <v>36</v>
      </c>
      <c r="E64" s="1067">
        <v>69</v>
      </c>
      <c r="F64" s="1067"/>
      <c r="G64" s="1067"/>
      <c r="H64" s="1067">
        <v>11</v>
      </c>
      <c r="I64" s="1067">
        <v>52</v>
      </c>
      <c r="J64" s="1067"/>
      <c r="K64" s="1067">
        <v>0</v>
      </c>
      <c r="L64" s="1067">
        <v>6</v>
      </c>
    </row>
    <row r="65" spans="1:12" x14ac:dyDescent="0.25">
      <c r="A65" s="1067" t="s">
        <v>203</v>
      </c>
      <c r="B65" s="1067" t="s">
        <v>247</v>
      </c>
      <c r="C65" s="1067"/>
      <c r="D65" s="1067" t="s">
        <v>38</v>
      </c>
      <c r="E65" s="1067">
        <v>56</v>
      </c>
      <c r="F65" s="1067"/>
      <c r="G65" s="1067"/>
      <c r="H65" s="1067">
        <v>9</v>
      </c>
      <c r="I65" s="1067">
        <v>39</v>
      </c>
      <c r="J65" s="1067"/>
      <c r="K65" s="1067">
        <v>0</v>
      </c>
      <c r="L65" s="1067">
        <v>8</v>
      </c>
    </row>
    <row r="66" spans="1:12" x14ac:dyDescent="0.25">
      <c r="A66" s="1067" t="s">
        <v>203</v>
      </c>
      <c r="B66" s="1067" t="s">
        <v>247</v>
      </c>
      <c r="C66" s="1067"/>
      <c r="D66" s="1067" t="s">
        <v>40</v>
      </c>
      <c r="E66" s="1067">
        <v>28</v>
      </c>
      <c r="F66" s="1067"/>
      <c r="G66" s="1067"/>
      <c r="H66" s="1067">
        <v>3</v>
      </c>
      <c r="I66" s="1067">
        <v>21</v>
      </c>
      <c r="J66" s="1067"/>
      <c r="K66" s="1067">
        <v>0</v>
      </c>
      <c r="L66" s="1067">
        <v>4</v>
      </c>
    </row>
    <row r="67" spans="1:12" x14ac:dyDescent="0.25">
      <c r="A67" s="1067" t="s">
        <v>203</v>
      </c>
      <c r="B67" s="1067" t="s">
        <v>247</v>
      </c>
      <c r="C67" s="1067"/>
      <c r="D67" s="1067" t="s">
        <v>41</v>
      </c>
      <c r="E67" s="1067">
        <v>57</v>
      </c>
      <c r="F67" s="1067"/>
      <c r="G67" s="1067"/>
      <c r="H67" s="1067">
        <v>13</v>
      </c>
      <c r="I67" s="1067">
        <v>35</v>
      </c>
      <c r="J67" s="1067"/>
      <c r="K67" s="1067">
        <v>0</v>
      </c>
      <c r="L67" s="1067">
        <v>9</v>
      </c>
    </row>
    <row r="68" spans="1:12" x14ac:dyDescent="0.25">
      <c r="A68" s="1067" t="s">
        <v>203</v>
      </c>
      <c r="B68" s="1067" t="s">
        <v>247</v>
      </c>
      <c r="C68" s="1067"/>
      <c r="D68" s="1067" t="s">
        <v>48</v>
      </c>
      <c r="E68" s="1067">
        <v>0</v>
      </c>
      <c r="F68" s="1067"/>
      <c r="G68" s="1067"/>
      <c r="H68" s="1067">
        <v>0</v>
      </c>
      <c r="I68" s="1067">
        <v>0</v>
      </c>
      <c r="J68" s="1067"/>
      <c r="K68" s="1067">
        <v>0</v>
      </c>
      <c r="L68" s="1067">
        <v>0</v>
      </c>
    </row>
    <row r="69" spans="1:12" x14ac:dyDescent="0.25">
      <c r="A69" s="1067" t="s">
        <v>203</v>
      </c>
      <c r="B69" s="1067" t="s">
        <v>247</v>
      </c>
      <c r="C69" s="1067"/>
      <c r="D69" s="1067" t="s">
        <v>42</v>
      </c>
      <c r="E69" s="1067">
        <v>94</v>
      </c>
      <c r="F69" s="1067"/>
      <c r="G69" s="1067"/>
      <c r="H69" s="1067">
        <v>17</v>
      </c>
      <c r="I69" s="1067">
        <v>60</v>
      </c>
      <c r="J69" s="1067"/>
      <c r="K69" s="1067">
        <v>2</v>
      </c>
      <c r="L69" s="1067">
        <v>15</v>
      </c>
    </row>
    <row r="70" spans="1:12" x14ac:dyDescent="0.25">
      <c r="A70" s="1067" t="s">
        <v>203</v>
      </c>
      <c r="B70" s="1067" t="s">
        <v>247</v>
      </c>
      <c r="C70" s="1067"/>
      <c r="D70" s="1067" t="s">
        <v>44</v>
      </c>
      <c r="E70" s="1067">
        <v>81</v>
      </c>
      <c r="F70" s="1067"/>
      <c r="G70" s="1067"/>
      <c r="H70" s="1067">
        <v>11</v>
      </c>
      <c r="I70" s="1067">
        <v>57</v>
      </c>
      <c r="J70" s="1067"/>
      <c r="K70" s="1067">
        <v>1</v>
      </c>
      <c r="L70" s="1067">
        <v>12</v>
      </c>
    </row>
    <row r="71" spans="1:12" x14ac:dyDescent="0.25">
      <c r="A71" s="1067" t="s">
        <v>203</v>
      </c>
      <c r="B71" s="1067" t="s">
        <v>247</v>
      </c>
      <c r="C71" s="1067"/>
      <c r="D71" s="1067" t="s">
        <v>45</v>
      </c>
      <c r="E71" s="1067">
        <v>77</v>
      </c>
      <c r="F71" s="1067"/>
      <c r="G71" s="1067"/>
      <c r="H71" s="1067">
        <v>16</v>
      </c>
      <c r="I71" s="1067">
        <v>49</v>
      </c>
      <c r="J71" s="1067"/>
      <c r="K71" s="1067">
        <v>0</v>
      </c>
      <c r="L71" s="1067">
        <v>12</v>
      </c>
    </row>
    <row r="72" spans="1:12" x14ac:dyDescent="0.25">
      <c r="A72" s="1067" t="s">
        <v>203</v>
      </c>
      <c r="B72" s="1067" t="s">
        <v>247</v>
      </c>
      <c r="C72" s="1067"/>
      <c r="D72" s="1067" t="s">
        <v>46</v>
      </c>
      <c r="E72" s="1067">
        <v>35</v>
      </c>
      <c r="F72" s="1067"/>
      <c r="G72" s="1067"/>
      <c r="H72" s="1067">
        <v>4</v>
      </c>
      <c r="I72" s="1067">
        <v>26</v>
      </c>
      <c r="J72" s="1067"/>
      <c r="K72" s="1067">
        <v>0</v>
      </c>
      <c r="L72" s="1067">
        <v>5</v>
      </c>
    </row>
    <row r="73" spans="1:12" x14ac:dyDescent="0.25">
      <c r="A73" s="1067" t="s">
        <v>203</v>
      </c>
      <c r="B73" s="1067" t="s">
        <v>247</v>
      </c>
      <c r="C73" s="1067"/>
      <c r="D73" s="1067" t="s">
        <v>47</v>
      </c>
      <c r="E73" s="1067">
        <v>21</v>
      </c>
      <c r="F73" s="1067"/>
      <c r="G73" s="1067"/>
      <c r="H73" s="1067">
        <v>3</v>
      </c>
      <c r="I73" s="1067">
        <v>14</v>
      </c>
      <c r="J73" s="1067"/>
      <c r="K73" s="1067">
        <v>0</v>
      </c>
      <c r="L73" s="1067">
        <v>4</v>
      </c>
    </row>
    <row r="74" spans="1:12" x14ac:dyDescent="0.25">
      <c r="A74" s="1067" t="s">
        <v>203</v>
      </c>
      <c r="B74" s="1067" t="s">
        <v>247</v>
      </c>
      <c r="C74" s="1067"/>
      <c r="D74" s="1067" t="s">
        <v>49</v>
      </c>
      <c r="E74" s="1067">
        <v>78</v>
      </c>
      <c r="F74" s="1067"/>
      <c r="G74" s="1067"/>
      <c r="H74" s="1067">
        <v>14</v>
      </c>
      <c r="I74" s="1067">
        <v>50</v>
      </c>
      <c r="J74" s="1067"/>
      <c r="K74" s="1067">
        <v>0</v>
      </c>
      <c r="L74" s="1067">
        <v>14</v>
      </c>
    </row>
    <row r="75" spans="1:12" x14ac:dyDescent="0.25">
      <c r="A75" s="1067" t="s">
        <v>203</v>
      </c>
      <c r="B75" s="1067" t="s">
        <v>247</v>
      </c>
      <c r="C75" s="1067"/>
      <c r="D75" s="1067" t="s">
        <v>51</v>
      </c>
      <c r="E75" s="1067">
        <v>0</v>
      </c>
      <c r="F75" s="1067"/>
      <c r="G75" s="1067"/>
      <c r="H75" s="1067">
        <v>0</v>
      </c>
      <c r="I75" s="1067">
        <v>0</v>
      </c>
      <c r="J75" s="1067"/>
      <c r="K75" s="1067">
        <v>0</v>
      </c>
      <c r="L75" s="1067">
        <v>0</v>
      </c>
    </row>
    <row r="76" spans="1:12" x14ac:dyDescent="0.25">
      <c r="A76" s="1067" t="s">
        <v>203</v>
      </c>
      <c r="B76" s="1067" t="s">
        <v>247</v>
      </c>
      <c r="C76" s="1067"/>
      <c r="D76" s="1067" t="s">
        <v>52</v>
      </c>
      <c r="E76" s="1067">
        <v>86</v>
      </c>
      <c r="F76" s="1067"/>
      <c r="G76" s="1067"/>
      <c r="H76" s="1067">
        <v>16</v>
      </c>
      <c r="I76" s="1067">
        <v>58</v>
      </c>
      <c r="J76" s="1067"/>
      <c r="K76" s="1067">
        <v>1</v>
      </c>
      <c r="L76" s="1067">
        <v>11</v>
      </c>
    </row>
    <row r="77" spans="1:12" x14ac:dyDescent="0.25">
      <c r="A77" s="1067" t="s">
        <v>203</v>
      </c>
      <c r="B77" s="1067" t="s">
        <v>247</v>
      </c>
      <c r="C77" s="1067"/>
      <c r="D77" s="1067" t="s">
        <v>54</v>
      </c>
      <c r="E77" s="1067">
        <v>73</v>
      </c>
      <c r="F77" s="1067"/>
      <c r="G77" s="1067"/>
      <c r="H77" s="1067">
        <v>11</v>
      </c>
      <c r="I77" s="1067">
        <v>51</v>
      </c>
      <c r="J77" s="1067"/>
      <c r="K77" s="1067">
        <v>0</v>
      </c>
      <c r="L77" s="1067">
        <v>11</v>
      </c>
    </row>
    <row r="78" spans="1:12" x14ac:dyDescent="0.25">
      <c r="A78" s="1067" t="s">
        <v>203</v>
      </c>
      <c r="B78" s="1067" t="s">
        <v>247</v>
      </c>
      <c r="C78" s="1067"/>
      <c r="D78" s="1067" t="s">
        <v>55</v>
      </c>
      <c r="E78" s="1067">
        <v>0</v>
      </c>
      <c r="F78" s="1067"/>
      <c r="G78" s="1067"/>
      <c r="H78" s="1067">
        <v>0</v>
      </c>
      <c r="I78" s="1067">
        <v>0</v>
      </c>
      <c r="J78" s="1067"/>
      <c r="K78" s="1067">
        <v>0</v>
      </c>
      <c r="L78" s="1067">
        <v>0</v>
      </c>
    </row>
    <row r="79" spans="1:12" x14ac:dyDescent="0.25">
      <c r="A79" s="1067" t="s">
        <v>203</v>
      </c>
      <c r="B79" s="1067" t="s">
        <v>247</v>
      </c>
      <c r="C79" s="1067"/>
      <c r="D79" s="1067" t="s">
        <v>56</v>
      </c>
      <c r="E79" s="1067">
        <v>60</v>
      </c>
      <c r="F79" s="1067"/>
      <c r="G79" s="1067"/>
      <c r="H79" s="1067">
        <v>9</v>
      </c>
      <c r="I79" s="1067">
        <v>43</v>
      </c>
      <c r="J79" s="1067"/>
      <c r="K79" s="1067">
        <v>0</v>
      </c>
      <c r="L79" s="1067">
        <v>8</v>
      </c>
    </row>
    <row r="80" spans="1:12" x14ac:dyDescent="0.25">
      <c r="A80" s="1067" t="s">
        <v>203</v>
      </c>
      <c r="B80" s="1067" t="s">
        <v>247</v>
      </c>
      <c r="C80" s="1067"/>
      <c r="D80" s="1067" t="s">
        <v>57</v>
      </c>
      <c r="E80" s="1067">
        <v>187</v>
      </c>
      <c r="F80" s="1067"/>
      <c r="G80" s="1067"/>
      <c r="H80" s="1067">
        <v>35</v>
      </c>
      <c r="I80" s="1067">
        <v>126</v>
      </c>
      <c r="J80" s="1067"/>
      <c r="K80" s="1067">
        <v>2</v>
      </c>
      <c r="L80" s="1067">
        <v>24</v>
      </c>
    </row>
    <row r="81" spans="1:12" x14ac:dyDescent="0.25">
      <c r="A81" s="1067" t="s">
        <v>203</v>
      </c>
      <c r="B81" s="1067" t="s">
        <v>247</v>
      </c>
      <c r="C81" s="1067"/>
      <c r="D81" s="1067" t="s">
        <v>58</v>
      </c>
      <c r="E81" s="1067">
        <v>55</v>
      </c>
      <c r="F81" s="1067"/>
      <c r="G81" s="1067"/>
      <c r="H81" s="1067">
        <v>10</v>
      </c>
      <c r="I81" s="1067">
        <v>37</v>
      </c>
      <c r="J81" s="1067"/>
      <c r="K81" s="1067">
        <v>0</v>
      </c>
      <c r="L81" s="1067">
        <v>8</v>
      </c>
    </row>
    <row r="82" spans="1:12" x14ac:dyDescent="0.25">
      <c r="A82" s="1067" t="s">
        <v>203</v>
      </c>
      <c r="B82" s="1067" t="s">
        <v>247</v>
      </c>
      <c r="C82" s="1067"/>
      <c r="D82" s="1067" t="s">
        <v>31</v>
      </c>
      <c r="E82" s="1067">
        <v>173</v>
      </c>
      <c r="F82" s="1067"/>
      <c r="G82" s="1067"/>
      <c r="H82" s="1067">
        <v>25</v>
      </c>
      <c r="I82" s="1067">
        <v>122</v>
      </c>
      <c r="J82" s="1067"/>
      <c r="K82" s="1067">
        <v>0</v>
      </c>
      <c r="L82" s="1067">
        <v>26</v>
      </c>
    </row>
    <row r="83" spans="1:12" x14ac:dyDescent="0.25">
      <c r="A83" s="1067" t="s">
        <v>203</v>
      </c>
      <c r="B83" s="1067" t="s">
        <v>247</v>
      </c>
      <c r="C83" s="1067"/>
      <c r="D83" s="1067" t="s">
        <v>32</v>
      </c>
      <c r="E83" s="1067">
        <v>23</v>
      </c>
      <c r="F83" s="1067"/>
      <c r="G83" s="1067"/>
      <c r="H83" s="1067">
        <v>3</v>
      </c>
      <c r="I83" s="1067">
        <v>18</v>
      </c>
      <c r="J83" s="1067"/>
      <c r="K83" s="1067">
        <v>0</v>
      </c>
      <c r="L83" s="1067">
        <v>2</v>
      </c>
    </row>
    <row r="84" spans="1:12" x14ac:dyDescent="0.25">
      <c r="A84" s="1067" t="s">
        <v>203</v>
      </c>
      <c r="B84" s="1067" t="s">
        <v>247</v>
      </c>
      <c r="C84" s="1067"/>
      <c r="D84" s="1067" t="s">
        <v>34</v>
      </c>
      <c r="E84" s="1067">
        <v>54</v>
      </c>
      <c r="F84" s="1067"/>
      <c r="G84" s="1067"/>
      <c r="H84" s="1067">
        <v>10</v>
      </c>
      <c r="I84" s="1067">
        <v>27</v>
      </c>
      <c r="J84" s="1067"/>
      <c r="K84" s="1067">
        <v>2</v>
      </c>
      <c r="L84" s="1067">
        <v>15</v>
      </c>
    </row>
    <row r="85" spans="1:12" x14ac:dyDescent="0.25">
      <c r="A85" s="1067" t="s">
        <v>203</v>
      </c>
      <c r="B85" s="1067" t="s">
        <v>247</v>
      </c>
      <c r="C85" s="1067"/>
      <c r="D85" s="1067" t="s">
        <v>258</v>
      </c>
      <c r="E85" s="1067">
        <v>348</v>
      </c>
      <c r="F85" s="1067"/>
      <c r="G85" s="1067"/>
      <c r="H85" s="1067">
        <v>64</v>
      </c>
      <c r="I85" s="1067">
        <v>257</v>
      </c>
      <c r="J85" s="1067"/>
      <c r="K85" s="1067">
        <v>1</v>
      </c>
      <c r="L85" s="1067">
        <v>26</v>
      </c>
    </row>
    <row r="86" spans="1:12" x14ac:dyDescent="0.25">
      <c r="A86" s="1067" t="s">
        <v>203</v>
      </c>
      <c r="B86" s="1067" t="s">
        <v>247</v>
      </c>
      <c r="C86" s="1067"/>
      <c r="D86" s="1067" t="s">
        <v>53</v>
      </c>
      <c r="E86" s="1067">
        <v>115</v>
      </c>
      <c r="F86" s="1067"/>
      <c r="G86" s="1067"/>
      <c r="H86" s="1067">
        <v>23</v>
      </c>
      <c r="I86" s="1067">
        <v>72</v>
      </c>
      <c r="J86" s="1067"/>
      <c r="K86" s="1067">
        <v>0</v>
      </c>
      <c r="L86" s="1067">
        <v>20</v>
      </c>
    </row>
    <row r="87" spans="1:12" x14ac:dyDescent="0.25">
      <c r="A87" s="1067" t="s">
        <v>203</v>
      </c>
      <c r="B87" s="1067" t="s">
        <v>247</v>
      </c>
      <c r="C87" s="1067"/>
      <c r="D87" s="1067" t="s">
        <v>59</v>
      </c>
      <c r="E87" s="1067">
        <v>74</v>
      </c>
      <c r="F87" s="1067"/>
      <c r="G87" s="1067"/>
      <c r="H87" s="1067">
        <v>20</v>
      </c>
      <c r="I87" s="1067">
        <v>45</v>
      </c>
      <c r="J87" s="1067"/>
      <c r="K87" s="1067">
        <v>0</v>
      </c>
      <c r="L87" s="1067">
        <v>9</v>
      </c>
    </row>
    <row r="88" spans="1:12" x14ac:dyDescent="0.25">
      <c r="A88" s="1067" t="s">
        <v>203</v>
      </c>
      <c r="B88" s="1067" t="s">
        <v>247</v>
      </c>
      <c r="C88" s="1067"/>
      <c r="D88" s="1067" t="s">
        <v>60</v>
      </c>
      <c r="E88" s="1067">
        <v>79</v>
      </c>
      <c r="F88" s="1067"/>
      <c r="G88" s="1067"/>
      <c r="H88" s="1067">
        <v>9</v>
      </c>
      <c r="I88" s="1067">
        <v>59</v>
      </c>
      <c r="J88" s="1067"/>
      <c r="K88" s="1067">
        <v>1</v>
      </c>
      <c r="L88" s="1067">
        <v>10</v>
      </c>
    </row>
    <row r="89" spans="1:12" x14ac:dyDescent="0.25">
      <c r="A89" s="1067" t="s">
        <v>203</v>
      </c>
      <c r="B89" s="1067" t="s">
        <v>247</v>
      </c>
      <c r="C89" s="1067"/>
      <c r="D89" s="1067" t="s">
        <v>33</v>
      </c>
      <c r="E89" s="1067">
        <v>27</v>
      </c>
      <c r="F89" s="1067"/>
      <c r="G89" s="1067"/>
      <c r="H89" s="1067">
        <v>0</v>
      </c>
      <c r="I89" s="1067">
        <v>22</v>
      </c>
      <c r="J89" s="1067"/>
      <c r="K89" s="1067">
        <v>1</v>
      </c>
      <c r="L89" s="1067">
        <v>4</v>
      </c>
    </row>
    <row r="90" spans="1:12" x14ac:dyDescent="0.25">
      <c r="A90" s="1067" t="s">
        <v>203</v>
      </c>
      <c r="B90" s="1067" t="s">
        <v>247</v>
      </c>
      <c r="C90" s="1067"/>
      <c r="D90" s="1067" t="s">
        <v>37</v>
      </c>
      <c r="E90" s="1067">
        <v>207</v>
      </c>
      <c r="F90" s="1067"/>
      <c r="G90" s="1067"/>
      <c r="H90" s="1067">
        <v>27</v>
      </c>
      <c r="I90" s="1067">
        <v>158</v>
      </c>
      <c r="J90" s="1067"/>
      <c r="K90" s="1067">
        <v>1</v>
      </c>
      <c r="L90" s="1067">
        <v>21</v>
      </c>
    </row>
    <row r="91" spans="1:12" x14ac:dyDescent="0.25">
      <c r="A91" s="1067" t="s">
        <v>203</v>
      </c>
      <c r="B91" s="1067" t="s">
        <v>247</v>
      </c>
      <c r="C91" s="1067"/>
      <c r="D91" s="1067" t="s">
        <v>50</v>
      </c>
      <c r="E91" s="1067">
        <v>187</v>
      </c>
      <c r="F91" s="1067"/>
      <c r="G91" s="1067"/>
      <c r="H91" s="1067">
        <v>37</v>
      </c>
      <c r="I91" s="1067">
        <v>125</v>
      </c>
      <c r="J91" s="1067"/>
      <c r="K91" s="1067">
        <v>1</v>
      </c>
      <c r="L91" s="1067">
        <v>24</v>
      </c>
    </row>
    <row r="92" spans="1:12" x14ac:dyDescent="0.25">
      <c r="A92" s="1067" t="s">
        <v>203</v>
      </c>
      <c r="B92" s="1067" t="s">
        <v>247</v>
      </c>
      <c r="C92" s="1067"/>
      <c r="D92" s="1067" t="s">
        <v>39</v>
      </c>
      <c r="E92" s="1067">
        <v>72</v>
      </c>
      <c r="F92" s="1067"/>
      <c r="G92" s="1067"/>
      <c r="H92" s="1067">
        <v>14</v>
      </c>
      <c r="I92" s="1067">
        <v>44</v>
      </c>
      <c r="J92" s="1067"/>
      <c r="K92" s="1067">
        <v>0</v>
      </c>
      <c r="L92" s="1067">
        <v>14</v>
      </c>
    </row>
    <row r="93" spans="1:12" x14ac:dyDescent="0.25">
      <c r="A93" s="1067" t="s">
        <v>203</v>
      </c>
      <c r="B93" s="1067" t="s">
        <v>247</v>
      </c>
      <c r="C93" s="1067"/>
      <c r="D93" s="1067" t="s">
        <v>121</v>
      </c>
      <c r="E93" s="1067">
        <v>544</v>
      </c>
      <c r="F93" s="1067"/>
      <c r="G93" s="1067"/>
      <c r="H93" s="1067">
        <v>116</v>
      </c>
      <c r="I93" s="1067">
        <v>362</v>
      </c>
      <c r="J93" s="1067"/>
      <c r="K93" s="1067">
        <v>1</v>
      </c>
      <c r="L93" s="1067">
        <v>65</v>
      </c>
    </row>
    <row r="94" spans="1:12" x14ac:dyDescent="0.25">
      <c r="A94" s="1067" t="s">
        <v>203</v>
      </c>
      <c r="B94" s="1067" t="s">
        <v>247</v>
      </c>
      <c r="C94" s="1067"/>
      <c r="D94" s="1067" t="s">
        <v>43</v>
      </c>
      <c r="E94" s="1067">
        <v>288</v>
      </c>
      <c r="F94" s="1067"/>
      <c r="G94" s="1067"/>
      <c r="H94" s="1067">
        <v>54</v>
      </c>
      <c r="I94" s="1067">
        <v>209</v>
      </c>
      <c r="J94" s="1067"/>
      <c r="K94" s="1067">
        <v>0</v>
      </c>
      <c r="L94" s="1067">
        <v>25</v>
      </c>
    </row>
    <row r="95" spans="1:12" x14ac:dyDescent="0.25">
      <c r="A95" s="1067" t="s">
        <v>203</v>
      </c>
      <c r="B95" s="1067" t="s">
        <v>248</v>
      </c>
      <c r="C95" s="1067"/>
      <c r="D95" s="1067" t="s">
        <v>281</v>
      </c>
      <c r="E95" s="1067">
        <v>270</v>
      </c>
      <c r="F95" s="1067">
        <v>18</v>
      </c>
      <c r="G95" s="1067"/>
      <c r="H95" s="1067">
        <v>4</v>
      </c>
      <c r="I95" s="1067">
        <v>14</v>
      </c>
      <c r="J95" s="1067">
        <v>65</v>
      </c>
      <c r="K95" s="1067">
        <v>79</v>
      </c>
      <c r="L95" s="1067">
        <v>90</v>
      </c>
    </row>
    <row r="96" spans="1:12" x14ac:dyDescent="0.25">
      <c r="A96" s="1067" t="s">
        <v>203</v>
      </c>
      <c r="B96" s="1067" t="s">
        <v>248</v>
      </c>
      <c r="C96" s="1067"/>
      <c r="D96" s="1067" t="s">
        <v>31</v>
      </c>
      <c r="E96" s="1067">
        <v>18</v>
      </c>
      <c r="F96" s="1067">
        <v>1</v>
      </c>
      <c r="G96" s="1067"/>
      <c r="H96" s="1067">
        <v>0</v>
      </c>
      <c r="I96" s="1067">
        <v>0</v>
      </c>
      <c r="J96" s="1067">
        <v>3</v>
      </c>
      <c r="K96" s="1067">
        <v>7</v>
      </c>
      <c r="L96" s="1067">
        <v>7</v>
      </c>
    </row>
    <row r="97" spans="1:12" x14ac:dyDescent="0.25">
      <c r="A97" s="1067" t="s">
        <v>203</v>
      </c>
      <c r="B97" s="1067" t="s">
        <v>248</v>
      </c>
      <c r="C97" s="1067"/>
      <c r="D97" s="1067" t="s">
        <v>63</v>
      </c>
      <c r="E97" s="1067">
        <v>18</v>
      </c>
      <c r="F97" s="1067">
        <v>1</v>
      </c>
      <c r="G97" s="1067"/>
      <c r="H97" s="1067">
        <v>0</v>
      </c>
      <c r="I97" s="1067">
        <v>2</v>
      </c>
      <c r="J97" s="1067">
        <v>1</v>
      </c>
      <c r="K97" s="1067">
        <v>4</v>
      </c>
      <c r="L97" s="1067">
        <v>10</v>
      </c>
    </row>
    <row r="98" spans="1:12" x14ac:dyDescent="0.25">
      <c r="A98" s="1067" t="s">
        <v>203</v>
      </c>
      <c r="B98" s="1067" t="s">
        <v>248</v>
      </c>
      <c r="C98" s="1067"/>
      <c r="D98" s="1067" t="s">
        <v>64</v>
      </c>
      <c r="E98" s="1067">
        <v>21</v>
      </c>
      <c r="F98" s="1067">
        <v>1</v>
      </c>
      <c r="G98" s="1067"/>
      <c r="H98" s="1067">
        <v>0</v>
      </c>
      <c r="I98" s="1067">
        <v>1</v>
      </c>
      <c r="J98" s="1067">
        <v>7</v>
      </c>
      <c r="K98" s="1067">
        <v>5</v>
      </c>
      <c r="L98" s="1067">
        <v>7</v>
      </c>
    </row>
    <row r="99" spans="1:12" x14ac:dyDescent="0.25">
      <c r="A99" s="1067" t="s">
        <v>203</v>
      </c>
      <c r="B99" s="1067" t="s">
        <v>248</v>
      </c>
      <c r="C99" s="1067"/>
      <c r="D99" s="1067" t="s">
        <v>36</v>
      </c>
      <c r="E99" s="1067">
        <v>18</v>
      </c>
      <c r="F99" s="1067">
        <v>0</v>
      </c>
      <c r="G99" s="1067"/>
      <c r="H99" s="1067">
        <v>0</v>
      </c>
      <c r="I99" s="1067">
        <v>1</v>
      </c>
      <c r="J99" s="1067">
        <v>2</v>
      </c>
      <c r="K99" s="1067">
        <v>5</v>
      </c>
      <c r="L99" s="1067">
        <v>10</v>
      </c>
    </row>
    <row r="100" spans="1:12" x14ac:dyDescent="0.25">
      <c r="A100" s="1067" t="s">
        <v>203</v>
      </c>
      <c r="B100" s="1067" t="s">
        <v>248</v>
      </c>
      <c r="C100" s="1067"/>
      <c r="D100" s="1067" t="s">
        <v>66</v>
      </c>
      <c r="E100" s="1067">
        <v>20</v>
      </c>
      <c r="F100" s="1067">
        <v>1</v>
      </c>
      <c r="G100" s="1067"/>
      <c r="H100" s="1067">
        <v>0</v>
      </c>
      <c r="I100" s="1067">
        <v>0</v>
      </c>
      <c r="J100" s="1067">
        <v>7</v>
      </c>
      <c r="K100" s="1067">
        <v>7</v>
      </c>
      <c r="L100" s="1067">
        <v>5</v>
      </c>
    </row>
    <row r="101" spans="1:12" x14ac:dyDescent="0.25">
      <c r="A101" s="1067" t="s">
        <v>203</v>
      </c>
      <c r="B101" s="1067" t="s">
        <v>248</v>
      </c>
      <c r="C101" s="1067"/>
      <c r="D101" s="1067" t="s">
        <v>67</v>
      </c>
      <c r="E101" s="1067">
        <v>17</v>
      </c>
      <c r="F101" s="1067">
        <v>1</v>
      </c>
      <c r="G101" s="1067"/>
      <c r="H101" s="1067">
        <v>0</v>
      </c>
      <c r="I101" s="1067">
        <v>4</v>
      </c>
      <c r="J101" s="1067">
        <v>5</v>
      </c>
      <c r="K101" s="1067">
        <v>1</v>
      </c>
      <c r="L101" s="1067">
        <v>6</v>
      </c>
    </row>
    <row r="102" spans="1:12" x14ac:dyDescent="0.25">
      <c r="A102" s="1067" t="s">
        <v>203</v>
      </c>
      <c r="B102" s="1067" t="s">
        <v>248</v>
      </c>
      <c r="C102" s="1067"/>
      <c r="D102" s="1067" t="s">
        <v>68</v>
      </c>
      <c r="E102" s="1067">
        <v>12</v>
      </c>
      <c r="F102" s="1067">
        <v>1</v>
      </c>
      <c r="G102" s="1067"/>
      <c r="H102" s="1067">
        <v>0</v>
      </c>
      <c r="I102" s="1067">
        <v>0</v>
      </c>
      <c r="J102" s="1067">
        <v>3</v>
      </c>
      <c r="K102" s="1067">
        <v>5</v>
      </c>
      <c r="L102" s="1067">
        <v>3</v>
      </c>
    </row>
    <row r="103" spans="1:12" x14ac:dyDescent="0.25">
      <c r="A103" s="1067" t="s">
        <v>203</v>
      </c>
      <c r="B103" s="1067" t="s">
        <v>248</v>
      </c>
      <c r="C103" s="1067"/>
      <c r="D103" s="1067" t="s">
        <v>175</v>
      </c>
      <c r="E103" s="1067">
        <v>24</v>
      </c>
      <c r="F103" s="1067">
        <v>2</v>
      </c>
      <c r="G103" s="1067"/>
      <c r="H103" s="1067">
        <v>2</v>
      </c>
      <c r="I103" s="1067">
        <v>2</v>
      </c>
      <c r="J103" s="1067">
        <v>8</v>
      </c>
      <c r="K103" s="1067">
        <v>4</v>
      </c>
      <c r="L103" s="1067">
        <v>6</v>
      </c>
    </row>
    <row r="104" spans="1:12" x14ac:dyDescent="0.25">
      <c r="A104" s="1067" t="s">
        <v>203</v>
      </c>
      <c r="B104" s="1067" t="s">
        <v>248</v>
      </c>
      <c r="C104" s="1067"/>
      <c r="D104" s="1067" t="s">
        <v>69</v>
      </c>
      <c r="E104" s="1067">
        <v>13</v>
      </c>
      <c r="F104" s="1067">
        <v>1</v>
      </c>
      <c r="G104" s="1067"/>
      <c r="H104" s="1067">
        <v>0</v>
      </c>
      <c r="I104" s="1067">
        <v>1</v>
      </c>
      <c r="J104" s="1067">
        <v>3</v>
      </c>
      <c r="K104" s="1067">
        <v>3</v>
      </c>
      <c r="L104" s="1067">
        <v>5</v>
      </c>
    </row>
    <row r="105" spans="1:12" x14ac:dyDescent="0.25">
      <c r="A105" s="1067" t="s">
        <v>203</v>
      </c>
      <c r="B105" s="1067" t="s">
        <v>248</v>
      </c>
      <c r="C105" s="1067"/>
      <c r="D105" s="1067" t="s">
        <v>121</v>
      </c>
      <c r="E105" s="1067">
        <v>25</v>
      </c>
      <c r="F105" s="1067">
        <v>1</v>
      </c>
      <c r="G105" s="1067"/>
      <c r="H105" s="1067">
        <v>1</v>
      </c>
      <c r="I105" s="1067">
        <v>2</v>
      </c>
      <c r="J105" s="1067">
        <v>4</v>
      </c>
      <c r="K105" s="1067">
        <v>8</v>
      </c>
      <c r="L105" s="1067">
        <v>9</v>
      </c>
    </row>
    <row r="106" spans="1:12" x14ac:dyDescent="0.25">
      <c r="A106" s="1067" t="s">
        <v>203</v>
      </c>
      <c r="B106" s="1067" t="s">
        <v>248</v>
      </c>
      <c r="C106" s="1067"/>
      <c r="D106" s="1067" t="s">
        <v>70</v>
      </c>
      <c r="E106" s="1067">
        <v>13</v>
      </c>
      <c r="F106" s="1067">
        <v>1</v>
      </c>
      <c r="G106" s="1067"/>
      <c r="H106" s="1067">
        <v>0</v>
      </c>
      <c r="I106" s="1067">
        <v>0</v>
      </c>
      <c r="J106" s="1067">
        <v>6</v>
      </c>
      <c r="K106" s="1067">
        <v>5</v>
      </c>
      <c r="L106" s="1067">
        <v>1</v>
      </c>
    </row>
    <row r="107" spans="1:12" x14ac:dyDescent="0.25">
      <c r="A107" s="1067" t="s">
        <v>203</v>
      </c>
      <c r="B107" s="1067" t="s">
        <v>248</v>
      </c>
      <c r="C107" s="1067"/>
      <c r="D107" s="1067" t="s">
        <v>50</v>
      </c>
      <c r="E107" s="1067">
        <v>16</v>
      </c>
      <c r="F107" s="1067">
        <v>2</v>
      </c>
      <c r="G107" s="1067"/>
      <c r="H107" s="1067">
        <v>1</v>
      </c>
      <c r="I107" s="1067">
        <v>1</v>
      </c>
      <c r="J107" s="1067">
        <v>3</v>
      </c>
      <c r="K107" s="1067">
        <v>5</v>
      </c>
      <c r="L107" s="1067">
        <v>4</v>
      </c>
    </row>
    <row r="108" spans="1:12" x14ac:dyDescent="0.25">
      <c r="A108" s="1067" t="s">
        <v>203</v>
      </c>
      <c r="B108" s="1067" t="s">
        <v>248</v>
      </c>
      <c r="C108" s="1067"/>
      <c r="D108" s="1067" t="s">
        <v>57</v>
      </c>
      <c r="E108" s="1067">
        <v>10</v>
      </c>
      <c r="F108" s="1067">
        <v>1</v>
      </c>
      <c r="G108" s="1067"/>
      <c r="H108" s="1067">
        <v>0</v>
      </c>
      <c r="I108" s="1067">
        <v>0</v>
      </c>
      <c r="J108" s="1067">
        <v>4</v>
      </c>
      <c r="K108" s="1067">
        <v>2</v>
      </c>
      <c r="L108" s="1067">
        <v>3</v>
      </c>
    </row>
    <row r="109" spans="1:12" x14ac:dyDescent="0.25">
      <c r="A109" s="1067" t="s">
        <v>203</v>
      </c>
      <c r="B109" s="1067" t="s">
        <v>248</v>
      </c>
      <c r="C109" s="1067"/>
      <c r="D109" s="1067" t="s">
        <v>1071</v>
      </c>
      <c r="E109" s="1067">
        <v>5</v>
      </c>
      <c r="F109" s="1067">
        <v>0</v>
      </c>
      <c r="G109" s="1067"/>
      <c r="H109" s="1067">
        <v>0</v>
      </c>
      <c r="I109" s="1067">
        <v>0</v>
      </c>
      <c r="J109" s="1067">
        <v>1</v>
      </c>
      <c r="K109" s="1067">
        <v>4</v>
      </c>
      <c r="L109" s="1067">
        <v>0</v>
      </c>
    </row>
    <row r="110" spans="1:12" x14ac:dyDescent="0.25">
      <c r="A110" s="1067" t="s">
        <v>203</v>
      </c>
      <c r="B110" s="1067" t="s">
        <v>248</v>
      </c>
      <c r="C110" s="1067"/>
      <c r="D110" s="1067" t="s">
        <v>71</v>
      </c>
      <c r="E110" s="1067">
        <v>7</v>
      </c>
      <c r="F110" s="1067">
        <v>1</v>
      </c>
      <c r="G110" s="1067"/>
      <c r="H110" s="1067">
        <v>0</v>
      </c>
      <c r="I110" s="1067">
        <v>0</v>
      </c>
      <c r="J110" s="1067">
        <v>3</v>
      </c>
      <c r="K110" s="1067">
        <v>3</v>
      </c>
      <c r="L110" s="1067">
        <v>0</v>
      </c>
    </row>
    <row r="111" spans="1:12" x14ac:dyDescent="0.25">
      <c r="A111" s="1067" t="s">
        <v>203</v>
      </c>
      <c r="B111" s="1067" t="s">
        <v>248</v>
      </c>
      <c r="C111" s="1067"/>
      <c r="D111" s="1067" t="s">
        <v>65</v>
      </c>
      <c r="E111" s="1067">
        <v>12</v>
      </c>
      <c r="F111" s="1067">
        <v>1</v>
      </c>
      <c r="G111" s="1067"/>
      <c r="H111" s="1067">
        <v>0</v>
      </c>
      <c r="I111" s="1067">
        <v>0</v>
      </c>
      <c r="J111" s="1067">
        <v>3</v>
      </c>
      <c r="K111" s="1067">
        <v>5</v>
      </c>
      <c r="L111" s="1067">
        <v>3</v>
      </c>
    </row>
    <row r="112" spans="1:12" x14ac:dyDescent="0.25">
      <c r="A112" s="1067" t="s">
        <v>203</v>
      </c>
      <c r="B112" s="1067" t="s">
        <v>248</v>
      </c>
      <c r="C112" s="1067"/>
      <c r="D112" s="1067" t="s">
        <v>43</v>
      </c>
      <c r="E112" s="1067">
        <v>21</v>
      </c>
      <c r="F112" s="1067">
        <v>2</v>
      </c>
      <c r="G112" s="1067"/>
      <c r="H112" s="1067">
        <v>0</v>
      </c>
      <c r="I112" s="1067">
        <v>0</v>
      </c>
      <c r="J112" s="1067">
        <v>2</v>
      </c>
      <c r="K112" s="1067">
        <v>6</v>
      </c>
      <c r="L112" s="1067">
        <v>11</v>
      </c>
    </row>
    <row r="113" spans="1:12" x14ac:dyDescent="0.25">
      <c r="A113" s="1067" t="s">
        <v>203</v>
      </c>
      <c r="B113" s="1067" t="s">
        <v>249</v>
      </c>
      <c r="C113" s="1067"/>
      <c r="D113" s="1067" t="s">
        <v>281</v>
      </c>
      <c r="E113" s="1067">
        <v>249</v>
      </c>
      <c r="F113" s="1067">
        <v>4</v>
      </c>
      <c r="G113" s="1067"/>
      <c r="H113" s="1067">
        <v>34</v>
      </c>
      <c r="I113" s="1067">
        <v>7</v>
      </c>
      <c r="J113" s="1067">
        <v>26</v>
      </c>
      <c r="K113" s="1067">
        <v>31</v>
      </c>
      <c r="L113" s="1067">
        <v>147</v>
      </c>
    </row>
    <row r="114" spans="1:12" x14ac:dyDescent="0.25">
      <c r="A114" s="1067" t="s">
        <v>203</v>
      </c>
      <c r="B114" s="1067" t="s">
        <v>249</v>
      </c>
      <c r="C114" s="1067"/>
      <c r="D114" s="1067" t="s">
        <v>173</v>
      </c>
      <c r="E114" s="1067">
        <v>105</v>
      </c>
      <c r="F114" s="1067">
        <v>2</v>
      </c>
      <c r="G114" s="1067"/>
      <c r="H114" s="1067">
        <v>9</v>
      </c>
      <c r="I114" s="1067">
        <v>0</v>
      </c>
      <c r="J114" s="1067">
        <v>15</v>
      </c>
      <c r="K114" s="1067">
        <v>4</v>
      </c>
      <c r="L114" s="1067">
        <v>75</v>
      </c>
    </row>
    <row r="115" spans="1:12" x14ac:dyDescent="0.25">
      <c r="A115" s="1067" t="s">
        <v>203</v>
      </c>
      <c r="B115" s="1067" t="s">
        <v>249</v>
      </c>
      <c r="C115" s="1067"/>
      <c r="D115" s="1067" t="s">
        <v>174</v>
      </c>
      <c r="E115" s="1067">
        <v>78</v>
      </c>
      <c r="F115" s="1067">
        <v>1</v>
      </c>
      <c r="G115" s="1067"/>
      <c r="H115" s="1067">
        <v>4</v>
      </c>
      <c r="I115" s="1067">
        <v>6</v>
      </c>
      <c r="J115" s="1067">
        <v>4</v>
      </c>
      <c r="K115" s="1067">
        <v>17</v>
      </c>
      <c r="L115" s="1067">
        <v>46</v>
      </c>
    </row>
    <row r="116" spans="1:12" x14ac:dyDescent="0.25">
      <c r="A116" s="1067" t="s">
        <v>203</v>
      </c>
      <c r="B116" s="1067" t="s">
        <v>249</v>
      </c>
      <c r="C116" s="1067"/>
      <c r="D116" s="1067" t="s">
        <v>172</v>
      </c>
      <c r="E116" s="1067">
        <v>66</v>
      </c>
      <c r="F116" s="1067">
        <v>1</v>
      </c>
      <c r="G116" s="1067"/>
      <c r="H116" s="1067">
        <v>21</v>
      </c>
      <c r="I116" s="1067">
        <v>1</v>
      </c>
      <c r="J116" s="1067">
        <v>7</v>
      </c>
      <c r="K116" s="1067">
        <v>10</v>
      </c>
      <c r="L116" s="1067">
        <v>26</v>
      </c>
    </row>
    <row r="117" spans="1:12" x14ac:dyDescent="0.25">
      <c r="A117" s="1067" t="s">
        <v>203</v>
      </c>
      <c r="B117" s="1067" t="s">
        <v>250</v>
      </c>
      <c r="C117" s="1067"/>
      <c r="D117" s="1067" t="s">
        <v>259</v>
      </c>
      <c r="E117" s="1067">
        <v>52</v>
      </c>
      <c r="F117" s="1067">
        <v>11</v>
      </c>
      <c r="G117" s="1067">
        <v>7</v>
      </c>
      <c r="H117" s="1067">
        <v>4</v>
      </c>
      <c r="I117" s="1067">
        <v>1</v>
      </c>
      <c r="J117" s="1067">
        <v>12</v>
      </c>
      <c r="K117" s="1067">
        <v>6</v>
      </c>
      <c r="L117" s="1067">
        <v>11</v>
      </c>
    </row>
    <row r="118" spans="1:12" x14ac:dyDescent="0.25">
      <c r="A118" s="1067" t="s">
        <v>203</v>
      </c>
      <c r="B118" s="1067" t="s">
        <v>26</v>
      </c>
      <c r="C118" s="1067"/>
      <c r="D118" s="1067" t="s">
        <v>259</v>
      </c>
      <c r="E118" s="1067">
        <v>3856</v>
      </c>
      <c r="F118" s="1067">
        <v>33</v>
      </c>
      <c r="G118" s="1067">
        <v>7</v>
      </c>
      <c r="H118" s="1067">
        <v>634</v>
      </c>
      <c r="I118" s="1067">
        <v>2285</v>
      </c>
      <c r="J118" s="1067">
        <v>103</v>
      </c>
      <c r="K118" s="1067">
        <v>130</v>
      </c>
      <c r="L118" s="1067">
        <v>664</v>
      </c>
    </row>
    <row r="119" spans="1:12" x14ac:dyDescent="0.25">
      <c r="A119" s="1067" t="s">
        <v>202</v>
      </c>
      <c r="B119" s="1067" t="s">
        <v>247</v>
      </c>
      <c r="C119" s="1067"/>
      <c r="D119" s="1067" t="s">
        <v>281</v>
      </c>
      <c r="E119" s="1067">
        <v>3015.9047619047619</v>
      </c>
      <c r="F119" s="1067">
        <v>0</v>
      </c>
      <c r="G119" s="1067">
        <v>0</v>
      </c>
      <c r="H119" s="1067">
        <v>509.34523809523807</v>
      </c>
      <c r="I119" s="1067">
        <v>2199.9</v>
      </c>
      <c r="J119" s="1067">
        <v>0</v>
      </c>
      <c r="K119" s="1067">
        <v>2</v>
      </c>
      <c r="L119" s="1067">
        <v>304.65952380952382</v>
      </c>
    </row>
    <row r="120" spans="1:12" x14ac:dyDescent="0.25">
      <c r="A120" s="1067" t="s">
        <v>202</v>
      </c>
      <c r="B120" s="1067" t="s">
        <v>247</v>
      </c>
      <c r="C120" s="1067"/>
      <c r="D120" s="1067" t="s">
        <v>35</v>
      </c>
      <c r="E120" s="1067">
        <v>26</v>
      </c>
      <c r="F120" s="1067"/>
      <c r="G120" s="1067"/>
      <c r="H120" s="1067">
        <v>5</v>
      </c>
      <c r="I120" s="1067">
        <v>17</v>
      </c>
      <c r="J120" s="1067"/>
      <c r="K120" s="1067">
        <v>0</v>
      </c>
      <c r="L120" s="1067">
        <v>4</v>
      </c>
    </row>
    <row r="121" spans="1:12" x14ac:dyDescent="0.25">
      <c r="A121" s="1067" t="s">
        <v>202</v>
      </c>
      <c r="B121" s="1067" t="s">
        <v>247</v>
      </c>
      <c r="C121" s="1067"/>
      <c r="D121" s="1067" t="s">
        <v>36</v>
      </c>
      <c r="E121" s="1067">
        <v>65</v>
      </c>
      <c r="F121" s="1067"/>
      <c r="G121" s="1067"/>
      <c r="H121" s="1067">
        <v>14</v>
      </c>
      <c r="I121" s="1067">
        <v>48</v>
      </c>
      <c r="J121" s="1067"/>
      <c r="K121" s="1067">
        <v>0</v>
      </c>
      <c r="L121" s="1067">
        <v>3</v>
      </c>
    </row>
    <row r="122" spans="1:12" x14ac:dyDescent="0.25">
      <c r="A122" s="1067" t="s">
        <v>202</v>
      </c>
      <c r="B122" s="1067" t="s">
        <v>247</v>
      </c>
      <c r="C122" s="1067"/>
      <c r="D122" s="1067" t="s">
        <v>38</v>
      </c>
      <c r="E122" s="1067">
        <v>53</v>
      </c>
      <c r="F122" s="1067"/>
      <c r="G122" s="1067"/>
      <c r="H122" s="1067">
        <v>7</v>
      </c>
      <c r="I122" s="1067">
        <v>41</v>
      </c>
      <c r="J122" s="1067"/>
      <c r="K122" s="1067">
        <v>0</v>
      </c>
      <c r="L122" s="1067">
        <v>5</v>
      </c>
    </row>
    <row r="123" spans="1:12" x14ac:dyDescent="0.25">
      <c r="A123" s="1067" t="s">
        <v>202</v>
      </c>
      <c r="B123" s="1067" t="s">
        <v>247</v>
      </c>
      <c r="C123" s="1067"/>
      <c r="D123" s="1067" t="s">
        <v>40</v>
      </c>
      <c r="E123" s="1067">
        <v>27</v>
      </c>
      <c r="F123" s="1067"/>
      <c r="G123" s="1067"/>
      <c r="H123" s="1067">
        <v>4</v>
      </c>
      <c r="I123" s="1067">
        <v>19</v>
      </c>
      <c r="J123" s="1067"/>
      <c r="K123" s="1067">
        <v>0</v>
      </c>
      <c r="L123" s="1067">
        <v>4</v>
      </c>
    </row>
    <row r="124" spans="1:12" x14ac:dyDescent="0.25">
      <c r="A124" s="1067" t="s">
        <v>202</v>
      </c>
      <c r="B124" s="1067" t="s">
        <v>247</v>
      </c>
      <c r="C124" s="1067"/>
      <c r="D124" s="1067" t="s">
        <v>41</v>
      </c>
      <c r="E124" s="1067">
        <v>53</v>
      </c>
      <c r="F124" s="1067"/>
      <c r="G124" s="1067"/>
      <c r="H124" s="1067">
        <v>10</v>
      </c>
      <c r="I124" s="1067">
        <v>34</v>
      </c>
      <c r="J124" s="1067"/>
      <c r="K124" s="1067">
        <v>0</v>
      </c>
      <c r="L124" s="1067">
        <v>9</v>
      </c>
    </row>
    <row r="125" spans="1:12" x14ac:dyDescent="0.25">
      <c r="A125" s="1067" t="s">
        <v>202</v>
      </c>
      <c r="B125" s="1067" t="s">
        <v>247</v>
      </c>
      <c r="C125" s="1067"/>
      <c r="D125" s="1067" t="s">
        <v>48</v>
      </c>
      <c r="E125" s="1067">
        <v>95</v>
      </c>
      <c r="F125" s="1067"/>
      <c r="G125" s="1067"/>
      <c r="H125" s="1067">
        <v>17</v>
      </c>
      <c r="I125" s="1067">
        <v>66</v>
      </c>
      <c r="J125" s="1067"/>
      <c r="K125" s="1067">
        <v>0</v>
      </c>
      <c r="L125" s="1067">
        <v>12</v>
      </c>
    </row>
    <row r="126" spans="1:12" x14ac:dyDescent="0.25">
      <c r="A126" s="1067" t="s">
        <v>202</v>
      </c>
      <c r="B126" s="1067" t="s">
        <v>247</v>
      </c>
      <c r="C126" s="1067"/>
      <c r="D126" s="1067" t="s">
        <v>42</v>
      </c>
      <c r="E126" s="1067">
        <v>277.07499999999999</v>
      </c>
      <c r="F126" s="1067"/>
      <c r="G126" s="1067"/>
      <c r="H126" s="1067">
        <v>47</v>
      </c>
      <c r="I126" s="1067">
        <v>210.07499999999999</v>
      </c>
      <c r="J126" s="1067"/>
      <c r="K126" s="1067">
        <v>0</v>
      </c>
      <c r="L126" s="1067">
        <v>20</v>
      </c>
    </row>
    <row r="127" spans="1:12" x14ac:dyDescent="0.25">
      <c r="A127" s="1067" t="s">
        <v>202</v>
      </c>
      <c r="B127" s="1067" t="s">
        <v>247</v>
      </c>
      <c r="C127" s="1067"/>
      <c r="D127" s="1067" t="s">
        <v>44</v>
      </c>
      <c r="E127" s="1067">
        <v>70</v>
      </c>
      <c r="F127" s="1067"/>
      <c r="G127" s="1067"/>
      <c r="H127" s="1067">
        <v>12</v>
      </c>
      <c r="I127" s="1067">
        <v>48</v>
      </c>
      <c r="J127" s="1067"/>
      <c r="K127" s="1067">
        <v>1</v>
      </c>
      <c r="L127" s="1067">
        <v>9</v>
      </c>
    </row>
    <row r="128" spans="1:12" x14ac:dyDescent="0.25">
      <c r="A128" s="1067" t="s">
        <v>202</v>
      </c>
      <c r="B128" s="1067" t="s">
        <v>247</v>
      </c>
      <c r="C128" s="1067"/>
      <c r="D128" s="1067" t="s">
        <v>45</v>
      </c>
      <c r="E128" s="1067">
        <v>23</v>
      </c>
      <c r="F128" s="1067"/>
      <c r="G128" s="1067"/>
      <c r="H128" s="1067">
        <v>4</v>
      </c>
      <c r="I128" s="1067">
        <v>16</v>
      </c>
      <c r="J128" s="1067"/>
      <c r="K128" s="1067">
        <v>0</v>
      </c>
      <c r="L128" s="1067">
        <v>3</v>
      </c>
    </row>
    <row r="129" spans="1:12" x14ac:dyDescent="0.25">
      <c r="A129" s="1067" t="s">
        <v>202</v>
      </c>
      <c r="B129" s="1067" t="s">
        <v>247</v>
      </c>
      <c r="C129" s="1067"/>
      <c r="D129" s="1067" t="s">
        <v>46</v>
      </c>
      <c r="E129" s="1067">
        <v>31</v>
      </c>
      <c r="F129" s="1067"/>
      <c r="G129" s="1067"/>
      <c r="H129" s="1067">
        <v>5</v>
      </c>
      <c r="I129" s="1067">
        <v>21</v>
      </c>
      <c r="J129" s="1067"/>
      <c r="K129" s="1067">
        <v>0</v>
      </c>
      <c r="L129" s="1067">
        <v>5</v>
      </c>
    </row>
    <row r="130" spans="1:12" x14ac:dyDescent="0.25">
      <c r="A130" s="1067" t="s">
        <v>202</v>
      </c>
      <c r="B130" s="1067" t="s">
        <v>247</v>
      </c>
      <c r="C130" s="1067"/>
      <c r="D130" s="1067" t="s">
        <v>47</v>
      </c>
      <c r="E130" s="1067">
        <v>0</v>
      </c>
      <c r="F130" s="1067"/>
      <c r="G130" s="1067"/>
      <c r="H130" s="1067">
        <v>0</v>
      </c>
      <c r="I130" s="1067">
        <v>0</v>
      </c>
      <c r="J130" s="1067"/>
      <c r="K130" s="1067">
        <v>0</v>
      </c>
      <c r="L130" s="1067">
        <v>0</v>
      </c>
    </row>
    <row r="131" spans="1:12" x14ac:dyDescent="0.25">
      <c r="A131" s="1067" t="s">
        <v>202</v>
      </c>
      <c r="B131" s="1067" t="s">
        <v>247</v>
      </c>
      <c r="C131" s="1067"/>
      <c r="D131" s="1067" t="s">
        <v>49</v>
      </c>
      <c r="E131" s="1067">
        <v>75.095238095238102</v>
      </c>
      <c r="F131" s="1067"/>
      <c r="G131" s="1067"/>
      <c r="H131" s="1067">
        <v>13.095238095238095</v>
      </c>
      <c r="I131" s="1067">
        <v>50</v>
      </c>
      <c r="J131" s="1067"/>
      <c r="K131" s="1067">
        <v>0</v>
      </c>
      <c r="L131" s="1067">
        <v>12</v>
      </c>
    </row>
    <row r="132" spans="1:12" x14ac:dyDescent="0.25">
      <c r="A132" s="1067" t="s">
        <v>202</v>
      </c>
      <c r="B132" s="1067" t="s">
        <v>247</v>
      </c>
      <c r="C132" s="1067"/>
      <c r="D132" s="1067" t="s">
        <v>51</v>
      </c>
      <c r="E132" s="1067">
        <v>0</v>
      </c>
      <c r="F132" s="1067"/>
      <c r="G132" s="1067"/>
      <c r="H132" s="1067">
        <v>0</v>
      </c>
      <c r="I132" s="1067">
        <v>0</v>
      </c>
      <c r="J132" s="1067"/>
      <c r="K132" s="1067">
        <v>0</v>
      </c>
      <c r="L132" s="1067">
        <v>0</v>
      </c>
    </row>
    <row r="133" spans="1:12" x14ac:dyDescent="0.25">
      <c r="A133" s="1067" t="s">
        <v>202</v>
      </c>
      <c r="B133" s="1067" t="s">
        <v>247</v>
      </c>
      <c r="C133" s="1067"/>
      <c r="D133" s="1067" t="s">
        <v>52</v>
      </c>
      <c r="E133" s="1067">
        <v>72.75</v>
      </c>
      <c r="F133" s="1067"/>
      <c r="G133" s="1067"/>
      <c r="H133" s="1067">
        <v>13</v>
      </c>
      <c r="I133" s="1067">
        <v>55.75</v>
      </c>
      <c r="J133" s="1067"/>
      <c r="K133" s="1067">
        <v>0</v>
      </c>
      <c r="L133" s="1067">
        <v>4</v>
      </c>
    </row>
    <row r="134" spans="1:12" x14ac:dyDescent="0.25">
      <c r="A134" s="1067" t="s">
        <v>202</v>
      </c>
      <c r="B134" s="1067" t="s">
        <v>247</v>
      </c>
      <c r="C134" s="1067"/>
      <c r="D134" s="1067" t="s">
        <v>54</v>
      </c>
      <c r="E134" s="1067">
        <v>69.075000000000003</v>
      </c>
      <c r="F134" s="1067"/>
      <c r="G134" s="1067"/>
      <c r="H134" s="1067">
        <v>12</v>
      </c>
      <c r="I134" s="1067">
        <v>48.075000000000003</v>
      </c>
      <c r="J134" s="1067"/>
      <c r="K134" s="1067">
        <v>0</v>
      </c>
      <c r="L134" s="1067">
        <v>9</v>
      </c>
    </row>
    <row r="135" spans="1:12" x14ac:dyDescent="0.25">
      <c r="A135" s="1067" t="s">
        <v>202</v>
      </c>
      <c r="B135" s="1067" t="s">
        <v>247</v>
      </c>
      <c r="C135" s="1067"/>
      <c r="D135" s="1067" t="s">
        <v>55</v>
      </c>
      <c r="E135" s="1067">
        <v>0</v>
      </c>
      <c r="F135" s="1067"/>
      <c r="G135" s="1067"/>
      <c r="H135" s="1067">
        <v>0</v>
      </c>
      <c r="I135" s="1067">
        <v>0</v>
      </c>
      <c r="J135" s="1067"/>
      <c r="K135" s="1067">
        <v>0</v>
      </c>
      <c r="L135" s="1067">
        <v>0</v>
      </c>
    </row>
    <row r="136" spans="1:12" x14ac:dyDescent="0.25">
      <c r="A136" s="1067" t="s">
        <v>202</v>
      </c>
      <c r="B136" s="1067" t="s">
        <v>247</v>
      </c>
      <c r="C136" s="1067"/>
      <c r="D136" s="1067" t="s">
        <v>56</v>
      </c>
      <c r="E136" s="1067">
        <v>55</v>
      </c>
      <c r="F136" s="1067"/>
      <c r="G136" s="1067"/>
      <c r="H136" s="1067">
        <v>10</v>
      </c>
      <c r="I136" s="1067">
        <v>40</v>
      </c>
      <c r="J136" s="1067"/>
      <c r="K136" s="1067">
        <v>0</v>
      </c>
      <c r="L136" s="1067">
        <v>5</v>
      </c>
    </row>
    <row r="137" spans="1:12" x14ac:dyDescent="0.25">
      <c r="A137" s="1067" t="s">
        <v>202</v>
      </c>
      <c r="B137" s="1067" t="s">
        <v>247</v>
      </c>
      <c r="C137" s="1067"/>
      <c r="D137" s="1067" t="s">
        <v>57</v>
      </c>
      <c r="E137" s="1067">
        <v>178</v>
      </c>
      <c r="F137" s="1067"/>
      <c r="G137" s="1067"/>
      <c r="H137" s="1067">
        <v>28</v>
      </c>
      <c r="I137" s="1067">
        <v>132</v>
      </c>
      <c r="J137" s="1067"/>
      <c r="K137" s="1067">
        <v>0</v>
      </c>
      <c r="L137" s="1067">
        <v>18</v>
      </c>
    </row>
    <row r="138" spans="1:12" x14ac:dyDescent="0.25">
      <c r="A138" s="1067" t="s">
        <v>202</v>
      </c>
      <c r="B138" s="1067" t="s">
        <v>247</v>
      </c>
      <c r="C138" s="1067"/>
      <c r="D138" s="1067" t="s">
        <v>58</v>
      </c>
      <c r="E138" s="1067">
        <v>51</v>
      </c>
      <c r="F138" s="1067"/>
      <c r="G138" s="1067"/>
      <c r="H138" s="1067">
        <v>9</v>
      </c>
      <c r="I138" s="1067">
        <v>40</v>
      </c>
      <c r="J138" s="1067"/>
      <c r="K138" s="1067">
        <v>0</v>
      </c>
      <c r="L138" s="1067">
        <v>2</v>
      </c>
    </row>
    <row r="139" spans="1:12" x14ac:dyDescent="0.25">
      <c r="A139" s="1067" t="s">
        <v>202</v>
      </c>
      <c r="B139" s="1067" t="s">
        <v>247</v>
      </c>
      <c r="C139" s="1067"/>
      <c r="D139" s="1067" t="s">
        <v>31</v>
      </c>
      <c r="E139" s="1067">
        <v>142</v>
      </c>
      <c r="F139" s="1067"/>
      <c r="G139" s="1067"/>
      <c r="H139" s="1067">
        <v>22</v>
      </c>
      <c r="I139" s="1067">
        <v>107</v>
      </c>
      <c r="J139" s="1067"/>
      <c r="K139" s="1067">
        <v>0</v>
      </c>
      <c r="L139" s="1067">
        <v>13</v>
      </c>
    </row>
    <row r="140" spans="1:12" x14ac:dyDescent="0.25">
      <c r="A140" s="1067" t="s">
        <v>202</v>
      </c>
      <c r="B140" s="1067" t="s">
        <v>247</v>
      </c>
      <c r="C140" s="1067"/>
      <c r="D140" s="1067" t="s">
        <v>32</v>
      </c>
      <c r="E140" s="1067">
        <v>32</v>
      </c>
      <c r="F140" s="1067"/>
      <c r="G140" s="1067"/>
      <c r="H140" s="1067">
        <v>6</v>
      </c>
      <c r="I140" s="1067">
        <v>22</v>
      </c>
      <c r="J140" s="1067"/>
      <c r="K140" s="1067">
        <v>0</v>
      </c>
      <c r="L140" s="1067">
        <v>4</v>
      </c>
    </row>
    <row r="141" spans="1:12" x14ac:dyDescent="0.25">
      <c r="A141" s="1067" t="s">
        <v>202</v>
      </c>
      <c r="B141" s="1067" t="s">
        <v>247</v>
      </c>
      <c r="C141" s="1067"/>
      <c r="D141" s="1067" t="s">
        <v>34</v>
      </c>
      <c r="E141" s="1067">
        <v>55</v>
      </c>
      <c r="F141" s="1067"/>
      <c r="G141" s="1067"/>
      <c r="H141" s="1067">
        <v>8</v>
      </c>
      <c r="I141" s="1067">
        <v>37</v>
      </c>
      <c r="J141" s="1067"/>
      <c r="K141" s="1067">
        <v>0</v>
      </c>
      <c r="L141" s="1067">
        <v>10</v>
      </c>
    </row>
    <row r="142" spans="1:12" x14ac:dyDescent="0.25">
      <c r="A142" s="1067" t="s">
        <v>202</v>
      </c>
      <c r="B142" s="1067" t="s">
        <v>247</v>
      </c>
      <c r="C142" s="1067"/>
      <c r="D142" s="1067" t="s">
        <v>258</v>
      </c>
      <c r="E142" s="1067">
        <v>315</v>
      </c>
      <c r="F142" s="1067"/>
      <c r="G142" s="1067"/>
      <c r="H142" s="1067">
        <v>48</v>
      </c>
      <c r="I142" s="1067">
        <v>248</v>
      </c>
      <c r="J142" s="1067"/>
      <c r="K142" s="1067">
        <v>0</v>
      </c>
      <c r="L142" s="1067">
        <v>19</v>
      </c>
    </row>
    <row r="143" spans="1:12" x14ac:dyDescent="0.25">
      <c r="A143" s="1067" t="s">
        <v>202</v>
      </c>
      <c r="B143" s="1067" t="s">
        <v>247</v>
      </c>
      <c r="C143" s="1067"/>
      <c r="D143" s="1067" t="s">
        <v>53</v>
      </c>
      <c r="E143" s="1067">
        <v>92</v>
      </c>
      <c r="F143" s="1067"/>
      <c r="G143" s="1067"/>
      <c r="H143" s="1067">
        <v>15</v>
      </c>
      <c r="I143" s="1067">
        <v>62</v>
      </c>
      <c r="J143" s="1067"/>
      <c r="K143" s="1067">
        <v>0</v>
      </c>
      <c r="L143" s="1067">
        <v>15</v>
      </c>
    </row>
    <row r="144" spans="1:12" x14ac:dyDescent="0.25">
      <c r="A144" s="1067" t="s">
        <v>202</v>
      </c>
      <c r="B144" s="1067" t="s">
        <v>247</v>
      </c>
      <c r="C144" s="1067"/>
      <c r="D144" s="1067" t="s">
        <v>59</v>
      </c>
      <c r="E144" s="1067">
        <v>70</v>
      </c>
      <c r="F144" s="1067"/>
      <c r="G144" s="1067"/>
      <c r="H144" s="1067">
        <v>11</v>
      </c>
      <c r="I144" s="1067">
        <v>49</v>
      </c>
      <c r="J144" s="1067"/>
      <c r="K144" s="1067">
        <v>0</v>
      </c>
      <c r="L144" s="1067">
        <v>10</v>
      </c>
    </row>
    <row r="145" spans="1:12" x14ac:dyDescent="0.25">
      <c r="A145" s="1067" t="s">
        <v>202</v>
      </c>
      <c r="B145" s="1067" t="s">
        <v>247</v>
      </c>
      <c r="C145" s="1067"/>
      <c r="D145" s="1067" t="s">
        <v>60</v>
      </c>
      <c r="E145" s="1067">
        <v>61</v>
      </c>
      <c r="F145" s="1067"/>
      <c r="G145" s="1067"/>
      <c r="H145" s="1067">
        <v>9</v>
      </c>
      <c r="I145" s="1067">
        <v>44</v>
      </c>
      <c r="J145" s="1067"/>
      <c r="K145" s="1067">
        <v>0</v>
      </c>
      <c r="L145" s="1067">
        <v>8</v>
      </c>
    </row>
    <row r="146" spans="1:12" x14ac:dyDescent="0.25">
      <c r="A146" s="1067" t="s">
        <v>202</v>
      </c>
      <c r="B146" s="1067" t="s">
        <v>247</v>
      </c>
      <c r="C146" s="1067"/>
      <c r="D146" s="1067" t="s">
        <v>33</v>
      </c>
      <c r="E146" s="1067">
        <v>36</v>
      </c>
      <c r="F146" s="1067"/>
      <c r="G146" s="1067"/>
      <c r="H146" s="1067">
        <v>8</v>
      </c>
      <c r="I146" s="1067">
        <v>25</v>
      </c>
      <c r="J146" s="1067"/>
      <c r="K146" s="1067">
        <v>0</v>
      </c>
      <c r="L146" s="1067">
        <v>3</v>
      </c>
    </row>
    <row r="147" spans="1:12" x14ac:dyDescent="0.25">
      <c r="A147" s="1067" t="s">
        <v>202</v>
      </c>
      <c r="B147" s="1067" t="s">
        <v>247</v>
      </c>
      <c r="C147" s="1067"/>
      <c r="D147" s="1067" t="s">
        <v>37</v>
      </c>
      <c r="E147" s="1067">
        <v>176</v>
      </c>
      <c r="F147" s="1067"/>
      <c r="G147" s="1067"/>
      <c r="H147" s="1067">
        <v>26</v>
      </c>
      <c r="I147" s="1067">
        <v>135</v>
      </c>
      <c r="J147" s="1067"/>
      <c r="K147" s="1067">
        <v>1</v>
      </c>
      <c r="L147" s="1067">
        <v>14</v>
      </c>
    </row>
    <row r="148" spans="1:12" x14ac:dyDescent="0.25">
      <c r="A148" s="1067" t="s">
        <v>202</v>
      </c>
      <c r="B148" s="1067" t="s">
        <v>247</v>
      </c>
      <c r="C148" s="1067"/>
      <c r="D148" s="1067" t="s">
        <v>50</v>
      </c>
      <c r="E148" s="1067">
        <v>179.75</v>
      </c>
      <c r="F148" s="1067"/>
      <c r="G148" s="1067"/>
      <c r="H148" s="1067">
        <v>27.75</v>
      </c>
      <c r="I148" s="1067">
        <v>136</v>
      </c>
      <c r="J148" s="1067"/>
      <c r="K148" s="1067">
        <v>0</v>
      </c>
      <c r="L148" s="1067">
        <v>16</v>
      </c>
    </row>
    <row r="149" spans="1:12" x14ac:dyDescent="0.25">
      <c r="A149" s="1067" t="s">
        <v>202</v>
      </c>
      <c r="B149" s="1067" t="s">
        <v>247</v>
      </c>
      <c r="C149" s="1067"/>
      <c r="D149" s="1067" t="s">
        <v>39</v>
      </c>
      <c r="E149" s="1067">
        <v>70</v>
      </c>
      <c r="F149" s="1067"/>
      <c r="G149" s="1067"/>
      <c r="H149" s="1067">
        <v>9</v>
      </c>
      <c r="I149" s="1067">
        <v>46</v>
      </c>
      <c r="J149" s="1067"/>
      <c r="K149" s="1067">
        <v>0</v>
      </c>
      <c r="L149" s="1067">
        <v>15</v>
      </c>
    </row>
    <row r="150" spans="1:12" x14ac:dyDescent="0.25">
      <c r="A150" s="1067" t="s">
        <v>202</v>
      </c>
      <c r="B150" s="1067" t="s">
        <v>247</v>
      </c>
      <c r="C150" s="1067"/>
      <c r="D150" s="1067" t="s">
        <v>121</v>
      </c>
      <c r="E150" s="1067">
        <v>68</v>
      </c>
      <c r="F150" s="1067"/>
      <c r="G150" s="1067"/>
      <c r="H150" s="1067">
        <v>11</v>
      </c>
      <c r="I150" s="1067">
        <v>53</v>
      </c>
      <c r="J150" s="1067"/>
      <c r="K150" s="1067">
        <v>0</v>
      </c>
      <c r="L150" s="1067">
        <v>4</v>
      </c>
    </row>
    <row r="151" spans="1:12" x14ac:dyDescent="0.25">
      <c r="A151" s="1067" t="s">
        <v>202</v>
      </c>
      <c r="B151" s="1067" t="s">
        <v>247</v>
      </c>
      <c r="C151" s="1067"/>
      <c r="D151" s="1067" t="s">
        <v>43</v>
      </c>
      <c r="E151" s="1067">
        <v>498.15952380952382</v>
      </c>
      <c r="F151" s="1067"/>
      <c r="G151" s="1067"/>
      <c r="H151" s="1067">
        <v>98.5</v>
      </c>
      <c r="I151" s="1067">
        <v>350</v>
      </c>
      <c r="J151" s="1067"/>
      <c r="K151" s="1067">
        <v>0</v>
      </c>
      <c r="L151" s="1067">
        <v>49.659523809523812</v>
      </c>
    </row>
    <row r="152" spans="1:12" x14ac:dyDescent="0.25">
      <c r="A152" s="1067" t="s">
        <v>202</v>
      </c>
      <c r="B152" s="1067" t="s">
        <v>248</v>
      </c>
      <c r="C152" s="1067"/>
      <c r="D152" s="1067" t="s">
        <v>281</v>
      </c>
      <c r="E152" s="1067">
        <v>393.54523809523812</v>
      </c>
      <c r="F152" s="1067">
        <v>14</v>
      </c>
      <c r="G152" s="1067">
        <v>0</v>
      </c>
      <c r="H152" s="1067">
        <v>50</v>
      </c>
      <c r="I152" s="1067">
        <v>34.885714285714286</v>
      </c>
      <c r="J152" s="1067">
        <v>62</v>
      </c>
      <c r="K152" s="1067">
        <v>91</v>
      </c>
      <c r="L152" s="1067">
        <v>141.65952380952382</v>
      </c>
    </row>
    <row r="153" spans="1:12" x14ac:dyDescent="0.25">
      <c r="A153" s="1067" t="s">
        <v>202</v>
      </c>
      <c r="B153" s="1067" t="s">
        <v>248</v>
      </c>
      <c r="C153" s="1067"/>
      <c r="D153" s="1067" t="s">
        <v>31</v>
      </c>
      <c r="E153" s="1067">
        <v>16</v>
      </c>
      <c r="F153" s="1067">
        <v>1</v>
      </c>
      <c r="G153" s="1067"/>
      <c r="H153" s="1067">
        <v>0</v>
      </c>
      <c r="I153" s="1067">
        <v>3</v>
      </c>
      <c r="J153" s="1067">
        <v>3</v>
      </c>
      <c r="K153" s="1067">
        <v>2</v>
      </c>
      <c r="L153" s="1067">
        <v>7</v>
      </c>
    </row>
    <row r="154" spans="1:12" x14ac:dyDescent="0.25">
      <c r="A154" s="1067" t="s">
        <v>202</v>
      </c>
      <c r="B154" s="1067" t="s">
        <v>248</v>
      </c>
      <c r="C154" s="1067"/>
      <c r="D154" s="1067" t="s">
        <v>63</v>
      </c>
      <c r="E154" s="1067">
        <v>27</v>
      </c>
      <c r="F154" s="1067">
        <v>1</v>
      </c>
      <c r="G154" s="1067"/>
      <c r="H154" s="1067">
        <v>7</v>
      </c>
      <c r="I154" s="1067">
        <v>1</v>
      </c>
      <c r="J154" s="1067">
        <v>2</v>
      </c>
      <c r="K154" s="1067">
        <v>6</v>
      </c>
      <c r="L154" s="1067">
        <v>10</v>
      </c>
    </row>
    <row r="155" spans="1:12" x14ac:dyDescent="0.25">
      <c r="A155" s="1067" t="s">
        <v>202</v>
      </c>
      <c r="B155" s="1067" t="s">
        <v>248</v>
      </c>
      <c r="C155" s="1067"/>
      <c r="D155" s="1067" t="s">
        <v>64</v>
      </c>
      <c r="E155" s="1067">
        <v>25</v>
      </c>
      <c r="F155" s="1067">
        <v>1</v>
      </c>
      <c r="G155" s="1067"/>
      <c r="H155" s="1067">
        <v>2</v>
      </c>
      <c r="I155" s="1067">
        <v>4</v>
      </c>
      <c r="J155" s="1067">
        <v>5</v>
      </c>
      <c r="K155" s="1067">
        <v>7</v>
      </c>
      <c r="L155" s="1067">
        <v>6</v>
      </c>
    </row>
    <row r="156" spans="1:12" x14ac:dyDescent="0.25">
      <c r="A156" s="1067" t="s">
        <v>202</v>
      </c>
      <c r="B156" s="1067" t="s">
        <v>248</v>
      </c>
      <c r="C156" s="1067"/>
      <c r="D156" s="1067" t="s">
        <v>36</v>
      </c>
      <c r="E156" s="1067">
        <v>19</v>
      </c>
      <c r="F156" s="1067">
        <v>0</v>
      </c>
      <c r="G156" s="1067"/>
      <c r="H156" s="1067">
        <v>0</v>
      </c>
      <c r="I156" s="1067">
        <v>2</v>
      </c>
      <c r="J156" s="1067">
        <v>2</v>
      </c>
      <c r="K156" s="1067">
        <v>5</v>
      </c>
      <c r="L156" s="1067">
        <v>10</v>
      </c>
    </row>
    <row r="157" spans="1:12" x14ac:dyDescent="0.25">
      <c r="A157" s="1067" t="s">
        <v>202</v>
      </c>
      <c r="B157" s="1067" t="s">
        <v>248</v>
      </c>
      <c r="C157" s="1067"/>
      <c r="D157" s="1067" t="s">
        <v>66</v>
      </c>
      <c r="E157" s="1067">
        <v>28.885714285714286</v>
      </c>
      <c r="F157" s="1067">
        <v>1</v>
      </c>
      <c r="G157" s="1067"/>
      <c r="H157" s="1067">
        <v>4</v>
      </c>
      <c r="I157" s="1067">
        <v>1.8857142857142857</v>
      </c>
      <c r="J157" s="1067">
        <v>6</v>
      </c>
      <c r="K157" s="1067">
        <v>7</v>
      </c>
      <c r="L157" s="1067">
        <v>9</v>
      </c>
    </row>
    <row r="158" spans="1:12" x14ac:dyDescent="0.25">
      <c r="A158" s="1067" t="s">
        <v>202</v>
      </c>
      <c r="B158" s="1067" t="s">
        <v>248</v>
      </c>
      <c r="C158" s="1067"/>
      <c r="D158" s="1067" t="s">
        <v>67</v>
      </c>
      <c r="E158" s="1067">
        <v>38</v>
      </c>
      <c r="F158" s="1067">
        <v>1</v>
      </c>
      <c r="G158" s="1067"/>
      <c r="H158" s="1067">
        <v>10</v>
      </c>
      <c r="I158" s="1067">
        <v>5</v>
      </c>
      <c r="J158" s="1067">
        <v>5</v>
      </c>
      <c r="K158" s="1067">
        <v>6</v>
      </c>
      <c r="L158" s="1067">
        <v>11</v>
      </c>
    </row>
    <row r="159" spans="1:12" x14ac:dyDescent="0.25">
      <c r="A159" s="1067" t="s">
        <v>202</v>
      </c>
      <c r="B159" s="1067" t="s">
        <v>248</v>
      </c>
      <c r="C159" s="1067"/>
      <c r="D159" s="1067" t="s">
        <v>68</v>
      </c>
      <c r="E159" s="1067">
        <v>17</v>
      </c>
      <c r="F159" s="1067">
        <v>1</v>
      </c>
      <c r="G159" s="1067"/>
      <c r="H159" s="1067">
        <v>1</v>
      </c>
      <c r="I159" s="1067">
        <v>3</v>
      </c>
      <c r="J159" s="1067">
        <v>2</v>
      </c>
      <c r="K159" s="1067">
        <v>3</v>
      </c>
      <c r="L159" s="1067">
        <v>7</v>
      </c>
    </row>
    <row r="160" spans="1:12" x14ac:dyDescent="0.25">
      <c r="A160" s="1067" t="s">
        <v>202</v>
      </c>
      <c r="B160" s="1067" t="s">
        <v>248</v>
      </c>
      <c r="C160" s="1067"/>
      <c r="D160" s="1067" t="s">
        <v>175</v>
      </c>
      <c r="E160" s="1067">
        <v>27</v>
      </c>
      <c r="F160" s="1067">
        <v>0</v>
      </c>
      <c r="G160" s="1067"/>
      <c r="H160" s="1067">
        <v>5</v>
      </c>
      <c r="I160" s="1067">
        <v>4</v>
      </c>
      <c r="J160" s="1067">
        <v>7</v>
      </c>
      <c r="K160" s="1067">
        <v>2</v>
      </c>
      <c r="L160" s="1067">
        <v>9</v>
      </c>
    </row>
    <row r="161" spans="1:12" x14ac:dyDescent="0.25">
      <c r="A161" s="1067" t="s">
        <v>202</v>
      </c>
      <c r="B161" s="1067" t="s">
        <v>248</v>
      </c>
      <c r="C161" s="1067"/>
      <c r="D161" s="1067" t="s">
        <v>69</v>
      </c>
      <c r="E161" s="1067">
        <v>25</v>
      </c>
      <c r="F161" s="1067">
        <v>1</v>
      </c>
      <c r="G161" s="1067"/>
      <c r="H161" s="1067">
        <v>1</v>
      </c>
      <c r="I161" s="1067">
        <v>2</v>
      </c>
      <c r="J161" s="1067">
        <v>2</v>
      </c>
      <c r="K161" s="1067">
        <v>3</v>
      </c>
      <c r="L161" s="1067">
        <v>16</v>
      </c>
    </row>
    <row r="162" spans="1:12" x14ac:dyDescent="0.25">
      <c r="A162" s="1067" t="s">
        <v>202</v>
      </c>
      <c r="B162" s="1067" t="s">
        <v>248</v>
      </c>
      <c r="C162" s="1067"/>
      <c r="D162" s="1067" t="s">
        <v>121</v>
      </c>
      <c r="E162" s="1067">
        <v>31.659523809523812</v>
      </c>
      <c r="F162" s="1067">
        <v>1</v>
      </c>
      <c r="G162" s="1067"/>
      <c r="H162" s="1067">
        <v>1</v>
      </c>
      <c r="I162" s="1067">
        <v>2</v>
      </c>
      <c r="J162" s="1067">
        <v>5</v>
      </c>
      <c r="K162" s="1067">
        <v>8</v>
      </c>
      <c r="L162" s="1067">
        <v>14.65952380952381</v>
      </c>
    </row>
    <row r="163" spans="1:12" x14ac:dyDescent="0.25">
      <c r="A163" s="1067" t="s">
        <v>202</v>
      </c>
      <c r="B163" s="1067" t="s">
        <v>248</v>
      </c>
      <c r="C163" s="1067"/>
      <c r="D163" s="1067" t="s">
        <v>70</v>
      </c>
      <c r="E163" s="1067">
        <v>29</v>
      </c>
      <c r="F163" s="1067">
        <v>1</v>
      </c>
      <c r="G163" s="1067"/>
      <c r="H163" s="1067">
        <v>7</v>
      </c>
      <c r="I163" s="1067">
        <v>0</v>
      </c>
      <c r="J163" s="1067">
        <v>6</v>
      </c>
      <c r="K163" s="1067">
        <v>8</v>
      </c>
      <c r="L163" s="1067">
        <v>7</v>
      </c>
    </row>
    <row r="164" spans="1:12" x14ac:dyDescent="0.25">
      <c r="A164" s="1067" t="s">
        <v>202</v>
      </c>
      <c r="B164" s="1067" t="s">
        <v>248</v>
      </c>
      <c r="C164" s="1067"/>
      <c r="D164" s="1067" t="s">
        <v>50</v>
      </c>
      <c r="E164" s="1067">
        <v>20</v>
      </c>
      <c r="F164" s="1067">
        <v>1</v>
      </c>
      <c r="G164" s="1067"/>
      <c r="H164" s="1067">
        <v>3</v>
      </c>
      <c r="I164" s="1067">
        <v>0</v>
      </c>
      <c r="J164" s="1067">
        <v>3</v>
      </c>
      <c r="K164" s="1067">
        <v>4</v>
      </c>
      <c r="L164" s="1067">
        <v>9</v>
      </c>
    </row>
    <row r="165" spans="1:12" x14ac:dyDescent="0.25">
      <c r="A165" s="1067" t="s">
        <v>202</v>
      </c>
      <c r="B165" s="1067" t="s">
        <v>248</v>
      </c>
      <c r="C165" s="1067"/>
      <c r="D165" s="1067" t="s">
        <v>57</v>
      </c>
      <c r="E165" s="1067">
        <v>16</v>
      </c>
      <c r="F165" s="1067">
        <v>1</v>
      </c>
      <c r="G165" s="1067"/>
      <c r="H165" s="1067">
        <v>3</v>
      </c>
      <c r="I165" s="1067">
        <v>1</v>
      </c>
      <c r="J165" s="1067">
        <v>3</v>
      </c>
      <c r="K165" s="1067">
        <v>5</v>
      </c>
      <c r="L165" s="1067">
        <v>3</v>
      </c>
    </row>
    <row r="166" spans="1:12" x14ac:dyDescent="0.25">
      <c r="A166" s="1067" t="s">
        <v>202</v>
      </c>
      <c r="B166" s="1067" t="s">
        <v>248</v>
      </c>
      <c r="C166" s="1067"/>
      <c r="D166" s="1067" t="s">
        <v>1071</v>
      </c>
      <c r="E166" s="1067">
        <v>13</v>
      </c>
      <c r="F166" s="1067">
        <v>0</v>
      </c>
      <c r="G166" s="1067"/>
      <c r="H166" s="1067">
        <v>2</v>
      </c>
      <c r="I166" s="1067">
        <v>1</v>
      </c>
      <c r="J166" s="1067">
        <v>2</v>
      </c>
      <c r="K166" s="1067">
        <v>5</v>
      </c>
      <c r="L166" s="1067">
        <v>3</v>
      </c>
    </row>
    <row r="167" spans="1:12" x14ac:dyDescent="0.25">
      <c r="A167" s="1067" t="s">
        <v>202</v>
      </c>
      <c r="B167" s="1067" t="s">
        <v>248</v>
      </c>
      <c r="C167" s="1067"/>
      <c r="D167" s="1067" t="s">
        <v>71</v>
      </c>
      <c r="E167" s="1067">
        <v>11</v>
      </c>
      <c r="F167" s="1067">
        <v>1</v>
      </c>
      <c r="G167" s="1067"/>
      <c r="H167" s="1067">
        <v>1</v>
      </c>
      <c r="I167" s="1067">
        <v>0</v>
      </c>
      <c r="J167" s="1067">
        <v>3</v>
      </c>
      <c r="K167" s="1067">
        <v>5</v>
      </c>
      <c r="L167" s="1067">
        <v>1</v>
      </c>
    </row>
    <row r="168" spans="1:12" x14ac:dyDescent="0.25">
      <c r="A168" s="1067" t="s">
        <v>202</v>
      </c>
      <c r="B168" s="1067" t="s">
        <v>248</v>
      </c>
      <c r="C168" s="1067"/>
      <c r="D168" s="1067" t="s">
        <v>65</v>
      </c>
      <c r="E168" s="1067">
        <v>24</v>
      </c>
      <c r="F168" s="1067">
        <v>1</v>
      </c>
      <c r="G168" s="1067"/>
      <c r="H168" s="1067">
        <v>0</v>
      </c>
      <c r="I168" s="1067">
        <v>1</v>
      </c>
      <c r="J168" s="1067">
        <v>4</v>
      </c>
      <c r="K168" s="1067">
        <v>10</v>
      </c>
      <c r="L168" s="1067">
        <v>8</v>
      </c>
    </row>
    <row r="169" spans="1:12" x14ac:dyDescent="0.25">
      <c r="A169" s="1067" t="s">
        <v>202</v>
      </c>
      <c r="B169" s="1067" t="s">
        <v>248</v>
      </c>
      <c r="C169" s="1067"/>
      <c r="D169" s="1067" t="s">
        <v>43</v>
      </c>
      <c r="E169" s="1067">
        <v>26</v>
      </c>
      <c r="F169" s="1067">
        <v>1</v>
      </c>
      <c r="G169" s="1067"/>
      <c r="H169" s="1067">
        <v>3</v>
      </c>
      <c r="I169" s="1067">
        <v>4</v>
      </c>
      <c r="J169" s="1067">
        <v>2</v>
      </c>
      <c r="K169" s="1067">
        <v>5</v>
      </c>
      <c r="L169" s="1067">
        <v>11</v>
      </c>
    </row>
    <row r="170" spans="1:12" x14ac:dyDescent="0.25">
      <c r="A170" s="1067" t="s">
        <v>202</v>
      </c>
      <c r="B170" s="1067" t="s">
        <v>249</v>
      </c>
      <c r="C170" s="1067"/>
      <c r="D170" s="1067" t="s">
        <v>173</v>
      </c>
      <c r="E170" s="1067">
        <v>16</v>
      </c>
      <c r="F170" s="1067">
        <v>1</v>
      </c>
      <c r="G170" s="1067"/>
      <c r="H170" s="1067">
        <v>3</v>
      </c>
      <c r="I170" s="1067">
        <v>0</v>
      </c>
      <c r="J170" s="1067">
        <v>5</v>
      </c>
      <c r="K170" s="1067">
        <v>3</v>
      </c>
      <c r="L170" s="1067">
        <v>4</v>
      </c>
    </row>
    <row r="171" spans="1:12" x14ac:dyDescent="0.25">
      <c r="A171" s="1067" t="s">
        <v>202</v>
      </c>
      <c r="B171" s="1067" t="s">
        <v>249</v>
      </c>
      <c r="C171" s="1067"/>
      <c r="D171" s="1067" t="s">
        <v>174</v>
      </c>
      <c r="E171" s="1067">
        <v>25</v>
      </c>
      <c r="F171" s="1067">
        <v>1</v>
      </c>
      <c r="G171" s="1067"/>
      <c r="H171" s="1067">
        <v>2</v>
      </c>
      <c r="I171" s="1067">
        <v>0</v>
      </c>
      <c r="J171" s="1067">
        <v>2</v>
      </c>
      <c r="K171" s="1067">
        <v>3</v>
      </c>
      <c r="L171" s="1067">
        <v>17</v>
      </c>
    </row>
    <row r="172" spans="1:12" x14ac:dyDescent="0.25">
      <c r="A172" s="1067" t="s">
        <v>202</v>
      </c>
      <c r="B172" s="1067" t="s">
        <v>249</v>
      </c>
      <c r="C172" s="1067"/>
      <c r="D172" s="1067" t="s">
        <v>172</v>
      </c>
      <c r="E172" s="1067">
        <v>44</v>
      </c>
      <c r="F172" s="1067">
        <v>1</v>
      </c>
      <c r="G172" s="1067"/>
      <c r="H172" s="1067">
        <v>8</v>
      </c>
      <c r="I172" s="1067">
        <v>0</v>
      </c>
      <c r="J172" s="1067">
        <v>2</v>
      </c>
      <c r="K172" s="1067">
        <v>8</v>
      </c>
      <c r="L172" s="1067">
        <v>25</v>
      </c>
    </row>
    <row r="173" spans="1:12" x14ac:dyDescent="0.25">
      <c r="A173" s="1067" t="s">
        <v>202</v>
      </c>
      <c r="B173" s="1067" t="s">
        <v>250</v>
      </c>
      <c r="C173" s="1067"/>
      <c r="D173" s="1067" t="s">
        <v>259</v>
      </c>
      <c r="E173" s="1067">
        <v>195</v>
      </c>
      <c r="F173" s="1067">
        <v>18</v>
      </c>
      <c r="G173" s="1067">
        <v>10</v>
      </c>
      <c r="H173" s="1067">
        <v>26</v>
      </c>
      <c r="I173" s="1067">
        <v>16</v>
      </c>
      <c r="J173" s="1067">
        <v>19</v>
      </c>
      <c r="K173" s="1067">
        <v>19</v>
      </c>
      <c r="L173" s="1067">
        <v>93</v>
      </c>
    </row>
    <row r="174" spans="1:12" x14ac:dyDescent="0.25">
      <c r="A174" s="1067" t="s">
        <v>202</v>
      </c>
      <c r="B174" s="1067" t="s">
        <v>1197</v>
      </c>
      <c r="C174" s="1067"/>
      <c r="D174" s="1067" t="s">
        <v>281</v>
      </c>
      <c r="E174" s="1067">
        <v>85</v>
      </c>
      <c r="F174" s="1067">
        <v>3</v>
      </c>
      <c r="G174" s="1067">
        <v>0</v>
      </c>
      <c r="H174" s="1067">
        <v>13</v>
      </c>
      <c r="I174" s="1067">
        <v>0</v>
      </c>
      <c r="J174" s="1067">
        <v>9</v>
      </c>
      <c r="K174" s="1067">
        <v>14</v>
      </c>
      <c r="L174" s="1067">
        <v>46</v>
      </c>
    </row>
    <row r="175" spans="1:12" x14ac:dyDescent="0.25">
      <c r="A175" s="1067" t="s">
        <v>202</v>
      </c>
      <c r="B175" s="1067" t="s">
        <v>26</v>
      </c>
      <c r="C175" s="1067"/>
      <c r="D175" s="1067" t="s">
        <v>259</v>
      </c>
      <c r="E175" s="1067">
        <v>3690</v>
      </c>
      <c r="F175" s="1067">
        <v>35</v>
      </c>
      <c r="G175" s="1067">
        <v>4</v>
      </c>
      <c r="H175" s="1067">
        <v>598.34523809523807</v>
      </c>
      <c r="I175" s="1067">
        <v>2250.7857142857142</v>
      </c>
      <c r="J175" s="1067">
        <v>90</v>
      </c>
      <c r="K175" s="1067">
        <v>126</v>
      </c>
      <c r="L175" s="1067">
        <v>585.31904761904764</v>
      </c>
    </row>
    <row r="176" spans="1:12" x14ac:dyDescent="0.25">
      <c r="A176" s="1067" t="s">
        <v>273</v>
      </c>
      <c r="B176" s="1067" t="s">
        <v>247</v>
      </c>
      <c r="C176" s="1067"/>
      <c r="D176" s="1067" t="s">
        <v>281</v>
      </c>
      <c r="E176" s="1067">
        <v>2923</v>
      </c>
      <c r="F176" s="1067">
        <v>0</v>
      </c>
      <c r="G176" s="1067">
        <v>0</v>
      </c>
      <c r="H176" s="1067">
        <v>552</v>
      </c>
      <c r="I176" s="1067">
        <v>2027</v>
      </c>
      <c r="J176" s="1067">
        <v>0</v>
      </c>
      <c r="K176" s="1067">
        <v>1</v>
      </c>
      <c r="L176" s="1067">
        <v>343</v>
      </c>
    </row>
    <row r="177" spans="1:12" x14ac:dyDescent="0.25">
      <c r="A177" s="1067" t="s">
        <v>273</v>
      </c>
      <c r="B177" s="1067" t="s">
        <v>247</v>
      </c>
      <c r="C177" s="1067"/>
      <c r="D177" s="1067" t="s">
        <v>35</v>
      </c>
      <c r="E177" s="1067">
        <v>22</v>
      </c>
      <c r="F177" s="1067">
        <v>0</v>
      </c>
      <c r="G177" s="1067">
        <v>0</v>
      </c>
      <c r="H177" s="1067">
        <v>4</v>
      </c>
      <c r="I177" s="1067">
        <v>14</v>
      </c>
      <c r="J177" s="1067">
        <v>0</v>
      </c>
      <c r="K177" s="1067">
        <v>0</v>
      </c>
      <c r="L177" s="1067">
        <v>4</v>
      </c>
    </row>
    <row r="178" spans="1:12" x14ac:dyDescent="0.25">
      <c r="A178" s="1067" t="s">
        <v>273</v>
      </c>
      <c r="B178" s="1067" t="s">
        <v>247</v>
      </c>
      <c r="C178" s="1067"/>
      <c r="D178" s="1067" t="s">
        <v>36</v>
      </c>
      <c r="E178" s="1067">
        <v>63</v>
      </c>
      <c r="F178" s="1067">
        <v>0</v>
      </c>
      <c r="G178" s="1067">
        <v>0</v>
      </c>
      <c r="H178" s="1067">
        <v>11</v>
      </c>
      <c r="I178" s="1067">
        <v>48</v>
      </c>
      <c r="J178" s="1067">
        <v>0</v>
      </c>
      <c r="K178" s="1067">
        <v>0</v>
      </c>
      <c r="L178" s="1067">
        <v>4</v>
      </c>
    </row>
    <row r="179" spans="1:12" x14ac:dyDescent="0.25">
      <c r="A179" s="1067" t="s">
        <v>273</v>
      </c>
      <c r="B179" s="1067" t="s">
        <v>247</v>
      </c>
      <c r="C179" s="1067"/>
      <c r="D179" s="1067" t="s">
        <v>38</v>
      </c>
      <c r="E179" s="1067">
        <v>46</v>
      </c>
      <c r="F179" s="1067">
        <v>0</v>
      </c>
      <c r="G179" s="1067">
        <v>0</v>
      </c>
      <c r="H179" s="1067">
        <v>9</v>
      </c>
      <c r="I179" s="1067">
        <v>32</v>
      </c>
      <c r="J179" s="1067">
        <v>0</v>
      </c>
      <c r="K179" s="1067">
        <v>0</v>
      </c>
      <c r="L179" s="1067">
        <v>5</v>
      </c>
    </row>
    <row r="180" spans="1:12" x14ac:dyDescent="0.25">
      <c r="A180" s="1067" t="s">
        <v>273</v>
      </c>
      <c r="B180" s="1067" t="s">
        <v>247</v>
      </c>
      <c r="C180" s="1067"/>
      <c r="D180" s="1067" t="s">
        <v>40</v>
      </c>
      <c r="E180" s="1067">
        <v>27</v>
      </c>
      <c r="F180" s="1067">
        <v>0</v>
      </c>
      <c r="G180" s="1067">
        <v>0</v>
      </c>
      <c r="H180" s="1067">
        <v>4</v>
      </c>
      <c r="I180" s="1067">
        <v>19</v>
      </c>
      <c r="J180" s="1067">
        <v>0</v>
      </c>
      <c r="K180" s="1067">
        <v>0</v>
      </c>
      <c r="L180" s="1067">
        <v>4</v>
      </c>
    </row>
    <row r="181" spans="1:12" x14ac:dyDescent="0.25">
      <c r="A181" s="1067" t="s">
        <v>273</v>
      </c>
      <c r="B181" s="1067" t="s">
        <v>247</v>
      </c>
      <c r="C181" s="1067"/>
      <c r="D181" s="1067" t="s">
        <v>41</v>
      </c>
      <c r="E181" s="1067">
        <v>50</v>
      </c>
      <c r="F181" s="1067">
        <v>0</v>
      </c>
      <c r="G181" s="1067">
        <v>0</v>
      </c>
      <c r="H181" s="1067">
        <v>10</v>
      </c>
      <c r="I181" s="1067">
        <v>30</v>
      </c>
      <c r="J181" s="1067">
        <v>0</v>
      </c>
      <c r="K181" s="1067">
        <v>0</v>
      </c>
      <c r="L181" s="1067">
        <v>10</v>
      </c>
    </row>
    <row r="182" spans="1:12" x14ac:dyDescent="0.25">
      <c r="A182" s="1067" t="s">
        <v>273</v>
      </c>
      <c r="B182" s="1067" t="s">
        <v>247</v>
      </c>
      <c r="C182" s="1067"/>
      <c r="D182" s="1067" t="s">
        <v>48</v>
      </c>
      <c r="E182" s="1067">
        <v>0</v>
      </c>
      <c r="F182" s="1067">
        <v>0</v>
      </c>
      <c r="G182" s="1067">
        <v>0</v>
      </c>
      <c r="H182" s="1067">
        <v>0</v>
      </c>
      <c r="I182" s="1067">
        <v>0</v>
      </c>
      <c r="J182" s="1067">
        <v>0</v>
      </c>
      <c r="K182" s="1067">
        <v>0</v>
      </c>
      <c r="L182" s="1067">
        <v>0</v>
      </c>
    </row>
    <row r="183" spans="1:12" x14ac:dyDescent="0.25">
      <c r="A183" s="1067" t="s">
        <v>273</v>
      </c>
      <c r="B183" s="1067" t="s">
        <v>247</v>
      </c>
      <c r="C183" s="1067"/>
      <c r="D183" s="1067" t="s">
        <v>42</v>
      </c>
      <c r="E183" s="1067">
        <v>86</v>
      </c>
      <c r="F183" s="1067">
        <v>0</v>
      </c>
      <c r="G183" s="1067">
        <v>0</v>
      </c>
      <c r="H183" s="1067">
        <v>16</v>
      </c>
      <c r="I183" s="1067">
        <v>57</v>
      </c>
      <c r="J183" s="1067">
        <v>0</v>
      </c>
      <c r="K183" s="1067">
        <v>0</v>
      </c>
      <c r="L183" s="1067">
        <v>13</v>
      </c>
    </row>
    <row r="184" spans="1:12" x14ac:dyDescent="0.25">
      <c r="A184" s="1067" t="s">
        <v>273</v>
      </c>
      <c r="B184" s="1067" t="s">
        <v>247</v>
      </c>
      <c r="C184" s="1067"/>
      <c r="D184" s="1067" t="s">
        <v>44</v>
      </c>
      <c r="E184" s="1067">
        <v>67</v>
      </c>
      <c r="F184" s="1067">
        <v>0</v>
      </c>
      <c r="G184" s="1067">
        <v>0</v>
      </c>
      <c r="H184" s="1067">
        <v>11</v>
      </c>
      <c r="I184" s="1067">
        <v>52</v>
      </c>
      <c r="J184" s="1067">
        <v>0</v>
      </c>
      <c r="K184" s="1067">
        <v>0</v>
      </c>
      <c r="L184" s="1067">
        <v>4</v>
      </c>
    </row>
    <row r="185" spans="1:12" x14ac:dyDescent="0.25">
      <c r="A185" s="1067" t="s">
        <v>273</v>
      </c>
      <c r="B185" s="1067" t="s">
        <v>247</v>
      </c>
      <c r="C185" s="1067"/>
      <c r="D185" s="1067" t="s">
        <v>45</v>
      </c>
      <c r="E185" s="1067">
        <v>68</v>
      </c>
      <c r="F185" s="1067">
        <v>0</v>
      </c>
      <c r="G185" s="1067">
        <v>0</v>
      </c>
      <c r="H185" s="1067">
        <v>13</v>
      </c>
      <c r="I185" s="1067">
        <v>43</v>
      </c>
      <c r="J185" s="1067">
        <v>0</v>
      </c>
      <c r="K185" s="1067">
        <v>1</v>
      </c>
      <c r="L185" s="1067">
        <v>11</v>
      </c>
    </row>
    <row r="186" spans="1:12" x14ac:dyDescent="0.25">
      <c r="A186" s="1067" t="s">
        <v>273</v>
      </c>
      <c r="B186" s="1067" t="s">
        <v>247</v>
      </c>
      <c r="C186" s="1067"/>
      <c r="D186" s="1067" t="s">
        <v>46</v>
      </c>
      <c r="E186" s="1067">
        <v>22</v>
      </c>
      <c r="F186" s="1067">
        <v>0</v>
      </c>
      <c r="G186" s="1067">
        <v>0</v>
      </c>
      <c r="H186" s="1067">
        <v>4</v>
      </c>
      <c r="I186" s="1067">
        <v>14</v>
      </c>
      <c r="J186" s="1067">
        <v>0</v>
      </c>
      <c r="K186" s="1067">
        <v>0</v>
      </c>
      <c r="L186" s="1067">
        <v>4</v>
      </c>
    </row>
    <row r="187" spans="1:12" x14ac:dyDescent="0.25">
      <c r="A187" s="1067" t="s">
        <v>273</v>
      </c>
      <c r="B187" s="1067" t="s">
        <v>247</v>
      </c>
      <c r="C187" s="1067"/>
      <c r="D187" s="1067" t="s">
        <v>47</v>
      </c>
      <c r="E187" s="1067">
        <v>27</v>
      </c>
      <c r="F187" s="1067">
        <v>0</v>
      </c>
      <c r="G187" s="1067">
        <v>0</v>
      </c>
      <c r="H187" s="1067">
        <v>4</v>
      </c>
      <c r="I187" s="1067">
        <v>19</v>
      </c>
      <c r="J187" s="1067">
        <v>0</v>
      </c>
      <c r="K187" s="1067">
        <v>0</v>
      </c>
      <c r="L187" s="1067">
        <v>4</v>
      </c>
    </row>
    <row r="188" spans="1:12" x14ac:dyDescent="0.25">
      <c r="A188" s="1067" t="s">
        <v>273</v>
      </c>
      <c r="B188" s="1067" t="s">
        <v>247</v>
      </c>
      <c r="C188" s="1067"/>
      <c r="D188" s="1067" t="s">
        <v>49</v>
      </c>
      <c r="E188" s="1067">
        <v>78</v>
      </c>
      <c r="F188" s="1067">
        <v>0</v>
      </c>
      <c r="G188" s="1067">
        <v>0</v>
      </c>
      <c r="H188" s="1067">
        <v>17</v>
      </c>
      <c r="I188" s="1067">
        <v>46</v>
      </c>
      <c r="J188" s="1067">
        <v>0</v>
      </c>
      <c r="K188" s="1067">
        <v>0</v>
      </c>
      <c r="L188" s="1067">
        <v>15</v>
      </c>
    </row>
    <row r="189" spans="1:12" x14ac:dyDescent="0.25">
      <c r="A189" s="1067" t="s">
        <v>273</v>
      </c>
      <c r="B189" s="1067" t="s">
        <v>247</v>
      </c>
      <c r="C189" s="1067"/>
      <c r="D189" s="1067" t="s">
        <v>51</v>
      </c>
      <c r="E189" s="1067">
        <v>0</v>
      </c>
      <c r="F189" s="1067">
        <v>0</v>
      </c>
      <c r="G189" s="1067">
        <v>0</v>
      </c>
      <c r="H189" s="1067">
        <v>0</v>
      </c>
      <c r="I189" s="1067">
        <v>0</v>
      </c>
      <c r="J189" s="1067">
        <v>0</v>
      </c>
      <c r="K189" s="1067">
        <v>0</v>
      </c>
      <c r="L189" s="1067">
        <v>0</v>
      </c>
    </row>
    <row r="190" spans="1:12" x14ac:dyDescent="0.25">
      <c r="A190" s="1067" t="s">
        <v>273</v>
      </c>
      <c r="B190" s="1067" t="s">
        <v>247</v>
      </c>
      <c r="C190" s="1067"/>
      <c r="D190" s="1067" t="s">
        <v>52</v>
      </c>
      <c r="E190" s="1067">
        <v>68</v>
      </c>
      <c r="F190" s="1067">
        <v>0</v>
      </c>
      <c r="G190" s="1067">
        <v>0</v>
      </c>
      <c r="H190" s="1067">
        <v>12</v>
      </c>
      <c r="I190" s="1067">
        <v>52</v>
      </c>
      <c r="J190" s="1067">
        <v>0</v>
      </c>
      <c r="K190" s="1067">
        <v>0</v>
      </c>
      <c r="L190" s="1067">
        <v>4</v>
      </c>
    </row>
    <row r="191" spans="1:12" x14ac:dyDescent="0.25">
      <c r="A191" s="1067" t="s">
        <v>273</v>
      </c>
      <c r="B191" s="1067" t="s">
        <v>247</v>
      </c>
      <c r="C191" s="1067"/>
      <c r="D191" s="1067" t="s">
        <v>54</v>
      </c>
      <c r="E191" s="1067">
        <v>56</v>
      </c>
      <c r="F191" s="1067">
        <v>0</v>
      </c>
      <c r="G191" s="1067">
        <v>0</v>
      </c>
      <c r="H191" s="1067">
        <v>8</v>
      </c>
      <c r="I191" s="1067">
        <v>40</v>
      </c>
      <c r="J191" s="1067">
        <v>0</v>
      </c>
      <c r="K191" s="1067">
        <v>0</v>
      </c>
      <c r="L191" s="1067">
        <v>8</v>
      </c>
    </row>
    <row r="192" spans="1:12" x14ac:dyDescent="0.25">
      <c r="A192" s="1067" t="s">
        <v>273</v>
      </c>
      <c r="B192" s="1067" t="s">
        <v>247</v>
      </c>
      <c r="C192" s="1067"/>
      <c r="D192" s="1067" t="s">
        <v>55</v>
      </c>
      <c r="E192" s="1067">
        <v>0</v>
      </c>
      <c r="F192" s="1067">
        <v>0</v>
      </c>
      <c r="G192" s="1067">
        <v>0</v>
      </c>
      <c r="H192" s="1067">
        <v>0</v>
      </c>
      <c r="I192" s="1067">
        <v>0</v>
      </c>
      <c r="J192" s="1067">
        <v>0</v>
      </c>
      <c r="K192" s="1067">
        <v>0</v>
      </c>
      <c r="L192" s="1067">
        <v>0</v>
      </c>
    </row>
    <row r="193" spans="1:12" x14ac:dyDescent="0.25">
      <c r="A193" s="1067" t="s">
        <v>273</v>
      </c>
      <c r="B193" s="1067" t="s">
        <v>247</v>
      </c>
      <c r="C193" s="1067"/>
      <c r="D193" s="1067" t="s">
        <v>56</v>
      </c>
      <c r="E193" s="1067">
        <v>54</v>
      </c>
      <c r="F193" s="1067">
        <v>0</v>
      </c>
      <c r="G193" s="1067">
        <v>0</v>
      </c>
      <c r="H193" s="1067">
        <v>10</v>
      </c>
      <c r="I193" s="1067">
        <v>39</v>
      </c>
      <c r="J193" s="1067">
        <v>0</v>
      </c>
      <c r="K193" s="1067">
        <v>0</v>
      </c>
      <c r="L193" s="1067">
        <v>5</v>
      </c>
    </row>
    <row r="194" spans="1:12" x14ac:dyDescent="0.25">
      <c r="A194" s="1067" t="s">
        <v>273</v>
      </c>
      <c r="B194" s="1067" t="s">
        <v>247</v>
      </c>
      <c r="C194" s="1067"/>
      <c r="D194" s="1067" t="s">
        <v>57</v>
      </c>
      <c r="E194" s="1067">
        <v>171</v>
      </c>
      <c r="F194" s="1067">
        <v>0</v>
      </c>
      <c r="G194" s="1067">
        <v>0</v>
      </c>
      <c r="H194" s="1067">
        <v>34</v>
      </c>
      <c r="I194" s="1067">
        <v>117</v>
      </c>
      <c r="J194" s="1067">
        <v>0</v>
      </c>
      <c r="K194" s="1067">
        <v>0</v>
      </c>
      <c r="L194" s="1067">
        <v>20</v>
      </c>
    </row>
    <row r="195" spans="1:12" x14ac:dyDescent="0.25">
      <c r="A195" s="1067" t="s">
        <v>273</v>
      </c>
      <c r="B195" s="1067" t="s">
        <v>247</v>
      </c>
      <c r="C195" s="1067"/>
      <c r="D195" s="1067" t="s">
        <v>58</v>
      </c>
      <c r="E195" s="1067">
        <v>53</v>
      </c>
      <c r="F195" s="1067">
        <v>0</v>
      </c>
      <c r="G195" s="1067">
        <v>0</v>
      </c>
      <c r="H195" s="1067">
        <v>9</v>
      </c>
      <c r="I195" s="1067">
        <v>40</v>
      </c>
      <c r="J195" s="1067">
        <v>0</v>
      </c>
      <c r="K195" s="1067">
        <v>0</v>
      </c>
      <c r="L195" s="1067">
        <v>4</v>
      </c>
    </row>
    <row r="196" spans="1:12" x14ac:dyDescent="0.25">
      <c r="A196" s="1067" t="s">
        <v>273</v>
      </c>
      <c r="B196" s="1067" t="s">
        <v>247</v>
      </c>
      <c r="C196" s="1067"/>
      <c r="D196" s="1067" t="s">
        <v>31</v>
      </c>
      <c r="E196" s="1067">
        <v>155</v>
      </c>
      <c r="F196" s="1067">
        <v>0</v>
      </c>
      <c r="G196" s="1067">
        <v>0</v>
      </c>
      <c r="H196" s="1067">
        <v>26</v>
      </c>
      <c r="I196" s="1067">
        <v>113</v>
      </c>
      <c r="J196" s="1067">
        <v>0</v>
      </c>
      <c r="K196" s="1067">
        <v>0</v>
      </c>
      <c r="L196" s="1067">
        <v>16</v>
      </c>
    </row>
    <row r="197" spans="1:12" x14ac:dyDescent="0.25">
      <c r="A197" s="1067" t="s">
        <v>273</v>
      </c>
      <c r="B197" s="1067" t="s">
        <v>247</v>
      </c>
      <c r="C197" s="1067"/>
      <c r="D197" s="1067" t="s">
        <v>32</v>
      </c>
      <c r="E197" s="1067">
        <v>25</v>
      </c>
      <c r="F197" s="1067">
        <v>0</v>
      </c>
      <c r="G197" s="1067">
        <v>0</v>
      </c>
      <c r="H197" s="1067">
        <v>4</v>
      </c>
      <c r="I197" s="1067">
        <v>17</v>
      </c>
      <c r="J197" s="1067">
        <v>0</v>
      </c>
      <c r="K197" s="1067">
        <v>0</v>
      </c>
      <c r="L197" s="1067">
        <v>4</v>
      </c>
    </row>
    <row r="198" spans="1:12" x14ac:dyDescent="0.25">
      <c r="A198" s="1067" t="s">
        <v>273</v>
      </c>
      <c r="B198" s="1067" t="s">
        <v>247</v>
      </c>
      <c r="C198" s="1067"/>
      <c r="D198" s="1067" t="s">
        <v>34</v>
      </c>
      <c r="E198" s="1067">
        <v>43</v>
      </c>
      <c r="F198" s="1067">
        <v>0</v>
      </c>
      <c r="G198" s="1067">
        <v>0</v>
      </c>
      <c r="H198" s="1067">
        <v>9</v>
      </c>
      <c r="I198" s="1067">
        <v>24</v>
      </c>
      <c r="J198" s="1067">
        <v>0</v>
      </c>
      <c r="K198" s="1067">
        <v>0</v>
      </c>
      <c r="L198" s="1067">
        <v>10</v>
      </c>
    </row>
    <row r="199" spans="1:12" x14ac:dyDescent="0.25">
      <c r="A199" s="1067" t="s">
        <v>273</v>
      </c>
      <c r="B199" s="1067" t="s">
        <v>247</v>
      </c>
      <c r="C199" s="1067"/>
      <c r="D199" s="1067" t="s">
        <v>258</v>
      </c>
      <c r="E199" s="1067">
        <v>313</v>
      </c>
      <c r="F199" s="1067">
        <v>0</v>
      </c>
      <c r="G199" s="1067">
        <v>0</v>
      </c>
      <c r="H199" s="1067">
        <v>60</v>
      </c>
      <c r="I199" s="1067">
        <v>227</v>
      </c>
      <c r="J199" s="1067">
        <v>0</v>
      </c>
      <c r="K199" s="1067">
        <v>0</v>
      </c>
      <c r="L199" s="1067">
        <v>26</v>
      </c>
    </row>
    <row r="200" spans="1:12" x14ac:dyDescent="0.25">
      <c r="A200" s="1067" t="s">
        <v>273</v>
      </c>
      <c r="B200" s="1067" t="s">
        <v>247</v>
      </c>
      <c r="C200" s="1067"/>
      <c r="D200" s="1067" t="s">
        <v>53</v>
      </c>
      <c r="E200" s="1067">
        <v>97</v>
      </c>
      <c r="F200" s="1067">
        <v>0</v>
      </c>
      <c r="G200" s="1067">
        <v>0</v>
      </c>
      <c r="H200" s="1067">
        <v>21</v>
      </c>
      <c r="I200" s="1067">
        <v>60</v>
      </c>
      <c r="J200" s="1067">
        <v>0</v>
      </c>
      <c r="K200" s="1067">
        <v>0</v>
      </c>
      <c r="L200" s="1067">
        <v>16</v>
      </c>
    </row>
    <row r="201" spans="1:12" x14ac:dyDescent="0.25">
      <c r="A201" s="1067" t="s">
        <v>273</v>
      </c>
      <c r="B201" s="1067" t="s">
        <v>247</v>
      </c>
      <c r="C201" s="1067"/>
      <c r="D201" s="1067" t="s">
        <v>59</v>
      </c>
      <c r="E201" s="1067">
        <v>69</v>
      </c>
      <c r="F201" s="1067">
        <v>0</v>
      </c>
      <c r="G201" s="1067">
        <v>0</v>
      </c>
      <c r="H201" s="1067">
        <v>15</v>
      </c>
      <c r="I201" s="1067">
        <v>44</v>
      </c>
      <c r="J201" s="1067">
        <v>0</v>
      </c>
      <c r="K201" s="1067">
        <v>0</v>
      </c>
      <c r="L201" s="1067">
        <v>10</v>
      </c>
    </row>
    <row r="202" spans="1:12" x14ac:dyDescent="0.25">
      <c r="A202" s="1067" t="s">
        <v>273</v>
      </c>
      <c r="B202" s="1067" t="s">
        <v>247</v>
      </c>
      <c r="C202" s="1067"/>
      <c r="D202" s="1067" t="s">
        <v>60</v>
      </c>
      <c r="E202" s="1067">
        <v>60</v>
      </c>
      <c r="F202" s="1067">
        <v>0</v>
      </c>
      <c r="G202" s="1067">
        <v>0</v>
      </c>
      <c r="H202" s="1067">
        <v>10</v>
      </c>
      <c r="I202" s="1067">
        <v>42</v>
      </c>
      <c r="J202" s="1067">
        <v>0</v>
      </c>
      <c r="K202" s="1067">
        <v>0</v>
      </c>
      <c r="L202" s="1067">
        <v>8</v>
      </c>
    </row>
    <row r="203" spans="1:12" x14ac:dyDescent="0.25">
      <c r="A203" s="1067" t="s">
        <v>273</v>
      </c>
      <c r="B203" s="1067" t="s">
        <v>247</v>
      </c>
      <c r="C203" s="1067"/>
      <c r="D203" s="1067" t="s">
        <v>33</v>
      </c>
      <c r="E203" s="1067">
        <v>25</v>
      </c>
      <c r="F203" s="1067">
        <v>0</v>
      </c>
      <c r="G203" s="1067">
        <v>0</v>
      </c>
      <c r="H203" s="1067">
        <v>4</v>
      </c>
      <c r="I203" s="1067">
        <v>18</v>
      </c>
      <c r="J203" s="1067">
        <v>0</v>
      </c>
      <c r="K203" s="1067">
        <v>0</v>
      </c>
      <c r="L203" s="1067">
        <v>3</v>
      </c>
    </row>
    <row r="204" spans="1:12" x14ac:dyDescent="0.25">
      <c r="A204" s="1067" t="s">
        <v>273</v>
      </c>
      <c r="B204" s="1067" t="s">
        <v>247</v>
      </c>
      <c r="C204" s="1067"/>
      <c r="D204" s="1067" t="s">
        <v>37</v>
      </c>
      <c r="E204" s="1067">
        <v>192</v>
      </c>
      <c r="F204" s="1067">
        <v>0</v>
      </c>
      <c r="G204" s="1067">
        <v>0</v>
      </c>
      <c r="H204" s="1067">
        <v>30</v>
      </c>
      <c r="I204" s="1067">
        <v>144</v>
      </c>
      <c r="J204" s="1067">
        <v>0</v>
      </c>
      <c r="K204" s="1067">
        <v>0</v>
      </c>
      <c r="L204" s="1067">
        <v>18</v>
      </c>
    </row>
    <row r="205" spans="1:12" x14ac:dyDescent="0.25">
      <c r="A205" s="1067" t="s">
        <v>273</v>
      </c>
      <c r="B205" s="1067" t="s">
        <v>247</v>
      </c>
      <c r="C205" s="1067"/>
      <c r="D205" s="1067" t="s">
        <v>50</v>
      </c>
      <c r="E205" s="1067">
        <v>173</v>
      </c>
      <c r="F205" s="1067">
        <v>0</v>
      </c>
      <c r="G205" s="1067">
        <v>0</v>
      </c>
      <c r="H205" s="1067">
        <v>30</v>
      </c>
      <c r="I205" s="1067">
        <v>123</v>
      </c>
      <c r="J205" s="1067">
        <v>0</v>
      </c>
      <c r="K205" s="1067">
        <v>0</v>
      </c>
      <c r="L205" s="1067">
        <v>20</v>
      </c>
    </row>
    <row r="206" spans="1:12" x14ac:dyDescent="0.25">
      <c r="A206" s="1067" t="s">
        <v>273</v>
      </c>
      <c r="B206" s="1067" t="s">
        <v>247</v>
      </c>
      <c r="C206" s="1067"/>
      <c r="D206" s="1067" t="s">
        <v>39</v>
      </c>
      <c r="E206" s="1067">
        <v>68</v>
      </c>
      <c r="F206" s="1067">
        <v>0</v>
      </c>
      <c r="G206" s="1067">
        <v>0</v>
      </c>
      <c r="H206" s="1067">
        <v>14</v>
      </c>
      <c r="I206" s="1067">
        <v>39</v>
      </c>
      <c r="J206" s="1067">
        <v>0</v>
      </c>
      <c r="K206" s="1067">
        <v>0</v>
      </c>
      <c r="L206" s="1067">
        <v>15</v>
      </c>
    </row>
    <row r="207" spans="1:12" x14ac:dyDescent="0.25">
      <c r="A207" s="1067" t="s">
        <v>273</v>
      </c>
      <c r="B207" s="1067" t="s">
        <v>247</v>
      </c>
      <c r="C207" s="1067"/>
      <c r="D207" s="1067" t="s">
        <v>121</v>
      </c>
      <c r="E207" s="1067">
        <v>475</v>
      </c>
      <c r="F207" s="1067">
        <v>0</v>
      </c>
      <c r="G207" s="1067">
        <v>0</v>
      </c>
      <c r="H207" s="1067">
        <v>105</v>
      </c>
      <c r="I207" s="1067">
        <v>313</v>
      </c>
      <c r="J207" s="1067">
        <v>0</v>
      </c>
      <c r="K207" s="1067">
        <v>0</v>
      </c>
      <c r="L207" s="1067">
        <v>57</v>
      </c>
    </row>
    <row r="208" spans="1:12" x14ac:dyDescent="0.25">
      <c r="A208" s="1067" t="s">
        <v>273</v>
      </c>
      <c r="B208" s="1067" t="s">
        <v>247</v>
      </c>
      <c r="C208" s="1067"/>
      <c r="D208" s="1067" t="s">
        <v>43</v>
      </c>
      <c r="E208" s="1067">
        <v>270</v>
      </c>
      <c r="F208" s="1067">
        <v>0</v>
      </c>
      <c r="G208" s="1067">
        <v>0</v>
      </c>
      <c r="H208" s="1067">
        <v>48</v>
      </c>
      <c r="I208" s="1067">
        <v>201</v>
      </c>
      <c r="J208" s="1067">
        <v>0</v>
      </c>
      <c r="K208" s="1067">
        <v>0</v>
      </c>
      <c r="L208" s="1067">
        <v>21</v>
      </c>
    </row>
    <row r="209" spans="1:12" x14ac:dyDescent="0.25">
      <c r="A209" s="1067" t="s">
        <v>273</v>
      </c>
      <c r="B209" s="1067" t="s">
        <v>248</v>
      </c>
      <c r="C209" s="1067"/>
      <c r="D209" s="1067" t="s">
        <v>281</v>
      </c>
      <c r="E209" s="1067">
        <v>386</v>
      </c>
      <c r="F209" s="1067">
        <v>16</v>
      </c>
      <c r="G209" s="1067">
        <v>0</v>
      </c>
      <c r="H209" s="1067">
        <v>61</v>
      </c>
      <c r="I209" s="1067">
        <v>27</v>
      </c>
      <c r="J209" s="1067">
        <v>47</v>
      </c>
      <c r="K209" s="1067">
        <v>116</v>
      </c>
      <c r="L209" s="1067">
        <v>119</v>
      </c>
    </row>
    <row r="210" spans="1:12" x14ac:dyDescent="0.25">
      <c r="A210" s="1067" t="s">
        <v>273</v>
      </c>
      <c r="B210" s="1067" t="s">
        <v>248</v>
      </c>
      <c r="C210" s="1067"/>
      <c r="D210" s="1067" t="s">
        <v>31</v>
      </c>
      <c r="E210" s="1067">
        <v>14</v>
      </c>
      <c r="F210" s="1067">
        <v>1</v>
      </c>
      <c r="G210" s="1067">
        <v>0</v>
      </c>
      <c r="H210" s="1067">
        <v>2</v>
      </c>
      <c r="I210" s="1067">
        <v>2</v>
      </c>
      <c r="J210" s="1067">
        <v>1</v>
      </c>
      <c r="K210" s="1067">
        <v>3</v>
      </c>
      <c r="L210" s="1067">
        <v>5</v>
      </c>
    </row>
    <row r="211" spans="1:12" x14ac:dyDescent="0.25">
      <c r="A211" s="1067" t="s">
        <v>273</v>
      </c>
      <c r="B211" s="1067" t="s">
        <v>248</v>
      </c>
      <c r="C211" s="1067"/>
      <c r="D211" s="1067" t="s">
        <v>63</v>
      </c>
      <c r="E211" s="1067">
        <v>25</v>
      </c>
      <c r="F211" s="1067">
        <v>1</v>
      </c>
      <c r="G211" s="1067">
        <v>0</v>
      </c>
      <c r="H211" s="1067">
        <v>5</v>
      </c>
      <c r="I211" s="1067">
        <v>0</v>
      </c>
      <c r="J211" s="1067">
        <v>2</v>
      </c>
      <c r="K211" s="1067">
        <v>8</v>
      </c>
      <c r="L211" s="1067">
        <v>9</v>
      </c>
    </row>
    <row r="212" spans="1:12" x14ac:dyDescent="0.25">
      <c r="A212" s="1067" t="s">
        <v>273</v>
      </c>
      <c r="B212" s="1067" t="s">
        <v>248</v>
      </c>
      <c r="C212" s="1067"/>
      <c r="D212" s="1067" t="s">
        <v>64</v>
      </c>
      <c r="E212" s="1067">
        <v>26</v>
      </c>
      <c r="F212" s="1067">
        <v>1</v>
      </c>
      <c r="G212" s="1067">
        <v>0</v>
      </c>
      <c r="H212" s="1067">
        <v>4</v>
      </c>
      <c r="I212" s="1067">
        <v>2</v>
      </c>
      <c r="J212" s="1067">
        <v>3</v>
      </c>
      <c r="K212" s="1067">
        <v>9</v>
      </c>
      <c r="L212" s="1067">
        <v>7</v>
      </c>
    </row>
    <row r="213" spans="1:12" x14ac:dyDescent="0.25">
      <c r="A213" s="1067" t="s">
        <v>273</v>
      </c>
      <c r="B213" s="1067" t="s">
        <v>248</v>
      </c>
      <c r="C213" s="1067"/>
      <c r="D213" s="1067" t="s">
        <v>36</v>
      </c>
      <c r="E213" s="1067">
        <v>21</v>
      </c>
      <c r="F213" s="1067">
        <v>1</v>
      </c>
      <c r="G213" s="1067">
        <v>0</v>
      </c>
      <c r="H213" s="1067">
        <v>3</v>
      </c>
      <c r="I213" s="1067">
        <v>0</v>
      </c>
      <c r="J213" s="1067">
        <v>2</v>
      </c>
      <c r="K213" s="1067">
        <v>6</v>
      </c>
      <c r="L213" s="1067">
        <v>9</v>
      </c>
    </row>
    <row r="214" spans="1:12" x14ac:dyDescent="0.25">
      <c r="A214" s="1067" t="s">
        <v>273</v>
      </c>
      <c r="B214" s="1067" t="s">
        <v>248</v>
      </c>
      <c r="C214" s="1067"/>
      <c r="D214" s="1067" t="s">
        <v>66</v>
      </c>
      <c r="E214" s="1067">
        <v>29</v>
      </c>
      <c r="F214" s="1067">
        <v>1</v>
      </c>
      <c r="G214" s="1067">
        <v>0</v>
      </c>
      <c r="H214" s="1067">
        <v>5</v>
      </c>
      <c r="I214" s="1067">
        <v>1</v>
      </c>
      <c r="J214" s="1067">
        <v>4</v>
      </c>
      <c r="K214" s="1067">
        <v>9</v>
      </c>
      <c r="L214" s="1067">
        <v>9</v>
      </c>
    </row>
    <row r="215" spans="1:12" x14ac:dyDescent="0.25">
      <c r="A215" s="1067" t="s">
        <v>273</v>
      </c>
      <c r="B215" s="1067" t="s">
        <v>248</v>
      </c>
      <c r="C215" s="1067"/>
      <c r="D215" s="1067" t="s">
        <v>67</v>
      </c>
      <c r="E215" s="1067">
        <v>31</v>
      </c>
      <c r="F215" s="1067">
        <v>1</v>
      </c>
      <c r="G215" s="1067">
        <v>0</v>
      </c>
      <c r="H215" s="1067">
        <v>5</v>
      </c>
      <c r="I215" s="1067">
        <v>5</v>
      </c>
      <c r="J215" s="1067">
        <v>4</v>
      </c>
      <c r="K215" s="1067">
        <v>8</v>
      </c>
      <c r="L215" s="1067">
        <v>8</v>
      </c>
    </row>
    <row r="216" spans="1:12" x14ac:dyDescent="0.25">
      <c r="A216" s="1067" t="s">
        <v>273</v>
      </c>
      <c r="B216" s="1067" t="s">
        <v>248</v>
      </c>
      <c r="C216" s="1067"/>
      <c r="D216" s="1067" t="s">
        <v>68</v>
      </c>
      <c r="E216" s="1067">
        <v>18</v>
      </c>
      <c r="F216" s="1067">
        <v>1</v>
      </c>
      <c r="G216" s="1067">
        <v>0</v>
      </c>
      <c r="H216" s="1067">
        <v>2</v>
      </c>
      <c r="I216" s="1067">
        <v>1</v>
      </c>
      <c r="J216" s="1067">
        <v>3</v>
      </c>
      <c r="K216" s="1067">
        <v>4</v>
      </c>
      <c r="L216" s="1067">
        <v>7</v>
      </c>
    </row>
    <row r="217" spans="1:12" x14ac:dyDescent="0.25">
      <c r="A217" s="1067" t="s">
        <v>273</v>
      </c>
      <c r="B217" s="1067" t="s">
        <v>248</v>
      </c>
      <c r="C217" s="1067"/>
      <c r="D217" s="1067" t="s">
        <v>175</v>
      </c>
      <c r="E217" s="1067">
        <v>27</v>
      </c>
      <c r="F217" s="1067">
        <v>1</v>
      </c>
      <c r="G217" s="1067">
        <v>0</v>
      </c>
      <c r="H217" s="1067">
        <v>2</v>
      </c>
      <c r="I217" s="1067">
        <v>4</v>
      </c>
      <c r="J217" s="1067">
        <v>3</v>
      </c>
      <c r="K217" s="1067">
        <v>6</v>
      </c>
      <c r="L217" s="1067">
        <v>11</v>
      </c>
    </row>
    <row r="218" spans="1:12" x14ac:dyDescent="0.25">
      <c r="A218" s="1067" t="s">
        <v>273</v>
      </c>
      <c r="B218" s="1067" t="s">
        <v>248</v>
      </c>
      <c r="C218" s="1067"/>
      <c r="D218" s="1067" t="s">
        <v>69</v>
      </c>
      <c r="E218" s="1067">
        <v>21</v>
      </c>
      <c r="F218" s="1067">
        <v>1</v>
      </c>
      <c r="G218" s="1067">
        <v>0</v>
      </c>
      <c r="H218" s="1067">
        <v>3</v>
      </c>
      <c r="I218" s="1067">
        <v>2</v>
      </c>
      <c r="J218" s="1067">
        <v>2</v>
      </c>
      <c r="K218" s="1067">
        <v>6</v>
      </c>
      <c r="L218" s="1067">
        <v>7</v>
      </c>
    </row>
    <row r="219" spans="1:12" x14ac:dyDescent="0.25">
      <c r="A219" s="1067" t="s">
        <v>273</v>
      </c>
      <c r="B219" s="1067" t="s">
        <v>248</v>
      </c>
      <c r="C219" s="1067"/>
      <c r="D219" s="1067" t="s">
        <v>121</v>
      </c>
      <c r="E219" s="1067">
        <v>25</v>
      </c>
      <c r="F219" s="1067">
        <v>1</v>
      </c>
      <c r="G219" s="1067">
        <v>0</v>
      </c>
      <c r="H219" s="1067">
        <v>3</v>
      </c>
      <c r="I219" s="1067">
        <v>2</v>
      </c>
      <c r="J219" s="1067">
        <v>4</v>
      </c>
      <c r="K219" s="1067">
        <v>9</v>
      </c>
      <c r="L219" s="1067">
        <v>6</v>
      </c>
    </row>
    <row r="220" spans="1:12" x14ac:dyDescent="0.25">
      <c r="A220" s="1067" t="s">
        <v>273</v>
      </c>
      <c r="B220" s="1067" t="s">
        <v>248</v>
      </c>
      <c r="C220" s="1067"/>
      <c r="D220" s="1067" t="s">
        <v>70</v>
      </c>
      <c r="E220" s="1067">
        <v>36</v>
      </c>
      <c r="F220" s="1067">
        <v>1</v>
      </c>
      <c r="G220" s="1067">
        <v>0</v>
      </c>
      <c r="H220" s="1067">
        <v>10</v>
      </c>
      <c r="I220" s="1067">
        <v>0</v>
      </c>
      <c r="J220" s="1067">
        <v>4</v>
      </c>
      <c r="K220" s="1067">
        <v>13</v>
      </c>
      <c r="L220" s="1067">
        <v>8</v>
      </c>
    </row>
    <row r="221" spans="1:12" x14ac:dyDescent="0.25">
      <c r="A221" s="1067" t="s">
        <v>273</v>
      </c>
      <c r="B221" s="1067" t="s">
        <v>248</v>
      </c>
      <c r="C221" s="1067"/>
      <c r="D221" s="1067" t="s">
        <v>50</v>
      </c>
      <c r="E221" s="1067">
        <v>15</v>
      </c>
      <c r="F221" s="1067">
        <v>1</v>
      </c>
      <c r="G221" s="1067">
        <v>0</v>
      </c>
      <c r="H221" s="1067">
        <v>1</v>
      </c>
      <c r="I221" s="1067">
        <v>1</v>
      </c>
      <c r="J221" s="1067">
        <v>2</v>
      </c>
      <c r="K221" s="1067">
        <v>5</v>
      </c>
      <c r="L221" s="1067">
        <v>5</v>
      </c>
    </row>
    <row r="222" spans="1:12" x14ac:dyDescent="0.25">
      <c r="A222" s="1067" t="s">
        <v>273</v>
      </c>
      <c r="B222" s="1067" t="s">
        <v>248</v>
      </c>
      <c r="C222" s="1067"/>
      <c r="D222" s="1067" t="s">
        <v>57</v>
      </c>
      <c r="E222" s="1067">
        <v>15</v>
      </c>
      <c r="F222" s="1067">
        <v>1</v>
      </c>
      <c r="G222" s="1067">
        <v>0</v>
      </c>
      <c r="H222" s="1067">
        <v>2</v>
      </c>
      <c r="I222" s="1067">
        <v>1</v>
      </c>
      <c r="J222" s="1067">
        <v>2</v>
      </c>
      <c r="K222" s="1067">
        <v>5</v>
      </c>
      <c r="L222" s="1067">
        <v>4</v>
      </c>
    </row>
    <row r="223" spans="1:12" x14ac:dyDescent="0.25">
      <c r="A223" s="1067" t="s">
        <v>273</v>
      </c>
      <c r="B223" s="1067" t="s">
        <v>248</v>
      </c>
      <c r="C223" s="1067"/>
      <c r="D223" s="1067" t="s">
        <v>1071</v>
      </c>
      <c r="E223" s="1067">
        <v>15</v>
      </c>
      <c r="F223" s="1067">
        <v>0</v>
      </c>
      <c r="G223" s="1067">
        <v>0</v>
      </c>
      <c r="H223" s="1067">
        <v>3</v>
      </c>
      <c r="I223" s="1067">
        <v>1</v>
      </c>
      <c r="J223" s="1067">
        <v>2</v>
      </c>
      <c r="K223" s="1067">
        <v>4</v>
      </c>
      <c r="L223" s="1067">
        <v>5</v>
      </c>
    </row>
    <row r="224" spans="1:12" x14ac:dyDescent="0.25">
      <c r="A224" s="1067" t="s">
        <v>273</v>
      </c>
      <c r="B224" s="1067" t="s">
        <v>248</v>
      </c>
      <c r="C224" s="1067"/>
      <c r="D224" s="1067" t="s">
        <v>71</v>
      </c>
      <c r="E224" s="1067">
        <v>16</v>
      </c>
      <c r="F224" s="1067">
        <v>1</v>
      </c>
      <c r="G224" s="1067">
        <v>0</v>
      </c>
      <c r="H224" s="1067">
        <v>6</v>
      </c>
      <c r="I224" s="1067">
        <v>0</v>
      </c>
      <c r="J224" s="1067">
        <v>3</v>
      </c>
      <c r="K224" s="1067">
        <v>5</v>
      </c>
      <c r="L224" s="1067">
        <v>1</v>
      </c>
    </row>
    <row r="225" spans="1:12" x14ac:dyDescent="0.25">
      <c r="A225" s="1067" t="s">
        <v>273</v>
      </c>
      <c r="B225" s="1067" t="s">
        <v>248</v>
      </c>
      <c r="C225" s="1067"/>
      <c r="D225" s="1067" t="s">
        <v>65</v>
      </c>
      <c r="E225" s="1067">
        <v>28</v>
      </c>
      <c r="F225" s="1067">
        <v>1</v>
      </c>
      <c r="G225" s="1067">
        <v>0</v>
      </c>
      <c r="H225" s="1067">
        <v>2</v>
      </c>
      <c r="I225" s="1067">
        <v>2</v>
      </c>
      <c r="J225" s="1067">
        <v>4</v>
      </c>
      <c r="K225" s="1067">
        <v>9</v>
      </c>
      <c r="L225" s="1067">
        <v>10</v>
      </c>
    </row>
    <row r="226" spans="1:12" x14ac:dyDescent="0.25">
      <c r="A226" s="1067" t="s">
        <v>273</v>
      </c>
      <c r="B226" s="1067" t="s">
        <v>248</v>
      </c>
      <c r="C226" s="1067"/>
      <c r="D226" s="1067" t="s">
        <v>43</v>
      </c>
      <c r="E226" s="1067">
        <v>24</v>
      </c>
      <c r="F226" s="1067">
        <v>1</v>
      </c>
      <c r="G226" s="1067">
        <v>0</v>
      </c>
      <c r="H226" s="1067">
        <v>3</v>
      </c>
      <c r="I226" s="1067">
        <v>3</v>
      </c>
      <c r="J226" s="1067">
        <v>2</v>
      </c>
      <c r="K226" s="1067">
        <v>7</v>
      </c>
      <c r="L226" s="1067">
        <v>8</v>
      </c>
    </row>
    <row r="227" spans="1:12" x14ac:dyDescent="0.25">
      <c r="A227" s="1067" t="s">
        <v>273</v>
      </c>
      <c r="B227" s="1067" t="s">
        <v>249</v>
      </c>
      <c r="C227" s="1067"/>
      <c r="D227" s="1067" t="s">
        <v>281</v>
      </c>
      <c r="E227" s="1067"/>
      <c r="F227" s="1067"/>
      <c r="G227" s="1067"/>
      <c r="H227" s="1067"/>
      <c r="I227" s="1067"/>
      <c r="J227" s="1067"/>
      <c r="K227" s="1067"/>
      <c r="L227" s="1067"/>
    </row>
    <row r="228" spans="1:12" x14ac:dyDescent="0.25">
      <c r="A228" s="1067" t="s">
        <v>273</v>
      </c>
      <c r="B228" s="1067" t="s">
        <v>249</v>
      </c>
      <c r="C228" s="1067"/>
      <c r="D228" s="1067" t="s">
        <v>173</v>
      </c>
      <c r="E228" s="1067">
        <v>68</v>
      </c>
      <c r="F228" s="1067">
        <v>1</v>
      </c>
      <c r="G228" s="1067">
        <v>0</v>
      </c>
      <c r="H228" s="1067">
        <v>10</v>
      </c>
      <c r="I228" s="1067">
        <v>1</v>
      </c>
      <c r="J228" s="1067">
        <v>3</v>
      </c>
      <c r="K228" s="1067">
        <v>11</v>
      </c>
      <c r="L228" s="1067">
        <v>42</v>
      </c>
    </row>
    <row r="229" spans="1:12" x14ac:dyDescent="0.25">
      <c r="A229" s="1067" t="s">
        <v>273</v>
      </c>
      <c r="B229" s="1067" t="s">
        <v>249</v>
      </c>
      <c r="C229" s="1067"/>
      <c r="D229" s="1067" t="s">
        <v>174</v>
      </c>
      <c r="E229" s="1067">
        <v>38</v>
      </c>
      <c r="F229" s="1067">
        <v>1</v>
      </c>
      <c r="G229" s="1067">
        <v>0</v>
      </c>
      <c r="H229" s="1067">
        <v>6</v>
      </c>
      <c r="I229" s="1067">
        <v>1</v>
      </c>
      <c r="J229" s="1067">
        <v>5</v>
      </c>
      <c r="K229" s="1067">
        <v>5</v>
      </c>
      <c r="L229" s="1067">
        <v>20</v>
      </c>
    </row>
    <row r="230" spans="1:12" x14ac:dyDescent="0.25">
      <c r="A230" s="1067" t="s">
        <v>273</v>
      </c>
      <c r="B230" s="1067" t="s">
        <v>249</v>
      </c>
      <c r="C230" s="1067"/>
      <c r="D230" s="1067" t="s">
        <v>172</v>
      </c>
      <c r="E230" s="1067">
        <v>45</v>
      </c>
      <c r="F230" s="1067">
        <v>1</v>
      </c>
      <c r="G230" s="1067">
        <v>0</v>
      </c>
      <c r="H230" s="1067">
        <v>6</v>
      </c>
      <c r="I230" s="1067">
        <v>1</v>
      </c>
      <c r="J230" s="1067">
        <v>4</v>
      </c>
      <c r="K230" s="1067">
        <v>9</v>
      </c>
      <c r="L230" s="1067">
        <v>24</v>
      </c>
    </row>
    <row r="231" spans="1:12" x14ac:dyDescent="0.25">
      <c r="A231" s="1067" t="s">
        <v>273</v>
      </c>
      <c r="B231" s="1067" t="s">
        <v>250</v>
      </c>
      <c r="C231" s="1067"/>
      <c r="D231" s="1067" t="s">
        <v>259</v>
      </c>
      <c r="E231" s="1067">
        <v>182</v>
      </c>
      <c r="F231" s="1067">
        <v>15</v>
      </c>
      <c r="G231" s="1067">
        <v>4</v>
      </c>
      <c r="H231" s="1067">
        <v>0</v>
      </c>
      <c r="I231" s="1067">
        <v>101</v>
      </c>
      <c r="J231" s="1067">
        <v>11</v>
      </c>
      <c r="K231" s="1067">
        <v>9</v>
      </c>
      <c r="L231" s="1067">
        <v>42</v>
      </c>
    </row>
    <row r="232" spans="1:12" x14ac:dyDescent="0.25">
      <c r="A232" s="1067" t="s">
        <v>273</v>
      </c>
      <c r="B232" s="1067" t="s">
        <v>26</v>
      </c>
      <c r="C232" s="1067"/>
      <c r="D232" s="1067" t="s">
        <v>259</v>
      </c>
      <c r="E232" s="1067">
        <v>3644</v>
      </c>
      <c r="F232" s="1067">
        <v>34</v>
      </c>
      <c r="G232" s="1067">
        <v>4</v>
      </c>
      <c r="H232" s="1067">
        <v>635</v>
      </c>
      <c r="I232" s="1067">
        <v>2158</v>
      </c>
      <c r="J232" s="1067">
        <v>70</v>
      </c>
      <c r="K232" s="1067">
        <v>151</v>
      </c>
      <c r="L232" s="1067">
        <v>590</v>
      </c>
    </row>
    <row r="233" spans="1:12" x14ac:dyDescent="0.25">
      <c r="A233" s="1067" t="s">
        <v>255</v>
      </c>
      <c r="B233" s="1067" t="s">
        <v>247</v>
      </c>
      <c r="C233" s="1067"/>
      <c r="D233" s="1067" t="s">
        <v>281</v>
      </c>
      <c r="E233" s="1067">
        <v>2868</v>
      </c>
      <c r="F233" s="1067"/>
      <c r="G233" s="1067"/>
      <c r="H233" s="1067">
        <v>588</v>
      </c>
      <c r="I233" s="1067">
        <v>1905</v>
      </c>
      <c r="J233" s="1067"/>
      <c r="K233" s="1067"/>
      <c r="L233" s="1067">
        <v>375</v>
      </c>
    </row>
    <row r="234" spans="1:12" x14ac:dyDescent="0.25">
      <c r="A234" s="1067" t="s">
        <v>255</v>
      </c>
      <c r="B234" s="1067" t="s">
        <v>247</v>
      </c>
      <c r="C234" s="1067"/>
      <c r="D234" s="1067" t="s">
        <v>35</v>
      </c>
      <c r="E234" s="1067">
        <v>25</v>
      </c>
      <c r="F234" s="1067"/>
      <c r="G234" s="1067"/>
      <c r="H234" s="1067">
        <v>5</v>
      </c>
      <c r="I234" s="1067">
        <v>15</v>
      </c>
      <c r="J234" s="1067"/>
      <c r="K234" s="1067"/>
      <c r="L234" s="1067">
        <v>5</v>
      </c>
    </row>
    <row r="235" spans="1:12" x14ac:dyDescent="0.25">
      <c r="A235" s="1067" t="s">
        <v>255</v>
      </c>
      <c r="B235" s="1067" t="s">
        <v>247</v>
      </c>
      <c r="C235" s="1067"/>
      <c r="D235" s="1067" t="s">
        <v>36</v>
      </c>
      <c r="E235" s="1067">
        <v>54</v>
      </c>
      <c r="F235" s="1067"/>
      <c r="G235" s="1067"/>
      <c r="H235" s="1067">
        <v>11</v>
      </c>
      <c r="I235" s="1067">
        <v>38</v>
      </c>
      <c r="J235" s="1067"/>
      <c r="K235" s="1067"/>
      <c r="L235" s="1067">
        <v>5</v>
      </c>
    </row>
    <row r="236" spans="1:12" x14ac:dyDescent="0.25">
      <c r="A236" s="1067" t="s">
        <v>255</v>
      </c>
      <c r="B236" s="1067" t="s">
        <v>247</v>
      </c>
      <c r="C236" s="1067"/>
      <c r="D236" s="1067" t="s">
        <v>38</v>
      </c>
      <c r="E236" s="1067">
        <v>49</v>
      </c>
      <c r="F236" s="1067"/>
      <c r="G236" s="1067"/>
      <c r="H236" s="1067">
        <v>10</v>
      </c>
      <c r="I236" s="1067">
        <v>34</v>
      </c>
      <c r="J236" s="1067"/>
      <c r="K236" s="1067"/>
      <c r="L236" s="1067">
        <v>5</v>
      </c>
    </row>
    <row r="237" spans="1:12" x14ac:dyDescent="0.25">
      <c r="A237" s="1067" t="s">
        <v>255</v>
      </c>
      <c r="B237" s="1067" t="s">
        <v>247</v>
      </c>
      <c r="C237" s="1067"/>
      <c r="D237" s="1067" t="s">
        <v>40</v>
      </c>
      <c r="E237" s="1067">
        <v>23</v>
      </c>
      <c r="F237" s="1067"/>
      <c r="G237" s="1067"/>
      <c r="H237" s="1067">
        <v>5</v>
      </c>
      <c r="I237" s="1067">
        <v>13</v>
      </c>
      <c r="J237" s="1067"/>
      <c r="K237" s="1067"/>
      <c r="L237" s="1067">
        <v>5</v>
      </c>
    </row>
    <row r="238" spans="1:12" x14ac:dyDescent="0.25">
      <c r="A238" s="1067" t="s">
        <v>255</v>
      </c>
      <c r="B238" s="1067" t="s">
        <v>247</v>
      </c>
      <c r="C238" s="1067"/>
      <c r="D238" s="1067" t="s">
        <v>41</v>
      </c>
      <c r="E238" s="1067">
        <v>51</v>
      </c>
      <c r="F238" s="1067"/>
      <c r="G238" s="1067"/>
      <c r="H238" s="1067">
        <v>10</v>
      </c>
      <c r="I238" s="1067">
        <v>30</v>
      </c>
      <c r="J238" s="1067"/>
      <c r="K238" s="1067"/>
      <c r="L238" s="1067">
        <v>11</v>
      </c>
    </row>
    <row r="239" spans="1:12" x14ac:dyDescent="0.25">
      <c r="A239" s="1067" t="s">
        <v>255</v>
      </c>
      <c r="B239" s="1067" t="s">
        <v>247</v>
      </c>
      <c r="C239" s="1067"/>
      <c r="D239" s="1067" t="s">
        <v>42</v>
      </c>
      <c r="E239" s="1067">
        <v>87</v>
      </c>
      <c r="F239" s="1067"/>
      <c r="G239" s="1067"/>
      <c r="H239" s="1067">
        <v>22</v>
      </c>
      <c r="I239" s="1067">
        <v>49</v>
      </c>
      <c r="J239" s="1067"/>
      <c r="K239" s="1067"/>
      <c r="L239" s="1067">
        <v>16</v>
      </c>
    </row>
    <row r="240" spans="1:12" x14ac:dyDescent="0.25">
      <c r="A240" s="1067" t="s">
        <v>255</v>
      </c>
      <c r="B240" s="1067" t="s">
        <v>247</v>
      </c>
      <c r="C240" s="1067"/>
      <c r="D240" s="1067" t="s">
        <v>44</v>
      </c>
      <c r="E240" s="1067">
        <v>68</v>
      </c>
      <c r="F240" s="1067"/>
      <c r="G240" s="1067"/>
      <c r="H240" s="1067">
        <v>15</v>
      </c>
      <c r="I240" s="1067">
        <v>49</v>
      </c>
      <c r="J240" s="1067"/>
      <c r="K240" s="1067"/>
      <c r="L240" s="1067">
        <v>4</v>
      </c>
    </row>
    <row r="241" spans="1:12" x14ac:dyDescent="0.25">
      <c r="A241" s="1067" t="s">
        <v>255</v>
      </c>
      <c r="B241" s="1067" t="s">
        <v>247</v>
      </c>
      <c r="C241" s="1067"/>
      <c r="D241" s="1067" t="s">
        <v>45</v>
      </c>
      <c r="E241" s="1067">
        <v>72</v>
      </c>
      <c r="F241" s="1067"/>
      <c r="G241" s="1067"/>
      <c r="H241" s="1067">
        <v>15</v>
      </c>
      <c r="I241" s="1067">
        <v>44</v>
      </c>
      <c r="J241" s="1067"/>
      <c r="K241" s="1067"/>
      <c r="L241" s="1067">
        <v>13</v>
      </c>
    </row>
    <row r="242" spans="1:12" x14ac:dyDescent="0.25">
      <c r="A242" s="1067" t="s">
        <v>255</v>
      </c>
      <c r="B242" s="1067" t="s">
        <v>247</v>
      </c>
      <c r="C242" s="1067"/>
      <c r="D242" s="1067" t="s">
        <v>46</v>
      </c>
      <c r="E242" s="1067">
        <v>28</v>
      </c>
      <c r="F242" s="1067"/>
      <c r="G242" s="1067"/>
      <c r="H242" s="1067">
        <v>5</v>
      </c>
      <c r="I242" s="1067">
        <v>18</v>
      </c>
      <c r="J242" s="1067"/>
      <c r="K242" s="1067"/>
      <c r="L242" s="1067">
        <v>5</v>
      </c>
    </row>
    <row r="243" spans="1:12" x14ac:dyDescent="0.25">
      <c r="A243" s="1067" t="s">
        <v>255</v>
      </c>
      <c r="B243" s="1067" t="s">
        <v>247</v>
      </c>
      <c r="C243" s="1067"/>
      <c r="D243" s="1067" t="s">
        <v>47</v>
      </c>
      <c r="E243" s="1067">
        <v>29</v>
      </c>
      <c r="F243" s="1067"/>
      <c r="G243" s="1067"/>
      <c r="H243" s="1067">
        <v>5</v>
      </c>
      <c r="I243" s="1067">
        <v>19</v>
      </c>
      <c r="J243" s="1067"/>
      <c r="K243" s="1067"/>
      <c r="L243" s="1067">
        <v>5</v>
      </c>
    </row>
    <row r="244" spans="1:12" x14ac:dyDescent="0.25">
      <c r="A244" s="1067" t="s">
        <v>255</v>
      </c>
      <c r="B244" s="1067" t="s">
        <v>247</v>
      </c>
      <c r="C244" s="1067"/>
      <c r="D244" s="1067" t="s">
        <v>49</v>
      </c>
      <c r="E244" s="1067">
        <v>76</v>
      </c>
      <c r="F244" s="1067"/>
      <c r="G244" s="1067"/>
      <c r="H244" s="1067">
        <v>16</v>
      </c>
      <c r="I244" s="1067">
        <v>45</v>
      </c>
      <c r="J244" s="1067"/>
      <c r="K244" s="1067"/>
      <c r="L244" s="1067">
        <v>15</v>
      </c>
    </row>
    <row r="245" spans="1:12" x14ac:dyDescent="0.25">
      <c r="A245" s="1067" t="s">
        <v>255</v>
      </c>
      <c r="B245" s="1067" t="s">
        <v>247</v>
      </c>
      <c r="C245" s="1067"/>
      <c r="D245" s="1067" t="s">
        <v>52</v>
      </c>
      <c r="E245" s="1067">
        <v>69</v>
      </c>
      <c r="F245" s="1067"/>
      <c r="G245" s="1067"/>
      <c r="H245" s="1067">
        <v>10</v>
      </c>
      <c r="I245" s="1067">
        <v>54</v>
      </c>
      <c r="J245" s="1067"/>
      <c r="K245" s="1067"/>
      <c r="L245" s="1067">
        <v>5</v>
      </c>
    </row>
    <row r="246" spans="1:12" x14ac:dyDescent="0.25">
      <c r="A246" s="1067" t="s">
        <v>255</v>
      </c>
      <c r="B246" s="1067" t="s">
        <v>247</v>
      </c>
      <c r="C246" s="1067"/>
      <c r="D246" s="1067" t="s">
        <v>54</v>
      </c>
      <c r="E246" s="1067">
        <v>51</v>
      </c>
      <c r="F246" s="1067"/>
      <c r="G246" s="1067"/>
      <c r="H246" s="1067">
        <v>9</v>
      </c>
      <c r="I246" s="1067">
        <v>32</v>
      </c>
      <c r="J246" s="1067"/>
      <c r="K246" s="1067"/>
      <c r="L246" s="1067">
        <v>10</v>
      </c>
    </row>
    <row r="247" spans="1:12" x14ac:dyDescent="0.25">
      <c r="A247" s="1067" t="s">
        <v>255</v>
      </c>
      <c r="B247" s="1067" t="s">
        <v>247</v>
      </c>
      <c r="C247" s="1067"/>
      <c r="D247" s="1067" t="s">
        <v>56</v>
      </c>
      <c r="E247" s="1067">
        <v>50</v>
      </c>
      <c r="F247" s="1067"/>
      <c r="G247" s="1067"/>
      <c r="H247" s="1067">
        <v>10</v>
      </c>
      <c r="I247" s="1067">
        <v>35</v>
      </c>
      <c r="J247" s="1067"/>
      <c r="K247" s="1067"/>
      <c r="L247" s="1067">
        <v>5</v>
      </c>
    </row>
    <row r="248" spans="1:12" x14ac:dyDescent="0.25">
      <c r="A248" s="1067" t="s">
        <v>255</v>
      </c>
      <c r="B248" s="1067" t="s">
        <v>247</v>
      </c>
      <c r="C248" s="1067"/>
      <c r="D248" s="1067" t="s">
        <v>57</v>
      </c>
      <c r="E248" s="1067">
        <v>166</v>
      </c>
      <c r="F248" s="1067"/>
      <c r="G248" s="1067"/>
      <c r="H248" s="1067">
        <v>35</v>
      </c>
      <c r="I248" s="1067">
        <v>111</v>
      </c>
      <c r="J248" s="1067"/>
      <c r="K248" s="1067"/>
      <c r="L248" s="1067">
        <v>20</v>
      </c>
    </row>
    <row r="249" spans="1:12" x14ac:dyDescent="0.25">
      <c r="A249" s="1067" t="s">
        <v>255</v>
      </c>
      <c r="B249" s="1067" t="s">
        <v>247</v>
      </c>
      <c r="C249" s="1067"/>
      <c r="D249" s="1067" t="s">
        <v>58</v>
      </c>
      <c r="E249" s="1067">
        <v>48</v>
      </c>
      <c r="F249" s="1067"/>
      <c r="G249" s="1067"/>
      <c r="H249" s="1067">
        <v>9</v>
      </c>
      <c r="I249" s="1067">
        <v>34</v>
      </c>
      <c r="J249" s="1067"/>
      <c r="K249" s="1067"/>
      <c r="L249" s="1067">
        <v>5</v>
      </c>
    </row>
    <row r="250" spans="1:12" x14ac:dyDescent="0.25">
      <c r="A250" s="1067" t="s">
        <v>255</v>
      </c>
      <c r="B250" s="1067" t="s">
        <v>247</v>
      </c>
      <c r="C250" s="1067"/>
      <c r="D250" s="1067" t="s">
        <v>31</v>
      </c>
      <c r="E250" s="1067">
        <v>145</v>
      </c>
      <c r="F250" s="1067"/>
      <c r="G250" s="1067"/>
      <c r="H250" s="1067">
        <v>33</v>
      </c>
      <c r="I250" s="1067">
        <v>97</v>
      </c>
      <c r="J250" s="1067"/>
      <c r="K250" s="1067"/>
      <c r="L250" s="1067">
        <v>15</v>
      </c>
    </row>
    <row r="251" spans="1:12" x14ac:dyDescent="0.25">
      <c r="A251" s="1067" t="s">
        <v>255</v>
      </c>
      <c r="B251" s="1067" t="s">
        <v>247</v>
      </c>
      <c r="C251" s="1067"/>
      <c r="D251" s="1067" t="s">
        <v>32</v>
      </c>
      <c r="E251" s="1067">
        <v>24</v>
      </c>
      <c r="F251" s="1067"/>
      <c r="G251" s="1067"/>
      <c r="H251" s="1067">
        <v>5</v>
      </c>
      <c r="I251" s="1067">
        <v>14</v>
      </c>
      <c r="J251" s="1067"/>
      <c r="K251" s="1067"/>
      <c r="L251" s="1067">
        <v>5</v>
      </c>
    </row>
    <row r="252" spans="1:12" x14ac:dyDescent="0.25">
      <c r="A252" s="1067" t="s">
        <v>255</v>
      </c>
      <c r="B252" s="1067" t="s">
        <v>247</v>
      </c>
      <c r="C252" s="1067"/>
      <c r="D252" s="1067" t="s">
        <v>34</v>
      </c>
      <c r="E252" s="1067">
        <v>50</v>
      </c>
      <c r="F252" s="1067"/>
      <c r="G252" s="1067"/>
      <c r="H252" s="1067">
        <v>10</v>
      </c>
      <c r="I252" s="1067">
        <v>30</v>
      </c>
      <c r="J252" s="1067"/>
      <c r="K252" s="1067"/>
      <c r="L252" s="1067">
        <v>10</v>
      </c>
    </row>
    <row r="253" spans="1:12" x14ac:dyDescent="0.25">
      <c r="A253" s="1067" t="s">
        <v>255</v>
      </c>
      <c r="B253" s="1067" t="s">
        <v>247</v>
      </c>
      <c r="C253" s="1067"/>
      <c r="D253" s="1067" t="s">
        <v>258</v>
      </c>
      <c r="E253" s="1067">
        <v>293</v>
      </c>
      <c r="F253" s="1067"/>
      <c r="G253" s="1067"/>
      <c r="H253" s="1067">
        <v>54</v>
      </c>
      <c r="I253" s="1067">
        <v>204</v>
      </c>
      <c r="J253" s="1067"/>
      <c r="K253" s="1067"/>
      <c r="L253" s="1067">
        <v>35</v>
      </c>
    </row>
    <row r="254" spans="1:12" x14ac:dyDescent="0.25">
      <c r="A254" s="1067" t="s">
        <v>255</v>
      </c>
      <c r="B254" s="1067" t="s">
        <v>247</v>
      </c>
      <c r="C254" s="1067"/>
      <c r="D254" s="1067" t="s">
        <v>53</v>
      </c>
      <c r="E254" s="1067">
        <v>94</v>
      </c>
      <c r="F254" s="1067"/>
      <c r="G254" s="1067"/>
      <c r="H254" s="1067">
        <v>20</v>
      </c>
      <c r="I254" s="1067">
        <v>59</v>
      </c>
      <c r="J254" s="1067"/>
      <c r="K254" s="1067"/>
      <c r="L254" s="1067">
        <v>15</v>
      </c>
    </row>
    <row r="255" spans="1:12" x14ac:dyDescent="0.25">
      <c r="A255" s="1067" t="s">
        <v>255</v>
      </c>
      <c r="B255" s="1067" t="s">
        <v>247</v>
      </c>
      <c r="C255" s="1067"/>
      <c r="D255" s="1067" t="s">
        <v>59</v>
      </c>
      <c r="E255" s="1067">
        <v>68</v>
      </c>
      <c r="F255" s="1067"/>
      <c r="G255" s="1067"/>
      <c r="H255" s="1067">
        <v>15</v>
      </c>
      <c r="I255" s="1067">
        <v>43</v>
      </c>
      <c r="J255" s="1067"/>
      <c r="K255" s="1067"/>
      <c r="L255" s="1067">
        <v>10</v>
      </c>
    </row>
    <row r="256" spans="1:12" x14ac:dyDescent="0.25">
      <c r="A256" s="1067" t="s">
        <v>255</v>
      </c>
      <c r="B256" s="1067" t="s">
        <v>247</v>
      </c>
      <c r="C256" s="1067"/>
      <c r="D256" s="1067" t="s">
        <v>60</v>
      </c>
      <c r="E256" s="1067">
        <v>58</v>
      </c>
      <c r="F256" s="1067"/>
      <c r="G256" s="1067"/>
      <c r="H256" s="1067">
        <v>11</v>
      </c>
      <c r="I256" s="1067">
        <v>37</v>
      </c>
      <c r="J256" s="1067"/>
      <c r="K256" s="1067"/>
      <c r="L256" s="1067">
        <v>10</v>
      </c>
    </row>
    <row r="257" spans="1:12" x14ac:dyDescent="0.25">
      <c r="A257" s="1067" t="s">
        <v>255</v>
      </c>
      <c r="B257" s="1067" t="s">
        <v>247</v>
      </c>
      <c r="C257" s="1067"/>
      <c r="D257" s="1067" t="s">
        <v>33</v>
      </c>
      <c r="E257" s="1067">
        <v>28</v>
      </c>
      <c r="F257" s="1067"/>
      <c r="G257" s="1067"/>
      <c r="H257" s="1067">
        <v>5</v>
      </c>
      <c r="I257" s="1067">
        <v>18</v>
      </c>
      <c r="J257" s="1067"/>
      <c r="K257" s="1067"/>
      <c r="L257" s="1067">
        <v>5</v>
      </c>
    </row>
    <row r="258" spans="1:12" x14ac:dyDescent="0.25">
      <c r="A258" s="1067" t="s">
        <v>255</v>
      </c>
      <c r="B258" s="1067" t="s">
        <v>247</v>
      </c>
      <c r="C258" s="1067"/>
      <c r="D258" s="1067" t="s">
        <v>37</v>
      </c>
      <c r="E258" s="1067">
        <v>178</v>
      </c>
      <c r="F258" s="1067"/>
      <c r="G258" s="1067"/>
      <c r="H258" s="1067">
        <v>35</v>
      </c>
      <c r="I258" s="1067">
        <v>122</v>
      </c>
      <c r="J258" s="1067"/>
      <c r="K258" s="1067"/>
      <c r="L258" s="1067">
        <v>21</v>
      </c>
    </row>
    <row r="259" spans="1:12" x14ac:dyDescent="0.25">
      <c r="A259" s="1067" t="s">
        <v>255</v>
      </c>
      <c r="B259" s="1067" t="s">
        <v>247</v>
      </c>
      <c r="C259" s="1067"/>
      <c r="D259" s="1067" t="s">
        <v>50</v>
      </c>
      <c r="E259" s="1067">
        <v>163</v>
      </c>
      <c r="F259" s="1067"/>
      <c r="G259" s="1067"/>
      <c r="H259" s="1067">
        <v>31</v>
      </c>
      <c r="I259" s="1067">
        <v>113</v>
      </c>
      <c r="J259" s="1067"/>
      <c r="K259" s="1067"/>
      <c r="L259" s="1067">
        <v>19</v>
      </c>
    </row>
    <row r="260" spans="1:12" x14ac:dyDescent="0.25">
      <c r="A260" s="1067" t="s">
        <v>255</v>
      </c>
      <c r="B260" s="1067" t="s">
        <v>247</v>
      </c>
      <c r="C260" s="1067"/>
      <c r="D260" s="1067" t="s">
        <v>39</v>
      </c>
      <c r="E260" s="1067">
        <v>78</v>
      </c>
      <c r="F260" s="1067"/>
      <c r="G260" s="1067"/>
      <c r="H260" s="1067">
        <v>15</v>
      </c>
      <c r="I260" s="1067">
        <v>48</v>
      </c>
      <c r="J260" s="1067"/>
      <c r="K260" s="1067"/>
      <c r="L260" s="1067">
        <v>15</v>
      </c>
    </row>
    <row r="261" spans="1:12" x14ac:dyDescent="0.25">
      <c r="A261" s="1067" t="s">
        <v>255</v>
      </c>
      <c r="B261" s="1067" t="s">
        <v>247</v>
      </c>
      <c r="C261" s="1067"/>
      <c r="D261" s="1067" t="s">
        <v>121</v>
      </c>
      <c r="E261" s="1067">
        <v>489</v>
      </c>
      <c r="F261" s="1067"/>
      <c r="G261" s="1067"/>
      <c r="H261" s="1067">
        <v>113</v>
      </c>
      <c r="I261" s="1067">
        <v>319</v>
      </c>
      <c r="J261" s="1067"/>
      <c r="K261" s="1067"/>
      <c r="L261" s="1067">
        <v>57</v>
      </c>
    </row>
    <row r="262" spans="1:12" x14ac:dyDescent="0.25">
      <c r="A262" s="1067" t="s">
        <v>255</v>
      </c>
      <c r="B262" s="1067" t="s">
        <v>247</v>
      </c>
      <c r="C262" s="1067"/>
      <c r="D262" s="1067" t="s">
        <v>43</v>
      </c>
      <c r="E262" s="1067">
        <v>254</v>
      </c>
      <c r="F262" s="1067"/>
      <c r="G262" s="1067"/>
      <c r="H262" s="1067">
        <v>49</v>
      </c>
      <c r="I262" s="1067">
        <v>181</v>
      </c>
      <c r="J262" s="1067"/>
      <c r="K262" s="1067"/>
      <c r="L262" s="1067">
        <v>24</v>
      </c>
    </row>
    <row r="263" spans="1:12" x14ac:dyDescent="0.25">
      <c r="A263" s="1067" t="s">
        <v>255</v>
      </c>
      <c r="B263" s="1067" t="s">
        <v>248</v>
      </c>
      <c r="C263" s="1067"/>
      <c r="D263" s="1067" t="s">
        <v>281</v>
      </c>
      <c r="E263" s="1067">
        <v>377</v>
      </c>
      <c r="F263" s="1067">
        <v>16</v>
      </c>
      <c r="G263" s="1067"/>
      <c r="H263" s="1067">
        <v>63</v>
      </c>
      <c r="I263" s="1067">
        <v>28</v>
      </c>
      <c r="J263" s="1067">
        <v>46</v>
      </c>
      <c r="K263" s="1067">
        <v>115</v>
      </c>
      <c r="L263" s="1067">
        <v>109</v>
      </c>
    </row>
    <row r="264" spans="1:12" x14ac:dyDescent="0.25">
      <c r="A264" s="1067" t="s">
        <v>255</v>
      </c>
      <c r="B264" s="1067" t="s">
        <v>248</v>
      </c>
      <c r="C264" s="1067"/>
      <c r="D264" s="1067" t="s">
        <v>31</v>
      </c>
      <c r="E264" s="1067">
        <v>15</v>
      </c>
      <c r="F264" s="1067">
        <v>1</v>
      </c>
      <c r="G264" s="1067"/>
      <c r="H264" s="1067">
        <v>2</v>
      </c>
      <c r="I264" s="1067">
        <v>2</v>
      </c>
      <c r="J264" s="1067">
        <v>2</v>
      </c>
      <c r="K264" s="1067">
        <v>3</v>
      </c>
      <c r="L264" s="1067">
        <v>5</v>
      </c>
    </row>
    <row r="265" spans="1:12" x14ac:dyDescent="0.25">
      <c r="A265" s="1067" t="s">
        <v>255</v>
      </c>
      <c r="B265" s="1067" t="s">
        <v>248</v>
      </c>
      <c r="C265" s="1067"/>
      <c r="D265" s="1067" t="s">
        <v>63</v>
      </c>
      <c r="E265" s="1067">
        <v>25</v>
      </c>
      <c r="F265" s="1067">
        <v>1</v>
      </c>
      <c r="G265" s="1067"/>
      <c r="H265" s="1067">
        <v>7</v>
      </c>
      <c r="I265" s="1067"/>
      <c r="J265" s="1067">
        <v>2</v>
      </c>
      <c r="K265" s="1067">
        <v>7</v>
      </c>
      <c r="L265" s="1067">
        <v>8</v>
      </c>
    </row>
    <row r="266" spans="1:12" x14ac:dyDescent="0.25">
      <c r="A266" s="1067" t="s">
        <v>255</v>
      </c>
      <c r="B266" s="1067" t="s">
        <v>248</v>
      </c>
      <c r="C266" s="1067"/>
      <c r="D266" s="1067" t="s">
        <v>64</v>
      </c>
      <c r="E266" s="1067">
        <v>26</v>
      </c>
      <c r="F266" s="1067">
        <v>1</v>
      </c>
      <c r="G266" s="1067"/>
      <c r="H266" s="1067">
        <v>6</v>
      </c>
      <c r="I266" s="1067">
        <v>1</v>
      </c>
      <c r="J266" s="1067">
        <v>3</v>
      </c>
      <c r="K266" s="1067">
        <v>9</v>
      </c>
      <c r="L266" s="1067">
        <v>6</v>
      </c>
    </row>
    <row r="267" spans="1:12" x14ac:dyDescent="0.25">
      <c r="A267" s="1067" t="s">
        <v>255</v>
      </c>
      <c r="B267" s="1067" t="s">
        <v>248</v>
      </c>
      <c r="C267" s="1067"/>
      <c r="D267" s="1067" t="s">
        <v>36</v>
      </c>
      <c r="E267" s="1067">
        <v>22</v>
      </c>
      <c r="F267" s="1067">
        <v>1</v>
      </c>
      <c r="G267" s="1067"/>
      <c r="H267" s="1067">
        <v>4</v>
      </c>
      <c r="I267" s="1067">
        <v>2</v>
      </c>
      <c r="J267" s="1067">
        <v>2</v>
      </c>
      <c r="K267" s="1067">
        <v>6</v>
      </c>
      <c r="L267" s="1067">
        <v>7</v>
      </c>
    </row>
    <row r="268" spans="1:12" x14ac:dyDescent="0.25">
      <c r="A268" s="1067" t="s">
        <v>255</v>
      </c>
      <c r="B268" s="1067" t="s">
        <v>248</v>
      </c>
      <c r="C268" s="1067"/>
      <c r="D268" s="1067" t="s">
        <v>66</v>
      </c>
      <c r="E268" s="1067">
        <v>27</v>
      </c>
      <c r="F268" s="1067">
        <v>1</v>
      </c>
      <c r="G268" s="1067"/>
      <c r="H268" s="1067">
        <v>5</v>
      </c>
      <c r="I268" s="1067">
        <v>1</v>
      </c>
      <c r="J268" s="1067">
        <v>3</v>
      </c>
      <c r="K268" s="1067">
        <v>9</v>
      </c>
      <c r="L268" s="1067">
        <v>8</v>
      </c>
    </row>
    <row r="269" spans="1:12" x14ac:dyDescent="0.25">
      <c r="A269" s="1067" t="s">
        <v>255</v>
      </c>
      <c r="B269" s="1067" t="s">
        <v>248</v>
      </c>
      <c r="C269" s="1067"/>
      <c r="D269" s="1067" t="s">
        <v>67</v>
      </c>
      <c r="E269" s="1067">
        <v>27</v>
      </c>
      <c r="F269" s="1067">
        <v>1</v>
      </c>
      <c r="G269" s="1067"/>
      <c r="H269" s="1067">
        <v>3</v>
      </c>
      <c r="I269" s="1067">
        <v>5</v>
      </c>
      <c r="J269" s="1067">
        <v>3</v>
      </c>
      <c r="K269" s="1067">
        <v>7</v>
      </c>
      <c r="L269" s="1067">
        <v>8</v>
      </c>
    </row>
    <row r="270" spans="1:12" x14ac:dyDescent="0.25">
      <c r="A270" s="1067" t="s">
        <v>255</v>
      </c>
      <c r="B270" s="1067" t="s">
        <v>248</v>
      </c>
      <c r="C270" s="1067"/>
      <c r="D270" s="1067" t="s">
        <v>68</v>
      </c>
      <c r="E270" s="1067">
        <v>16</v>
      </c>
      <c r="F270" s="1067">
        <v>1</v>
      </c>
      <c r="G270" s="1067"/>
      <c r="H270" s="1067">
        <v>2</v>
      </c>
      <c r="I270" s="1067">
        <v>2</v>
      </c>
      <c r="J270" s="1067">
        <v>3</v>
      </c>
      <c r="K270" s="1067">
        <v>4</v>
      </c>
      <c r="L270" s="1067">
        <v>4</v>
      </c>
    </row>
    <row r="271" spans="1:12" x14ac:dyDescent="0.25">
      <c r="A271" s="1067" t="s">
        <v>255</v>
      </c>
      <c r="B271" s="1067" t="s">
        <v>248</v>
      </c>
      <c r="C271" s="1067"/>
      <c r="D271" s="1067" t="s">
        <v>175</v>
      </c>
      <c r="E271" s="1067">
        <v>31</v>
      </c>
      <c r="F271" s="1067">
        <v>1</v>
      </c>
      <c r="G271" s="1067"/>
      <c r="H271" s="1067">
        <v>6</v>
      </c>
      <c r="I271" s="1067">
        <v>3</v>
      </c>
      <c r="J271" s="1067">
        <v>3</v>
      </c>
      <c r="K271" s="1067">
        <v>7</v>
      </c>
      <c r="L271" s="1067">
        <v>11</v>
      </c>
    </row>
    <row r="272" spans="1:12" x14ac:dyDescent="0.25">
      <c r="A272" s="1067" t="s">
        <v>255</v>
      </c>
      <c r="B272" s="1067" t="s">
        <v>248</v>
      </c>
      <c r="C272" s="1067"/>
      <c r="D272" s="1067" t="s">
        <v>69</v>
      </c>
      <c r="E272" s="1067">
        <v>19</v>
      </c>
      <c r="F272" s="1067">
        <v>1</v>
      </c>
      <c r="G272" s="1067"/>
      <c r="H272" s="1067">
        <v>3</v>
      </c>
      <c r="I272" s="1067">
        <v>2</v>
      </c>
      <c r="J272" s="1067">
        <v>2</v>
      </c>
      <c r="K272" s="1067">
        <v>5</v>
      </c>
      <c r="L272" s="1067">
        <v>6</v>
      </c>
    </row>
    <row r="273" spans="1:12" x14ac:dyDescent="0.25">
      <c r="A273" s="1067" t="s">
        <v>255</v>
      </c>
      <c r="B273" s="1067" t="s">
        <v>248</v>
      </c>
      <c r="C273" s="1067"/>
      <c r="D273" s="1067" t="s">
        <v>121</v>
      </c>
      <c r="E273" s="1067">
        <v>22</v>
      </c>
      <c r="F273" s="1067">
        <v>1</v>
      </c>
      <c r="G273" s="1067"/>
      <c r="H273" s="1067">
        <v>2</v>
      </c>
      <c r="I273" s="1067">
        <v>1</v>
      </c>
      <c r="J273" s="1067">
        <v>4</v>
      </c>
      <c r="K273" s="1067">
        <v>8</v>
      </c>
      <c r="L273" s="1067">
        <v>6</v>
      </c>
    </row>
    <row r="274" spans="1:12" x14ac:dyDescent="0.25">
      <c r="A274" s="1067" t="s">
        <v>255</v>
      </c>
      <c r="B274" s="1067" t="s">
        <v>248</v>
      </c>
      <c r="C274" s="1067"/>
      <c r="D274" s="1067" t="s">
        <v>70</v>
      </c>
      <c r="E274" s="1067">
        <v>32</v>
      </c>
      <c r="F274" s="1067">
        <v>1</v>
      </c>
      <c r="G274" s="1067"/>
      <c r="H274" s="1067">
        <v>7</v>
      </c>
      <c r="I274" s="1067">
        <v>1</v>
      </c>
      <c r="J274" s="1067">
        <v>4</v>
      </c>
      <c r="K274" s="1067">
        <v>12</v>
      </c>
      <c r="L274" s="1067">
        <v>7</v>
      </c>
    </row>
    <row r="275" spans="1:12" x14ac:dyDescent="0.25">
      <c r="A275" s="1067" t="s">
        <v>255</v>
      </c>
      <c r="B275" s="1067" t="s">
        <v>248</v>
      </c>
      <c r="C275" s="1067"/>
      <c r="D275" s="1067" t="s">
        <v>50</v>
      </c>
      <c r="E275" s="1067">
        <v>17</v>
      </c>
      <c r="F275" s="1067">
        <v>1</v>
      </c>
      <c r="G275" s="1067"/>
      <c r="H275" s="1067">
        <v>2</v>
      </c>
      <c r="I275" s="1067">
        <v>1</v>
      </c>
      <c r="J275" s="1067">
        <v>2</v>
      </c>
      <c r="K275" s="1067">
        <v>6</v>
      </c>
      <c r="L275" s="1067">
        <v>5</v>
      </c>
    </row>
    <row r="276" spans="1:12" x14ac:dyDescent="0.25">
      <c r="A276" s="1067" t="s">
        <v>255</v>
      </c>
      <c r="B276" s="1067" t="s">
        <v>248</v>
      </c>
      <c r="C276" s="1067"/>
      <c r="D276" s="1067" t="s">
        <v>57</v>
      </c>
      <c r="E276" s="1067">
        <v>16</v>
      </c>
      <c r="F276" s="1067">
        <v>1</v>
      </c>
      <c r="G276" s="1067"/>
      <c r="H276" s="1067">
        <v>2</v>
      </c>
      <c r="I276" s="1067">
        <v>1</v>
      </c>
      <c r="J276" s="1067">
        <v>2</v>
      </c>
      <c r="K276" s="1067">
        <v>6</v>
      </c>
      <c r="L276" s="1067">
        <v>4</v>
      </c>
    </row>
    <row r="277" spans="1:12" x14ac:dyDescent="0.25">
      <c r="A277" s="1067" t="s">
        <v>255</v>
      </c>
      <c r="B277" s="1067" t="s">
        <v>248</v>
      </c>
      <c r="C277" s="1067"/>
      <c r="D277" s="1067" t="s">
        <v>1071</v>
      </c>
      <c r="E277" s="1067">
        <v>18</v>
      </c>
      <c r="F277" s="1067">
        <v>1</v>
      </c>
      <c r="G277" s="1067"/>
      <c r="H277" s="1067">
        <v>3</v>
      </c>
      <c r="I277" s="1067">
        <v>1</v>
      </c>
      <c r="J277" s="1067">
        <v>3</v>
      </c>
      <c r="K277" s="1067">
        <v>5</v>
      </c>
      <c r="L277" s="1067">
        <v>5</v>
      </c>
    </row>
    <row r="278" spans="1:12" x14ac:dyDescent="0.25">
      <c r="A278" s="1067" t="s">
        <v>255</v>
      </c>
      <c r="B278" s="1067" t="s">
        <v>248</v>
      </c>
      <c r="C278" s="1067"/>
      <c r="D278" s="1067" t="s">
        <v>71</v>
      </c>
      <c r="E278" s="1067">
        <v>18</v>
      </c>
      <c r="F278" s="1067">
        <v>1</v>
      </c>
      <c r="G278" s="1067"/>
      <c r="H278" s="1067">
        <v>5</v>
      </c>
      <c r="I278" s="1067"/>
      <c r="J278" s="1067">
        <v>2</v>
      </c>
      <c r="K278" s="1067">
        <v>6</v>
      </c>
      <c r="L278" s="1067">
        <v>4</v>
      </c>
    </row>
    <row r="279" spans="1:12" x14ac:dyDescent="0.25">
      <c r="A279" s="1067" t="s">
        <v>255</v>
      </c>
      <c r="B279" s="1067" t="s">
        <v>248</v>
      </c>
      <c r="C279" s="1067"/>
      <c r="D279" s="1067" t="s">
        <v>65</v>
      </c>
      <c r="E279" s="1067">
        <v>28</v>
      </c>
      <c r="F279" s="1067">
        <v>1</v>
      </c>
      <c r="G279" s="1067"/>
      <c r="H279" s="1067">
        <v>3</v>
      </c>
      <c r="I279" s="1067">
        <v>2</v>
      </c>
      <c r="J279" s="1067">
        <v>4</v>
      </c>
      <c r="K279" s="1067">
        <v>9</v>
      </c>
      <c r="L279" s="1067">
        <v>9</v>
      </c>
    </row>
    <row r="280" spans="1:12" x14ac:dyDescent="0.25">
      <c r="A280" s="1067" t="s">
        <v>255</v>
      </c>
      <c r="B280" s="1067" t="s">
        <v>248</v>
      </c>
      <c r="C280" s="1067"/>
      <c r="D280" s="1067" t="s">
        <v>43</v>
      </c>
      <c r="E280" s="1067">
        <v>19</v>
      </c>
      <c r="F280" s="1067"/>
      <c r="G280" s="1067"/>
      <c r="H280" s="1067">
        <v>1</v>
      </c>
      <c r="I280" s="1067">
        <v>4</v>
      </c>
      <c r="J280" s="1067">
        <v>2</v>
      </c>
      <c r="K280" s="1067">
        <v>6</v>
      </c>
      <c r="L280" s="1067">
        <v>6</v>
      </c>
    </row>
    <row r="281" spans="1:12" x14ac:dyDescent="0.25">
      <c r="A281" s="1067" t="s">
        <v>255</v>
      </c>
      <c r="B281" s="1067" t="s">
        <v>249</v>
      </c>
      <c r="C281" s="1067"/>
      <c r="D281" s="1067" t="s">
        <v>281</v>
      </c>
      <c r="E281" s="1067">
        <v>156</v>
      </c>
      <c r="F281" s="1067">
        <v>3</v>
      </c>
      <c r="G281" s="1067"/>
      <c r="H281" s="1067">
        <v>38</v>
      </c>
      <c r="I281" s="1067"/>
      <c r="J281" s="1067">
        <v>15</v>
      </c>
      <c r="K281" s="1067">
        <v>29</v>
      </c>
      <c r="L281" s="1067">
        <v>71</v>
      </c>
    </row>
    <row r="282" spans="1:12" x14ac:dyDescent="0.25">
      <c r="A282" s="1067" t="s">
        <v>255</v>
      </c>
      <c r="B282" s="1067" t="s">
        <v>249</v>
      </c>
      <c r="C282" s="1067"/>
      <c r="D282" s="1067" t="s">
        <v>173</v>
      </c>
      <c r="E282" s="1067">
        <v>73</v>
      </c>
      <c r="F282" s="1067">
        <v>1</v>
      </c>
      <c r="G282" s="1067"/>
      <c r="H282" s="1067">
        <v>18</v>
      </c>
      <c r="I282" s="1067"/>
      <c r="J282" s="1067">
        <v>4</v>
      </c>
      <c r="K282" s="1067">
        <v>13</v>
      </c>
      <c r="L282" s="1067">
        <v>37</v>
      </c>
    </row>
    <row r="283" spans="1:12" x14ac:dyDescent="0.25">
      <c r="A283" s="1067" t="s">
        <v>255</v>
      </c>
      <c r="B283" s="1067" t="s">
        <v>249</v>
      </c>
      <c r="C283" s="1067"/>
      <c r="D283" s="1067" t="s">
        <v>174</v>
      </c>
      <c r="E283" s="1067">
        <v>37</v>
      </c>
      <c r="F283" s="1067">
        <v>1</v>
      </c>
      <c r="G283" s="1067"/>
      <c r="H283" s="1067">
        <v>9</v>
      </c>
      <c r="I283" s="1067"/>
      <c r="J283" s="1067">
        <v>5</v>
      </c>
      <c r="K283" s="1067">
        <v>6</v>
      </c>
      <c r="L283" s="1067">
        <v>16</v>
      </c>
    </row>
    <row r="284" spans="1:12" x14ac:dyDescent="0.25">
      <c r="A284" s="1067" t="s">
        <v>255</v>
      </c>
      <c r="B284" s="1067" t="s">
        <v>249</v>
      </c>
      <c r="C284" s="1067"/>
      <c r="D284" s="1067" t="s">
        <v>172</v>
      </c>
      <c r="E284" s="1067">
        <v>46</v>
      </c>
      <c r="F284" s="1067">
        <v>1</v>
      </c>
      <c r="G284" s="1067"/>
      <c r="H284" s="1067">
        <v>11</v>
      </c>
      <c r="I284" s="1067"/>
      <c r="J284" s="1067">
        <v>6</v>
      </c>
      <c r="K284" s="1067">
        <v>10</v>
      </c>
      <c r="L284" s="1067">
        <v>18</v>
      </c>
    </row>
    <row r="285" spans="1:12" x14ac:dyDescent="0.25">
      <c r="A285" s="1067" t="s">
        <v>255</v>
      </c>
      <c r="B285" s="1067" t="s">
        <v>250</v>
      </c>
      <c r="C285" s="1067"/>
      <c r="D285" s="1067" t="s">
        <v>259</v>
      </c>
      <c r="E285" s="1067">
        <v>143</v>
      </c>
      <c r="F285" s="1067">
        <v>15</v>
      </c>
      <c r="G285" s="1067">
        <v>4</v>
      </c>
      <c r="H285" s="1067"/>
      <c r="I285" s="1067">
        <v>55</v>
      </c>
      <c r="J285" s="1067">
        <v>13</v>
      </c>
      <c r="K285" s="1067">
        <v>9</v>
      </c>
      <c r="L285" s="1067">
        <v>47</v>
      </c>
    </row>
    <row r="286" spans="1:12" x14ac:dyDescent="0.25">
      <c r="A286" s="1067" t="s">
        <v>255</v>
      </c>
      <c r="B286" s="1067" t="s">
        <v>26</v>
      </c>
      <c r="C286" s="1067"/>
      <c r="D286" s="1067" t="s">
        <v>259</v>
      </c>
      <c r="E286" s="1067">
        <v>3544</v>
      </c>
      <c r="F286" s="1067">
        <v>34</v>
      </c>
      <c r="G286" s="1067">
        <v>4</v>
      </c>
      <c r="H286" s="1067">
        <v>689</v>
      </c>
      <c r="I286" s="1067">
        <v>1988</v>
      </c>
      <c r="J286" s="1067">
        <v>74</v>
      </c>
      <c r="K286" s="1067">
        <v>153</v>
      </c>
      <c r="L286" s="1067">
        <v>602</v>
      </c>
    </row>
    <row r="287" spans="1:12" x14ac:dyDescent="0.25">
      <c r="A287" s="1067" t="s">
        <v>254</v>
      </c>
      <c r="B287" s="1067" t="s">
        <v>247</v>
      </c>
      <c r="C287" s="1067"/>
      <c r="D287" s="1067" t="s">
        <v>281</v>
      </c>
      <c r="E287" s="1067">
        <v>2955</v>
      </c>
      <c r="F287" s="1067"/>
      <c r="G287" s="1067"/>
      <c r="H287" s="1067">
        <v>592</v>
      </c>
      <c r="I287" s="1067">
        <v>1986</v>
      </c>
      <c r="J287" s="1067"/>
      <c r="K287" s="1067"/>
      <c r="L287" s="1067">
        <v>377</v>
      </c>
    </row>
    <row r="288" spans="1:12" x14ac:dyDescent="0.25">
      <c r="A288" s="1067" t="s">
        <v>254</v>
      </c>
      <c r="B288" s="1067" t="s">
        <v>247</v>
      </c>
      <c r="C288" s="1067"/>
      <c r="D288" s="1067" t="s">
        <v>35</v>
      </c>
      <c r="E288" s="1067">
        <v>25</v>
      </c>
      <c r="F288" s="1067"/>
      <c r="G288" s="1067"/>
      <c r="H288" s="1067">
        <v>5</v>
      </c>
      <c r="I288" s="1067">
        <v>15</v>
      </c>
      <c r="J288" s="1067"/>
      <c r="K288" s="1067"/>
      <c r="L288" s="1067">
        <v>5</v>
      </c>
    </row>
    <row r="289" spans="1:12" x14ac:dyDescent="0.25">
      <c r="A289" s="1067" t="s">
        <v>254</v>
      </c>
      <c r="B289" s="1067" t="s">
        <v>247</v>
      </c>
      <c r="C289" s="1067"/>
      <c r="D289" s="1067" t="s">
        <v>36</v>
      </c>
      <c r="E289" s="1067">
        <v>53</v>
      </c>
      <c r="F289" s="1067"/>
      <c r="G289" s="1067"/>
      <c r="H289" s="1067">
        <v>10</v>
      </c>
      <c r="I289" s="1067">
        <v>38</v>
      </c>
      <c r="J289" s="1067"/>
      <c r="K289" s="1067"/>
      <c r="L289" s="1067">
        <v>5</v>
      </c>
    </row>
    <row r="290" spans="1:12" x14ac:dyDescent="0.25">
      <c r="A290" s="1067" t="s">
        <v>254</v>
      </c>
      <c r="B290" s="1067" t="s">
        <v>247</v>
      </c>
      <c r="C290" s="1067"/>
      <c r="D290" s="1067" t="s">
        <v>38</v>
      </c>
      <c r="E290" s="1067">
        <v>47</v>
      </c>
      <c r="F290" s="1067"/>
      <c r="G290" s="1067"/>
      <c r="H290" s="1067">
        <v>10</v>
      </c>
      <c r="I290" s="1067">
        <v>32</v>
      </c>
      <c r="J290" s="1067"/>
      <c r="K290" s="1067"/>
      <c r="L290" s="1067">
        <v>5</v>
      </c>
    </row>
    <row r="291" spans="1:12" x14ac:dyDescent="0.25">
      <c r="A291" s="1067" t="s">
        <v>254</v>
      </c>
      <c r="B291" s="1067" t="s">
        <v>247</v>
      </c>
      <c r="C291" s="1067"/>
      <c r="D291" s="1067" t="s">
        <v>40</v>
      </c>
      <c r="E291" s="1067">
        <v>24</v>
      </c>
      <c r="F291" s="1067"/>
      <c r="G291" s="1067"/>
      <c r="H291" s="1067">
        <v>5</v>
      </c>
      <c r="I291" s="1067">
        <v>14</v>
      </c>
      <c r="J291" s="1067"/>
      <c r="K291" s="1067"/>
      <c r="L291" s="1067">
        <v>5</v>
      </c>
    </row>
    <row r="292" spans="1:12" x14ac:dyDescent="0.25">
      <c r="A292" s="1067" t="s">
        <v>254</v>
      </c>
      <c r="B292" s="1067" t="s">
        <v>247</v>
      </c>
      <c r="C292" s="1067"/>
      <c r="D292" s="1067" t="s">
        <v>41</v>
      </c>
      <c r="E292" s="1067">
        <v>52</v>
      </c>
      <c r="F292" s="1067"/>
      <c r="G292" s="1067"/>
      <c r="H292" s="1067">
        <v>10</v>
      </c>
      <c r="I292" s="1067">
        <v>31</v>
      </c>
      <c r="J292" s="1067"/>
      <c r="K292" s="1067"/>
      <c r="L292" s="1067">
        <v>11</v>
      </c>
    </row>
    <row r="293" spans="1:12" x14ac:dyDescent="0.25">
      <c r="A293" s="1067" t="s">
        <v>254</v>
      </c>
      <c r="B293" s="1067" t="s">
        <v>247</v>
      </c>
      <c r="C293" s="1067"/>
      <c r="D293" s="1067" t="s">
        <v>42</v>
      </c>
      <c r="E293" s="1067">
        <v>88</v>
      </c>
      <c r="F293" s="1067"/>
      <c r="G293" s="1067"/>
      <c r="H293" s="1067">
        <v>20</v>
      </c>
      <c r="I293" s="1067">
        <v>53</v>
      </c>
      <c r="J293" s="1067"/>
      <c r="K293" s="1067"/>
      <c r="L293" s="1067">
        <v>15</v>
      </c>
    </row>
    <row r="294" spans="1:12" x14ac:dyDescent="0.25">
      <c r="A294" s="1067" t="s">
        <v>254</v>
      </c>
      <c r="B294" s="1067" t="s">
        <v>247</v>
      </c>
      <c r="C294" s="1067"/>
      <c r="D294" s="1067" t="s">
        <v>44</v>
      </c>
      <c r="E294" s="1067">
        <v>70</v>
      </c>
      <c r="F294" s="1067"/>
      <c r="G294" s="1067"/>
      <c r="H294" s="1067">
        <v>15</v>
      </c>
      <c r="I294" s="1067">
        <v>50</v>
      </c>
      <c r="J294" s="1067"/>
      <c r="K294" s="1067"/>
      <c r="L294" s="1067">
        <v>5</v>
      </c>
    </row>
    <row r="295" spans="1:12" x14ac:dyDescent="0.25">
      <c r="A295" s="1067" t="s">
        <v>254</v>
      </c>
      <c r="B295" s="1067" t="s">
        <v>247</v>
      </c>
      <c r="C295" s="1067"/>
      <c r="D295" s="1067" t="s">
        <v>45</v>
      </c>
      <c r="E295" s="1067">
        <v>72</v>
      </c>
      <c r="F295" s="1067"/>
      <c r="G295" s="1067"/>
      <c r="H295" s="1067">
        <v>15</v>
      </c>
      <c r="I295" s="1067">
        <v>47</v>
      </c>
      <c r="J295" s="1067"/>
      <c r="K295" s="1067"/>
      <c r="L295" s="1067">
        <v>10</v>
      </c>
    </row>
    <row r="296" spans="1:12" x14ac:dyDescent="0.25">
      <c r="A296" s="1067" t="s">
        <v>254</v>
      </c>
      <c r="B296" s="1067" t="s">
        <v>247</v>
      </c>
      <c r="C296" s="1067"/>
      <c r="D296" s="1067" t="s">
        <v>46</v>
      </c>
      <c r="E296" s="1067">
        <v>26</v>
      </c>
      <c r="F296" s="1067"/>
      <c r="G296" s="1067"/>
      <c r="H296" s="1067">
        <v>4</v>
      </c>
      <c r="I296" s="1067">
        <v>17</v>
      </c>
      <c r="J296" s="1067"/>
      <c r="K296" s="1067"/>
      <c r="L296" s="1067">
        <v>5</v>
      </c>
    </row>
    <row r="297" spans="1:12" x14ac:dyDescent="0.25">
      <c r="A297" s="1067" t="s">
        <v>254</v>
      </c>
      <c r="B297" s="1067" t="s">
        <v>247</v>
      </c>
      <c r="C297" s="1067"/>
      <c r="D297" s="1067" t="s">
        <v>47</v>
      </c>
      <c r="E297" s="1067">
        <v>30</v>
      </c>
      <c r="F297" s="1067"/>
      <c r="G297" s="1067"/>
      <c r="H297" s="1067">
        <v>5</v>
      </c>
      <c r="I297" s="1067">
        <v>20</v>
      </c>
      <c r="J297" s="1067"/>
      <c r="K297" s="1067"/>
      <c r="L297" s="1067">
        <v>5</v>
      </c>
    </row>
    <row r="298" spans="1:12" x14ac:dyDescent="0.25">
      <c r="A298" s="1067" t="s">
        <v>254</v>
      </c>
      <c r="B298" s="1067" t="s">
        <v>247</v>
      </c>
      <c r="C298" s="1067"/>
      <c r="D298" s="1067" t="s">
        <v>49</v>
      </c>
      <c r="E298" s="1067">
        <v>76</v>
      </c>
      <c r="F298" s="1067"/>
      <c r="G298" s="1067"/>
      <c r="H298" s="1067">
        <v>15</v>
      </c>
      <c r="I298" s="1067">
        <v>45</v>
      </c>
      <c r="J298" s="1067"/>
      <c r="K298" s="1067"/>
      <c r="L298" s="1067">
        <v>16</v>
      </c>
    </row>
    <row r="299" spans="1:12" x14ac:dyDescent="0.25">
      <c r="A299" s="1067" t="s">
        <v>254</v>
      </c>
      <c r="B299" s="1067" t="s">
        <v>247</v>
      </c>
      <c r="C299" s="1067"/>
      <c r="D299" s="1067" t="s">
        <v>52</v>
      </c>
      <c r="E299" s="1067">
        <v>69</v>
      </c>
      <c r="F299" s="1067"/>
      <c r="G299" s="1067"/>
      <c r="H299" s="1067">
        <v>10</v>
      </c>
      <c r="I299" s="1067">
        <v>54</v>
      </c>
      <c r="J299" s="1067"/>
      <c r="K299" s="1067"/>
      <c r="L299" s="1067">
        <v>5</v>
      </c>
    </row>
    <row r="300" spans="1:12" x14ac:dyDescent="0.25">
      <c r="A300" s="1067" t="s">
        <v>254</v>
      </c>
      <c r="B300" s="1067" t="s">
        <v>247</v>
      </c>
      <c r="C300" s="1067"/>
      <c r="D300" s="1067" t="s">
        <v>54</v>
      </c>
      <c r="E300" s="1067">
        <v>56</v>
      </c>
      <c r="F300" s="1067"/>
      <c r="G300" s="1067"/>
      <c r="H300" s="1067">
        <v>10</v>
      </c>
      <c r="I300" s="1067">
        <v>36</v>
      </c>
      <c r="J300" s="1067"/>
      <c r="K300" s="1067"/>
      <c r="L300" s="1067">
        <v>10</v>
      </c>
    </row>
    <row r="301" spans="1:12" x14ac:dyDescent="0.25">
      <c r="A301" s="1067" t="s">
        <v>254</v>
      </c>
      <c r="B301" s="1067" t="s">
        <v>247</v>
      </c>
      <c r="C301" s="1067"/>
      <c r="D301" s="1067" t="s">
        <v>56</v>
      </c>
      <c r="E301" s="1067">
        <v>50</v>
      </c>
      <c r="F301" s="1067"/>
      <c r="G301" s="1067"/>
      <c r="H301" s="1067">
        <v>11</v>
      </c>
      <c r="I301" s="1067">
        <v>34</v>
      </c>
      <c r="J301" s="1067"/>
      <c r="K301" s="1067"/>
      <c r="L301" s="1067">
        <v>5</v>
      </c>
    </row>
    <row r="302" spans="1:12" x14ac:dyDescent="0.25">
      <c r="A302" s="1067" t="s">
        <v>254</v>
      </c>
      <c r="B302" s="1067" t="s">
        <v>247</v>
      </c>
      <c r="C302" s="1067"/>
      <c r="D302" s="1067" t="s">
        <v>57</v>
      </c>
      <c r="E302" s="1067">
        <v>167</v>
      </c>
      <c r="F302" s="1067"/>
      <c r="G302" s="1067"/>
      <c r="H302" s="1067">
        <v>36</v>
      </c>
      <c r="I302" s="1067">
        <v>111</v>
      </c>
      <c r="J302" s="1067"/>
      <c r="K302" s="1067"/>
      <c r="L302" s="1067">
        <v>20</v>
      </c>
    </row>
    <row r="303" spans="1:12" x14ac:dyDescent="0.25">
      <c r="A303" s="1067" t="s">
        <v>254</v>
      </c>
      <c r="B303" s="1067" t="s">
        <v>247</v>
      </c>
      <c r="C303" s="1067"/>
      <c r="D303" s="1067" t="s">
        <v>58</v>
      </c>
      <c r="E303" s="1067">
        <v>49</v>
      </c>
      <c r="F303" s="1067"/>
      <c r="G303" s="1067"/>
      <c r="H303" s="1067">
        <v>10</v>
      </c>
      <c r="I303" s="1067">
        <v>34</v>
      </c>
      <c r="J303" s="1067"/>
      <c r="K303" s="1067"/>
      <c r="L303" s="1067">
        <v>5</v>
      </c>
    </row>
    <row r="304" spans="1:12" x14ac:dyDescent="0.25">
      <c r="A304" s="1067" t="s">
        <v>254</v>
      </c>
      <c r="B304" s="1067" t="s">
        <v>247</v>
      </c>
      <c r="C304" s="1067"/>
      <c r="D304" s="1067" t="s">
        <v>31</v>
      </c>
      <c r="E304" s="1067">
        <v>154</v>
      </c>
      <c r="F304" s="1067"/>
      <c r="G304" s="1067"/>
      <c r="H304" s="1067">
        <v>35</v>
      </c>
      <c r="I304" s="1067">
        <v>104</v>
      </c>
      <c r="J304" s="1067"/>
      <c r="K304" s="1067"/>
      <c r="L304" s="1067">
        <v>15</v>
      </c>
    </row>
    <row r="305" spans="1:12" x14ac:dyDescent="0.25">
      <c r="A305" s="1067" t="s">
        <v>254</v>
      </c>
      <c r="B305" s="1067" t="s">
        <v>247</v>
      </c>
      <c r="C305" s="1067"/>
      <c r="D305" s="1067" t="s">
        <v>32</v>
      </c>
      <c r="E305" s="1067">
        <v>30</v>
      </c>
      <c r="F305" s="1067"/>
      <c r="G305" s="1067"/>
      <c r="H305" s="1067">
        <v>5</v>
      </c>
      <c r="I305" s="1067">
        <v>20</v>
      </c>
      <c r="J305" s="1067"/>
      <c r="K305" s="1067"/>
      <c r="L305" s="1067">
        <v>5</v>
      </c>
    </row>
    <row r="306" spans="1:12" x14ac:dyDescent="0.25">
      <c r="A306" s="1067" t="s">
        <v>254</v>
      </c>
      <c r="B306" s="1067" t="s">
        <v>247</v>
      </c>
      <c r="C306" s="1067"/>
      <c r="D306" s="1067" t="s">
        <v>34</v>
      </c>
      <c r="E306" s="1067">
        <v>54</v>
      </c>
      <c r="F306" s="1067"/>
      <c r="G306" s="1067"/>
      <c r="H306" s="1067">
        <v>11</v>
      </c>
      <c r="I306" s="1067">
        <v>33</v>
      </c>
      <c r="J306" s="1067"/>
      <c r="K306" s="1067"/>
      <c r="L306" s="1067">
        <v>10</v>
      </c>
    </row>
    <row r="307" spans="1:12" x14ac:dyDescent="0.25">
      <c r="A307" s="1067" t="s">
        <v>254</v>
      </c>
      <c r="B307" s="1067" t="s">
        <v>247</v>
      </c>
      <c r="C307" s="1067"/>
      <c r="D307" s="1067" t="s">
        <v>258</v>
      </c>
      <c r="E307" s="1067">
        <v>297</v>
      </c>
      <c r="F307" s="1067"/>
      <c r="G307" s="1067"/>
      <c r="H307" s="1067">
        <v>59</v>
      </c>
      <c r="I307" s="1067">
        <v>203</v>
      </c>
      <c r="J307" s="1067"/>
      <c r="K307" s="1067"/>
      <c r="L307" s="1067">
        <v>35</v>
      </c>
    </row>
    <row r="308" spans="1:12" x14ac:dyDescent="0.25">
      <c r="A308" s="1067" t="s">
        <v>254</v>
      </c>
      <c r="B308" s="1067" t="s">
        <v>247</v>
      </c>
      <c r="C308" s="1067"/>
      <c r="D308" s="1067" t="s">
        <v>53</v>
      </c>
      <c r="E308" s="1067">
        <v>99</v>
      </c>
      <c r="F308" s="1067"/>
      <c r="G308" s="1067"/>
      <c r="H308" s="1067">
        <v>18</v>
      </c>
      <c r="I308" s="1067">
        <v>65</v>
      </c>
      <c r="J308" s="1067"/>
      <c r="K308" s="1067"/>
      <c r="L308" s="1067">
        <v>16</v>
      </c>
    </row>
    <row r="309" spans="1:12" x14ac:dyDescent="0.25">
      <c r="A309" s="1067" t="s">
        <v>254</v>
      </c>
      <c r="B309" s="1067" t="s">
        <v>247</v>
      </c>
      <c r="C309" s="1067"/>
      <c r="D309" s="1067" t="s">
        <v>59</v>
      </c>
      <c r="E309" s="1067">
        <v>73</v>
      </c>
      <c r="F309" s="1067"/>
      <c r="G309" s="1067"/>
      <c r="H309" s="1067">
        <v>15</v>
      </c>
      <c r="I309" s="1067">
        <v>48</v>
      </c>
      <c r="J309" s="1067"/>
      <c r="K309" s="1067"/>
      <c r="L309" s="1067">
        <v>10</v>
      </c>
    </row>
    <row r="310" spans="1:12" x14ac:dyDescent="0.25">
      <c r="A310" s="1067" t="s">
        <v>254</v>
      </c>
      <c r="B310" s="1067" t="s">
        <v>247</v>
      </c>
      <c r="C310" s="1067"/>
      <c r="D310" s="1067" t="s">
        <v>60</v>
      </c>
      <c r="E310" s="1067">
        <v>56</v>
      </c>
      <c r="F310" s="1067"/>
      <c r="G310" s="1067"/>
      <c r="H310" s="1067">
        <v>10</v>
      </c>
      <c r="I310" s="1067">
        <v>36</v>
      </c>
      <c r="J310" s="1067"/>
      <c r="K310" s="1067"/>
      <c r="L310" s="1067">
        <v>10</v>
      </c>
    </row>
    <row r="311" spans="1:12" x14ac:dyDescent="0.25">
      <c r="A311" s="1067" t="s">
        <v>254</v>
      </c>
      <c r="B311" s="1067" t="s">
        <v>247</v>
      </c>
      <c r="C311" s="1067"/>
      <c r="D311" s="1067" t="s">
        <v>33</v>
      </c>
      <c r="E311" s="1067">
        <v>28</v>
      </c>
      <c r="F311" s="1067"/>
      <c r="G311" s="1067"/>
      <c r="H311" s="1067">
        <v>5</v>
      </c>
      <c r="I311" s="1067">
        <v>18</v>
      </c>
      <c r="J311" s="1067"/>
      <c r="K311" s="1067"/>
      <c r="L311" s="1067">
        <v>5</v>
      </c>
    </row>
    <row r="312" spans="1:12" x14ac:dyDescent="0.25">
      <c r="A312" s="1067" t="s">
        <v>254</v>
      </c>
      <c r="B312" s="1067" t="s">
        <v>247</v>
      </c>
      <c r="C312" s="1067"/>
      <c r="D312" s="1067" t="s">
        <v>37</v>
      </c>
      <c r="E312" s="1067">
        <v>177</v>
      </c>
      <c r="F312" s="1067"/>
      <c r="G312" s="1067"/>
      <c r="H312" s="1067">
        <v>35</v>
      </c>
      <c r="I312" s="1067">
        <v>122</v>
      </c>
      <c r="J312" s="1067"/>
      <c r="K312" s="1067"/>
      <c r="L312" s="1067">
        <v>20</v>
      </c>
    </row>
    <row r="313" spans="1:12" x14ac:dyDescent="0.25">
      <c r="A313" s="1067" t="s">
        <v>254</v>
      </c>
      <c r="B313" s="1067" t="s">
        <v>247</v>
      </c>
      <c r="C313" s="1067"/>
      <c r="D313" s="1067" t="s">
        <v>50</v>
      </c>
      <c r="E313" s="1067">
        <v>166</v>
      </c>
      <c r="F313" s="1067"/>
      <c r="G313" s="1067"/>
      <c r="H313" s="1067">
        <v>35</v>
      </c>
      <c r="I313" s="1067">
        <v>111</v>
      </c>
      <c r="J313" s="1067"/>
      <c r="K313" s="1067"/>
      <c r="L313" s="1067">
        <v>20</v>
      </c>
    </row>
    <row r="314" spans="1:12" x14ac:dyDescent="0.25">
      <c r="A314" s="1067" t="s">
        <v>254</v>
      </c>
      <c r="B314" s="1067" t="s">
        <v>247</v>
      </c>
      <c r="C314" s="1067"/>
      <c r="D314" s="1067" t="s">
        <v>39</v>
      </c>
      <c r="E314" s="1067">
        <v>78</v>
      </c>
      <c r="F314" s="1067"/>
      <c r="G314" s="1067"/>
      <c r="H314" s="1067">
        <v>15</v>
      </c>
      <c r="I314" s="1067">
        <v>47</v>
      </c>
      <c r="J314" s="1067"/>
      <c r="K314" s="1067"/>
      <c r="L314" s="1067">
        <v>16</v>
      </c>
    </row>
    <row r="315" spans="1:12" x14ac:dyDescent="0.25">
      <c r="A315" s="1067" t="s">
        <v>254</v>
      </c>
      <c r="B315" s="1067" t="s">
        <v>247</v>
      </c>
      <c r="C315" s="1067"/>
      <c r="D315" s="1067" t="s">
        <v>121</v>
      </c>
      <c r="E315" s="1067">
        <v>515</v>
      </c>
      <c r="F315" s="1067"/>
      <c r="G315" s="1067"/>
      <c r="H315" s="1067">
        <v>110</v>
      </c>
      <c r="I315" s="1067">
        <v>349</v>
      </c>
      <c r="J315" s="1067"/>
      <c r="K315" s="1067"/>
      <c r="L315" s="1067">
        <v>56</v>
      </c>
    </row>
    <row r="316" spans="1:12" x14ac:dyDescent="0.25">
      <c r="A316" s="1067" t="s">
        <v>254</v>
      </c>
      <c r="B316" s="1067" t="s">
        <v>247</v>
      </c>
      <c r="C316" s="1067"/>
      <c r="D316" s="1067" t="s">
        <v>43</v>
      </c>
      <c r="E316" s="1067">
        <v>274</v>
      </c>
      <c r="F316" s="1067"/>
      <c r="G316" s="1067"/>
      <c r="H316" s="1067">
        <v>48</v>
      </c>
      <c r="I316" s="1067">
        <v>199</v>
      </c>
      <c r="J316" s="1067"/>
      <c r="K316" s="1067"/>
      <c r="L316" s="1067">
        <v>27</v>
      </c>
    </row>
    <row r="317" spans="1:12" x14ac:dyDescent="0.25">
      <c r="A317" s="1067" t="s">
        <v>254</v>
      </c>
      <c r="B317" s="1067" t="s">
        <v>248</v>
      </c>
      <c r="C317" s="1067"/>
      <c r="D317" s="1067" t="s">
        <v>281</v>
      </c>
      <c r="E317" s="1067">
        <v>386</v>
      </c>
      <c r="F317" s="1067">
        <v>16</v>
      </c>
      <c r="G317" s="1067"/>
      <c r="H317" s="1067">
        <v>54</v>
      </c>
      <c r="I317" s="1067">
        <v>28</v>
      </c>
      <c r="J317" s="1067">
        <v>49</v>
      </c>
      <c r="K317" s="1067">
        <v>115</v>
      </c>
      <c r="L317" s="1067">
        <v>124</v>
      </c>
    </row>
    <row r="318" spans="1:12" x14ac:dyDescent="0.25">
      <c r="A318" s="1067" t="s">
        <v>254</v>
      </c>
      <c r="B318" s="1067" t="s">
        <v>248</v>
      </c>
      <c r="C318" s="1067"/>
      <c r="D318" s="1067" t="s">
        <v>31</v>
      </c>
      <c r="E318" s="1067">
        <v>16</v>
      </c>
      <c r="F318" s="1067">
        <v>1</v>
      </c>
      <c r="G318" s="1067"/>
      <c r="H318" s="1067">
        <v>2</v>
      </c>
      <c r="I318" s="1067">
        <v>1</v>
      </c>
      <c r="J318" s="1067">
        <v>2</v>
      </c>
      <c r="K318" s="1067">
        <v>4</v>
      </c>
      <c r="L318" s="1067">
        <v>6</v>
      </c>
    </row>
    <row r="319" spans="1:12" x14ac:dyDescent="0.25">
      <c r="A319" s="1067" t="s">
        <v>254</v>
      </c>
      <c r="B319" s="1067" t="s">
        <v>248</v>
      </c>
      <c r="C319" s="1067"/>
      <c r="D319" s="1067" t="s">
        <v>63</v>
      </c>
      <c r="E319" s="1067">
        <v>25</v>
      </c>
      <c r="F319" s="1067">
        <v>1</v>
      </c>
      <c r="G319" s="1067"/>
      <c r="H319" s="1067">
        <v>6</v>
      </c>
      <c r="I319" s="1067"/>
      <c r="J319" s="1067">
        <v>2</v>
      </c>
      <c r="K319" s="1067">
        <v>8</v>
      </c>
      <c r="L319" s="1067">
        <v>8</v>
      </c>
    </row>
    <row r="320" spans="1:12" x14ac:dyDescent="0.25">
      <c r="A320" s="1067" t="s">
        <v>254</v>
      </c>
      <c r="B320" s="1067" t="s">
        <v>248</v>
      </c>
      <c r="C320" s="1067"/>
      <c r="D320" s="1067" t="s">
        <v>64</v>
      </c>
      <c r="E320" s="1067">
        <v>26</v>
      </c>
      <c r="F320" s="1067">
        <v>1</v>
      </c>
      <c r="G320" s="1067"/>
      <c r="H320" s="1067">
        <v>6</v>
      </c>
      <c r="I320" s="1067">
        <v>2</v>
      </c>
      <c r="J320" s="1067">
        <v>3</v>
      </c>
      <c r="K320" s="1067">
        <v>8</v>
      </c>
      <c r="L320" s="1067">
        <v>6</v>
      </c>
    </row>
    <row r="321" spans="1:12" x14ac:dyDescent="0.25">
      <c r="A321" s="1067" t="s">
        <v>254</v>
      </c>
      <c r="B321" s="1067" t="s">
        <v>248</v>
      </c>
      <c r="C321" s="1067"/>
      <c r="D321" s="1067" t="s">
        <v>36</v>
      </c>
      <c r="E321" s="1067">
        <v>22</v>
      </c>
      <c r="F321" s="1067">
        <v>1</v>
      </c>
      <c r="G321" s="1067"/>
      <c r="H321" s="1067">
        <v>4</v>
      </c>
      <c r="I321" s="1067">
        <v>2</v>
      </c>
      <c r="J321" s="1067">
        <v>2</v>
      </c>
      <c r="K321" s="1067">
        <v>6</v>
      </c>
      <c r="L321" s="1067">
        <v>7</v>
      </c>
    </row>
    <row r="322" spans="1:12" x14ac:dyDescent="0.25">
      <c r="A322" s="1067" t="s">
        <v>254</v>
      </c>
      <c r="B322" s="1067" t="s">
        <v>248</v>
      </c>
      <c r="C322" s="1067"/>
      <c r="D322" s="1067" t="s">
        <v>66</v>
      </c>
      <c r="E322" s="1067">
        <v>25</v>
      </c>
      <c r="F322" s="1067">
        <v>1</v>
      </c>
      <c r="G322" s="1067"/>
      <c r="H322" s="1067">
        <v>2</v>
      </c>
      <c r="I322" s="1067">
        <v>2</v>
      </c>
      <c r="J322" s="1067">
        <v>3</v>
      </c>
      <c r="K322" s="1067">
        <v>9</v>
      </c>
      <c r="L322" s="1067">
        <v>8</v>
      </c>
    </row>
    <row r="323" spans="1:12" x14ac:dyDescent="0.25">
      <c r="A323" s="1067" t="s">
        <v>254</v>
      </c>
      <c r="B323" s="1067" t="s">
        <v>248</v>
      </c>
      <c r="C323" s="1067"/>
      <c r="D323" s="1067" t="s">
        <v>67</v>
      </c>
      <c r="E323" s="1067">
        <v>25</v>
      </c>
      <c r="F323" s="1067">
        <v>1</v>
      </c>
      <c r="G323" s="1067"/>
      <c r="H323" s="1067">
        <v>2</v>
      </c>
      <c r="I323" s="1067">
        <v>3</v>
      </c>
      <c r="J323" s="1067">
        <v>3</v>
      </c>
      <c r="K323" s="1067">
        <v>7</v>
      </c>
      <c r="L323" s="1067">
        <v>9</v>
      </c>
    </row>
    <row r="324" spans="1:12" x14ac:dyDescent="0.25">
      <c r="A324" s="1067" t="s">
        <v>254</v>
      </c>
      <c r="B324" s="1067" t="s">
        <v>248</v>
      </c>
      <c r="C324" s="1067"/>
      <c r="D324" s="1067" t="s">
        <v>68</v>
      </c>
      <c r="E324" s="1067">
        <v>14</v>
      </c>
      <c r="F324" s="1067">
        <v>1</v>
      </c>
      <c r="G324" s="1067"/>
      <c r="H324" s="1067"/>
      <c r="I324" s="1067">
        <v>2</v>
      </c>
      <c r="J324" s="1067">
        <v>4</v>
      </c>
      <c r="K324" s="1067">
        <v>4</v>
      </c>
      <c r="L324" s="1067">
        <v>3</v>
      </c>
    </row>
    <row r="325" spans="1:12" x14ac:dyDescent="0.25">
      <c r="A325" s="1067" t="s">
        <v>254</v>
      </c>
      <c r="B325" s="1067" t="s">
        <v>248</v>
      </c>
      <c r="C325" s="1067"/>
      <c r="D325" s="1067" t="s">
        <v>175</v>
      </c>
      <c r="E325" s="1067">
        <v>30</v>
      </c>
      <c r="F325" s="1067">
        <v>1</v>
      </c>
      <c r="G325" s="1067"/>
      <c r="H325" s="1067">
        <v>5</v>
      </c>
      <c r="I325" s="1067">
        <v>2</v>
      </c>
      <c r="J325" s="1067">
        <v>5</v>
      </c>
      <c r="K325" s="1067">
        <v>4</v>
      </c>
      <c r="L325" s="1067">
        <v>12</v>
      </c>
    </row>
    <row r="326" spans="1:12" x14ac:dyDescent="0.25">
      <c r="A326" s="1067" t="s">
        <v>254</v>
      </c>
      <c r="B326" s="1067" t="s">
        <v>248</v>
      </c>
      <c r="C326" s="1067"/>
      <c r="D326" s="1067" t="s">
        <v>69</v>
      </c>
      <c r="E326" s="1067">
        <v>20</v>
      </c>
      <c r="F326" s="1067">
        <v>1</v>
      </c>
      <c r="G326" s="1067"/>
      <c r="H326" s="1067">
        <v>3</v>
      </c>
      <c r="I326" s="1067">
        <v>2</v>
      </c>
      <c r="J326" s="1067">
        <v>2</v>
      </c>
      <c r="K326" s="1067">
        <v>6</v>
      </c>
      <c r="L326" s="1067">
        <v>6</v>
      </c>
    </row>
    <row r="327" spans="1:12" x14ac:dyDescent="0.25">
      <c r="A327" s="1067" t="s">
        <v>254</v>
      </c>
      <c r="B327" s="1067" t="s">
        <v>248</v>
      </c>
      <c r="C327" s="1067"/>
      <c r="D327" s="1067" t="s">
        <v>121</v>
      </c>
      <c r="E327" s="1067">
        <v>25</v>
      </c>
      <c r="F327" s="1067">
        <v>1</v>
      </c>
      <c r="G327" s="1067"/>
      <c r="H327" s="1067">
        <v>2</v>
      </c>
      <c r="I327" s="1067">
        <v>2</v>
      </c>
      <c r="J327" s="1067">
        <v>4</v>
      </c>
      <c r="K327" s="1067">
        <v>9</v>
      </c>
      <c r="L327" s="1067">
        <v>7</v>
      </c>
    </row>
    <row r="328" spans="1:12" x14ac:dyDescent="0.25">
      <c r="A328" s="1067" t="s">
        <v>254</v>
      </c>
      <c r="B328" s="1067" t="s">
        <v>248</v>
      </c>
      <c r="C328" s="1067"/>
      <c r="D328" s="1067" t="s">
        <v>70</v>
      </c>
      <c r="E328" s="1067">
        <v>45</v>
      </c>
      <c r="F328" s="1067">
        <v>1</v>
      </c>
      <c r="G328" s="1067"/>
      <c r="H328" s="1067">
        <v>9</v>
      </c>
      <c r="I328" s="1067">
        <v>1</v>
      </c>
      <c r="J328" s="1067">
        <v>4</v>
      </c>
      <c r="K328" s="1067">
        <v>14</v>
      </c>
      <c r="L328" s="1067">
        <v>16</v>
      </c>
    </row>
    <row r="329" spans="1:12" x14ac:dyDescent="0.25">
      <c r="A329" s="1067" t="s">
        <v>254</v>
      </c>
      <c r="B329" s="1067" t="s">
        <v>248</v>
      </c>
      <c r="C329" s="1067"/>
      <c r="D329" s="1067" t="s">
        <v>50</v>
      </c>
      <c r="E329" s="1067">
        <v>17</v>
      </c>
      <c r="F329" s="1067">
        <v>1</v>
      </c>
      <c r="G329" s="1067"/>
      <c r="H329" s="1067">
        <v>2</v>
      </c>
      <c r="I329" s="1067">
        <v>1</v>
      </c>
      <c r="J329" s="1067">
        <v>2</v>
      </c>
      <c r="K329" s="1067">
        <v>5</v>
      </c>
      <c r="L329" s="1067">
        <v>6</v>
      </c>
    </row>
    <row r="330" spans="1:12" x14ac:dyDescent="0.25">
      <c r="A330" s="1067" t="s">
        <v>254</v>
      </c>
      <c r="B330" s="1067" t="s">
        <v>248</v>
      </c>
      <c r="C330" s="1067"/>
      <c r="D330" s="1067" t="s">
        <v>57</v>
      </c>
      <c r="E330" s="1067">
        <v>16</v>
      </c>
      <c r="F330" s="1067">
        <v>1</v>
      </c>
      <c r="G330" s="1067"/>
      <c r="H330" s="1067">
        <v>2</v>
      </c>
      <c r="I330" s="1067">
        <v>1</v>
      </c>
      <c r="J330" s="1067">
        <v>2</v>
      </c>
      <c r="K330" s="1067">
        <v>6</v>
      </c>
      <c r="L330" s="1067">
        <v>4</v>
      </c>
    </row>
    <row r="331" spans="1:12" x14ac:dyDescent="0.25">
      <c r="A331" s="1067" t="s">
        <v>254</v>
      </c>
      <c r="B331" s="1067" t="s">
        <v>248</v>
      </c>
      <c r="C331" s="1067"/>
      <c r="D331" s="1067" t="s">
        <v>1071</v>
      </c>
      <c r="E331" s="1067">
        <v>18</v>
      </c>
      <c r="F331" s="1067">
        <v>1</v>
      </c>
      <c r="G331" s="1067"/>
      <c r="H331" s="1067">
        <v>3</v>
      </c>
      <c r="I331" s="1067">
        <v>1</v>
      </c>
      <c r="J331" s="1067">
        <v>2</v>
      </c>
      <c r="K331" s="1067">
        <v>6</v>
      </c>
      <c r="L331" s="1067">
        <v>5</v>
      </c>
    </row>
    <row r="332" spans="1:12" x14ac:dyDescent="0.25">
      <c r="A332" s="1067" t="s">
        <v>254</v>
      </c>
      <c r="B332" s="1067" t="s">
        <v>248</v>
      </c>
      <c r="C332" s="1067"/>
      <c r="D332" s="1067" t="s">
        <v>71</v>
      </c>
      <c r="E332" s="1067">
        <v>16</v>
      </c>
      <c r="F332" s="1067">
        <v>1</v>
      </c>
      <c r="G332" s="1067"/>
      <c r="H332" s="1067">
        <v>3</v>
      </c>
      <c r="I332" s="1067"/>
      <c r="J332" s="1067">
        <v>3</v>
      </c>
      <c r="K332" s="1067">
        <v>5</v>
      </c>
      <c r="L332" s="1067">
        <v>4</v>
      </c>
    </row>
    <row r="333" spans="1:12" x14ac:dyDescent="0.25">
      <c r="A333" s="1067" t="s">
        <v>254</v>
      </c>
      <c r="B333" s="1067" t="s">
        <v>248</v>
      </c>
      <c r="C333" s="1067"/>
      <c r="D333" s="1067" t="s">
        <v>65</v>
      </c>
      <c r="E333" s="1067">
        <v>29</v>
      </c>
      <c r="F333" s="1067">
        <v>1</v>
      </c>
      <c r="G333" s="1067"/>
      <c r="H333" s="1067">
        <v>3</v>
      </c>
      <c r="I333" s="1067">
        <v>2</v>
      </c>
      <c r="J333" s="1067">
        <v>4</v>
      </c>
      <c r="K333" s="1067">
        <v>8</v>
      </c>
      <c r="L333" s="1067">
        <v>11</v>
      </c>
    </row>
    <row r="334" spans="1:12" x14ac:dyDescent="0.25">
      <c r="A334" s="1067" t="s">
        <v>254</v>
      </c>
      <c r="B334" s="1067" t="s">
        <v>248</v>
      </c>
      <c r="C334" s="1067"/>
      <c r="D334" s="1067" t="s">
        <v>43</v>
      </c>
      <c r="E334" s="1067">
        <v>18</v>
      </c>
      <c r="F334" s="1067"/>
      <c r="G334" s="1067"/>
      <c r="H334" s="1067"/>
      <c r="I334" s="1067">
        <v>4</v>
      </c>
      <c r="J334" s="1067">
        <v>2</v>
      </c>
      <c r="K334" s="1067">
        <v>6</v>
      </c>
      <c r="L334" s="1067">
        <v>6</v>
      </c>
    </row>
    <row r="335" spans="1:12" x14ac:dyDescent="0.25">
      <c r="A335" s="1067" t="s">
        <v>254</v>
      </c>
      <c r="B335" s="1067" t="s">
        <v>249</v>
      </c>
      <c r="C335" s="1067"/>
      <c r="D335" s="1067" t="s">
        <v>281</v>
      </c>
      <c r="E335" s="1067">
        <v>146</v>
      </c>
      <c r="F335" s="1067">
        <v>3</v>
      </c>
      <c r="G335" s="1067"/>
      <c r="H335" s="1067">
        <v>41</v>
      </c>
      <c r="I335" s="1067"/>
      <c r="J335" s="1067">
        <v>14</v>
      </c>
      <c r="K335" s="1067">
        <v>24</v>
      </c>
      <c r="L335" s="1067">
        <v>64</v>
      </c>
    </row>
    <row r="336" spans="1:12" x14ac:dyDescent="0.25">
      <c r="A336" s="1067" t="s">
        <v>254</v>
      </c>
      <c r="B336" s="1067" t="s">
        <v>249</v>
      </c>
      <c r="C336" s="1067"/>
      <c r="D336" s="1067" t="s">
        <v>173</v>
      </c>
      <c r="E336" s="1067">
        <v>79</v>
      </c>
      <c r="F336" s="1067">
        <v>1</v>
      </c>
      <c r="G336" s="1067"/>
      <c r="H336" s="1067">
        <v>26</v>
      </c>
      <c r="I336" s="1067"/>
      <c r="J336" s="1067">
        <v>5</v>
      </c>
      <c r="K336" s="1067">
        <v>12</v>
      </c>
      <c r="L336" s="1067">
        <v>35</v>
      </c>
    </row>
    <row r="337" spans="1:12" x14ac:dyDescent="0.25">
      <c r="A337" s="1067" t="s">
        <v>254</v>
      </c>
      <c r="B337" s="1067" t="s">
        <v>249</v>
      </c>
      <c r="C337" s="1067"/>
      <c r="D337" s="1067" t="s">
        <v>174</v>
      </c>
      <c r="E337" s="1067">
        <v>37</v>
      </c>
      <c r="F337" s="1067">
        <v>1</v>
      </c>
      <c r="G337" s="1067"/>
      <c r="H337" s="1067">
        <v>8</v>
      </c>
      <c r="I337" s="1067"/>
      <c r="J337" s="1067">
        <v>5</v>
      </c>
      <c r="K337" s="1067">
        <v>5</v>
      </c>
      <c r="L337" s="1067">
        <v>18</v>
      </c>
    </row>
    <row r="338" spans="1:12" x14ac:dyDescent="0.25">
      <c r="A338" s="1067" t="s">
        <v>254</v>
      </c>
      <c r="B338" s="1067" t="s">
        <v>249</v>
      </c>
      <c r="C338" s="1067"/>
      <c r="D338" s="1067" t="s">
        <v>172</v>
      </c>
      <c r="E338" s="1067">
        <v>30</v>
      </c>
      <c r="F338" s="1067">
        <v>1</v>
      </c>
      <c r="G338" s="1067"/>
      <c r="H338" s="1067">
        <v>7</v>
      </c>
      <c r="I338" s="1067"/>
      <c r="J338" s="1067">
        <v>4</v>
      </c>
      <c r="K338" s="1067">
        <v>7</v>
      </c>
      <c r="L338" s="1067">
        <v>11</v>
      </c>
    </row>
    <row r="339" spans="1:12" x14ac:dyDescent="0.25">
      <c r="A339" s="1067" t="s">
        <v>254</v>
      </c>
      <c r="B339" s="1067" t="s">
        <v>250</v>
      </c>
      <c r="C339" s="1067"/>
      <c r="D339" s="1067" t="s">
        <v>259</v>
      </c>
      <c r="E339" s="1067">
        <v>149</v>
      </c>
      <c r="F339" s="1067">
        <v>14</v>
      </c>
      <c r="G339" s="1067">
        <v>4</v>
      </c>
      <c r="H339" s="1067"/>
      <c r="I339" s="1067">
        <v>60</v>
      </c>
      <c r="J339" s="1067">
        <v>17</v>
      </c>
      <c r="K339" s="1067">
        <v>8</v>
      </c>
      <c r="L339" s="1067">
        <v>46</v>
      </c>
    </row>
    <row r="340" spans="1:12" x14ac:dyDescent="0.25">
      <c r="A340" s="1067" t="s">
        <v>254</v>
      </c>
      <c r="B340" s="1067" t="s">
        <v>26</v>
      </c>
      <c r="C340" s="1067"/>
      <c r="D340" s="1067" t="s">
        <v>259</v>
      </c>
      <c r="E340" s="1067">
        <v>3636</v>
      </c>
      <c r="F340" s="1067">
        <v>33</v>
      </c>
      <c r="G340" s="1067">
        <v>4</v>
      </c>
      <c r="H340" s="1067">
        <v>687</v>
      </c>
      <c r="I340" s="1067">
        <v>2074</v>
      </c>
      <c r="J340" s="1067">
        <v>80</v>
      </c>
      <c r="K340" s="1067">
        <v>147</v>
      </c>
      <c r="L340" s="1067">
        <v>611</v>
      </c>
    </row>
    <row r="341" spans="1:12" x14ac:dyDescent="0.25">
      <c r="A341" s="1067" t="s">
        <v>851</v>
      </c>
      <c r="B341" s="1067" t="s">
        <v>247</v>
      </c>
      <c r="C341" s="1067"/>
      <c r="D341" s="1067" t="s">
        <v>281</v>
      </c>
      <c r="E341" s="1067">
        <v>2965</v>
      </c>
      <c r="F341" s="1067"/>
      <c r="G341" s="1067"/>
      <c r="H341" s="1067">
        <v>597</v>
      </c>
      <c r="I341" s="1067">
        <v>1992</v>
      </c>
      <c r="J341" s="1067"/>
      <c r="K341" s="1067"/>
      <c r="L341" s="1067">
        <v>376</v>
      </c>
    </row>
    <row r="342" spans="1:12" x14ac:dyDescent="0.25">
      <c r="A342" s="1067" t="s">
        <v>851</v>
      </c>
      <c r="B342" s="1067" t="s">
        <v>247</v>
      </c>
      <c r="C342" s="1067"/>
      <c r="D342" s="1067" t="s">
        <v>34</v>
      </c>
      <c r="E342" s="1067">
        <v>53</v>
      </c>
      <c r="F342" s="1067"/>
      <c r="G342" s="1067"/>
      <c r="H342" s="1067">
        <v>10</v>
      </c>
      <c r="I342" s="1067">
        <v>33</v>
      </c>
      <c r="J342" s="1067"/>
      <c r="K342" s="1067"/>
      <c r="L342" s="1067">
        <v>10</v>
      </c>
    </row>
    <row r="343" spans="1:12" x14ac:dyDescent="0.25">
      <c r="A343" s="1067" t="s">
        <v>851</v>
      </c>
      <c r="B343" s="1067" t="s">
        <v>247</v>
      </c>
      <c r="C343" s="1067"/>
      <c r="D343" s="1067" t="s">
        <v>36</v>
      </c>
      <c r="E343" s="1067">
        <v>52</v>
      </c>
      <c r="F343" s="1067"/>
      <c r="G343" s="1067"/>
      <c r="H343" s="1067">
        <v>10</v>
      </c>
      <c r="I343" s="1067">
        <v>37</v>
      </c>
      <c r="J343" s="1067"/>
      <c r="K343" s="1067"/>
      <c r="L343" s="1067">
        <v>5</v>
      </c>
    </row>
    <row r="344" spans="1:12" x14ac:dyDescent="0.25">
      <c r="A344" s="1067" t="s">
        <v>851</v>
      </c>
      <c r="B344" s="1067" t="s">
        <v>247</v>
      </c>
      <c r="C344" s="1067"/>
      <c r="D344" s="1067" t="s">
        <v>38</v>
      </c>
      <c r="E344" s="1067">
        <v>49</v>
      </c>
      <c r="F344" s="1067"/>
      <c r="G344" s="1067"/>
      <c r="H344" s="1067">
        <v>10</v>
      </c>
      <c r="I344" s="1067">
        <v>34</v>
      </c>
      <c r="J344" s="1067"/>
      <c r="K344" s="1067"/>
      <c r="L344" s="1067">
        <v>5</v>
      </c>
    </row>
    <row r="345" spans="1:12" x14ac:dyDescent="0.25">
      <c r="A345" s="1067" t="s">
        <v>851</v>
      </c>
      <c r="B345" s="1067" t="s">
        <v>247</v>
      </c>
      <c r="C345" s="1067"/>
      <c r="D345" s="1067" t="s">
        <v>39</v>
      </c>
      <c r="E345" s="1067">
        <v>79</v>
      </c>
      <c r="F345" s="1067"/>
      <c r="G345" s="1067"/>
      <c r="H345" s="1067">
        <v>15</v>
      </c>
      <c r="I345" s="1067">
        <v>49</v>
      </c>
      <c r="J345" s="1067"/>
      <c r="K345" s="1067"/>
      <c r="L345" s="1067">
        <v>15</v>
      </c>
    </row>
    <row r="346" spans="1:12" x14ac:dyDescent="0.25">
      <c r="A346" s="1067" t="s">
        <v>851</v>
      </c>
      <c r="B346" s="1067" t="s">
        <v>247</v>
      </c>
      <c r="C346" s="1067"/>
      <c r="D346" s="1067" t="s">
        <v>41</v>
      </c>
      <c r="E346" s="1067">
        <v>50</v>
      </c>
      <c r="F346" s="1067"/>
      <c r="G346" s="1067"/>
      <c r="H346" s="1067">
        <v>10</v>
      </c>
      <c r="I346" s="1067">
        <v>30</v>
      </c>
      <c r="J346" s="1067"/>
      <c r="K346" s="1067"/>
      <c r="L346" s="1067">
        <v>10</v>
      </c>
    </row>
    <row r="347" spans="1:12" x14ac:dyDescent="0.25">
      <c r="A347" s="1067" t="s">
        <v>851</v>
      </c>
      <c r="B347" s="1067" t="s">
        <v>247</v>
      </c>
      <c r="C347" s="1067"/>
      <c r="D347" s="1067" t="s">
        <v>121</v>
      </c>
      <c r="E347" s="1067">
        <v>517</v>
      </c>
      <c r="F347" s="1067"/>
      <c r="G347" s="1067"/>
      <c r="H347" s="1067">
        <v>114</v>
      </c>
      <c r="I347" s="1067">
        <v>346</v>
      </c>
      <c r="J347" s="1067"/>
      <c r="K347" s="1067"/>
      <c r="L347" s="1067">
        <v>57</v>
      </c>
    </row>
    <row r="348" spans="1:12" x14ac:dyDescent="0.25">
      <c r="A348" s="1067" t="s">
        <v>851</v>
      </c>
      <c r="B348" s="1067" t="s">
        <v>247</v>
      </c>
      <c r="C348" s="1067"/>
      <c r="D348" s="1067" t="s">
        <v>45</v>
      </c>
      <c r="E348" s="1067">
        <v>70</v>
      </c>
      <c r="F348" s="1067"/>
      <c r="G348" s="1067"/>
      <c r="H348" s="1067">
        <v>15</v>
      </c>
      <c r="I348" s="1067">
        <v>45</v>
      </c>
      <c r="J348" s="1067"/>
      <c r="K348" s="1067"/>
      <c r="L348" s="1067">
        <v>10</v>
      </c>
    </row>
    <row r="349" spans="1:12" x14ac:dyDescent="0.25">
      <c r="A349" s="1067" t="s">
        <v>851</v>
      </c>
      <c r="B349" s="1067" t="s">
        <v>247</v>
      </c>
      <c r="C349" s="1067"/>
      <c r="D349" s="1067" t="s">
        <v>49</v>
      </c>
      <c r="E349" s="1067">
        <v>75</v>
      </c>
      <c r="F349" s="1067"/>
      <c r="G349" s="1067"/>
      <c r="H349" s="1067">
        <v>15</v>
      </c>
      <c r="I349" s="1067">
        <v>45</v>
      </c>
      <c r="J349" s="1067"/>
      <c r="K349" s="1067"/>
      <c r="L349" s="1067">
        <v>15</v>
      </c>
    </row>
    <row r="350" spans="1:12" x14ac:dyDescent="0.25">
      <c r="A350" s="1067" t="s">
        <v>851</v>
      </c>
      <c r="B350" s="1067" t="s">
        <v>247</v>
      </c>
      <c r="C350" s="1067"/>
      <c r="D350" s="1067" t="s">
        <v>50</v>
      </c>
      <c r="E350" s="1067">
        <v>163</v>
      </c>
      <c r="F350" s="1067"/>
      <c r="G350" s="1067"/>
      <c r="H350" s="1067">
        <v>37</v>
      </c>
      <c r="I350" s="1067">
        <v>105</v>
      </c>
      <c r="J350" s="1067"/>
      <c r="K350" s="1067"/>
      <c r="L350" s="1067">
        <v>21</v>
      </c>
    </row>
    <row r="351" spans="1:12" x14ac:dyDescent="0.25">
      <c r="A351" s="1067" t="s">
        <v>851</v>
      </c>
      <c r="B351" s="1067" t="s">
        <v>247</v>
      </c>
      <c r="C351" s="1067"/>
      <c r="D351" s="1067" t="s">
        <v>53</v>
      </c>
      <c r="E351" s="1067">
        <v>102</v>
      </c>
      <c r="F351" s="1067"/>
      <c r="G351" s="1067"/>
      <c r="H351" s="1067">
        <v>21</v>
      </c>
      <c r="I351" s="1067">
        <v>66</v>
      </c>
      <c r="J351" s="1067"/>
      <c r="K351" s="1067"/>
      <c r="L351" s="1067">
        <v>15</v>
      </c>
    </row>
    <row r="352" spans="1:12" x14ac:dyDescent="0.25">
      <c r="A352" s="1067" t="s">
        <v>851</v>
      </c>
      <c r="B352" s="1067" t="s">
        <v>247</v>
      </c>
      <c r="C352" s="1067"/>
      <c r="D352" s="1067" t="s">
        <v>56</v>
      </c>
      <c r="E352" s="1067">
        <v>50</v>
      </c>
      <c r="F352" s="1067"/>
      <c r="G352" s="1067"/>
      <c r="H352" s="1067">
        <v>9</v>
      </c>
      <c r="I352" s="1067">
        <v>36</v>
      </c>
      <c r="J352" s="1067"/>
      <c r="K352" s="1067"/>
      <c r="L352" s="1067">
        <v>5</v>
      </c>
    </row>
    <row r="353" spans="1:12" x14ac:dyDescent="0.25">
      <c r="A353" s="1067" t="s">
        <v>851</v>
      </c>
      <c r="B353" s="1067" t="s">
        <v>247</v>
      </c>
      <c r="C353" s="1067"/>
      <c r="D353" s="1067" t="s">
        <v>57</v>
      </c>
      <c r="E353" s="1067">
        <v>168</v>
      </c>
      <c r="F353" s="1067"/>
      <c r="G353" s="1067"/>
      <c r="H353" s="1067">
        <v>37</v>
      </c>
      <c r="I353" s="1067">
        <v>111</v>
      </c>
      <c r="J353" s="1067"/>
      <c r="K353" s="1067"/>
      <c r="L353" s="1067">
        <v>20</v>
      </c>
    </row>
    <row r="354" spans="1:12" x14ac:dyDescent="0.25">
      <c r="A354" s="1067" t="s">
        <v>851</v>
      </c>
      <c r="B354" s="1067" t="s">
        <v>247</v>
      </c>
      <c r="C354" s="1067"/>
      <c r="D354" s="1067" t="s">
        <v>59</v>
      </c>
      <c r="E354" s="1067">
        <v>73</v>
      </c>
      <c r="F354" s="1067"/>
      <c r="G354" s="1067"/>
      <c r="H354" s="1067">
        <v>15</v>
      </c>
      <c r="I354" s="1067">
        <v>48</v>
      </c>
      <c r="J354" s="1067"/>
      <c r="K354" s="1067"/>
      <c r="L354" s="1067">
        <v>10</v>
      </c>
    </row>
    <row r="355" spans="1:12" x14ac:dyDescent="0.25">
      <c r="A355" s="1067" t="s">
        <v>851</v>
      </c>
      <c r="B355" s="1067" t="s">
        <v>247</v>
      </c>
      <c r="C355" s="1067"/>
      <c r="D355" s="1067" t="s">
        <v>258</v>
      </c>
      <c r="E355" s="1067">
        <v>306</v>
      </c>
      <c r="F355" s="1067"/>
      <c r="G355" s="1067"/>
      <c r="H355" s="1067">
        <v>56</v>
      </c>
      <c r="I355" s="1067">
        <v>214</v>
      </c>
      <c r="J355" s="1067"/>
      <c r="K355" s="1067"/>
      <c r="L355" s="1067">
        <v>36</v>
      </c>
    </row>
    <row r="356" spans="1:12" x14ac:dyDescent="0.25">
      <c r="A356" s="1067" t="s">
        <v>851</v>
      </c>
      <c r="B356" s="1067" t="s">
        <v>247</v>
      </c>
      <c r="C356" s="1067"/>
      <c r="D356" s="1067" t="s">
        <v>35</v>
      </c>
      <c r="E356" s="1067">
        <v>25</v>
      </c>
      <c r="F356" s="1067"/>
      <c r="G356" s="1067"/>
      <c r="H356" s="1067">
        <v>5</v>
      </c>
      <c r="I356" s="1067">
        <v>15</v>
      </c>
      <c r="J356" s="1067"/>
      <c r="K356" s="1067"/>
      <c r="L356" s="1067">
        <v>5</v>
      </c>
    </row>
    <row r="357" spans="1:12" x14ac:dyDescent="0.25">
      <c r="A357" s="1067" t="s">
        <v>851</v>
      </c>
      <c r="B357" s="1067" t="s">
        <v>247</v>
      </c>
      <c r="C357" s="1067"/>
      <c r="D357" s="1067" t="s">
        <v>40</v>
      </c>
      <c r="E357" s="1067">
        <v>25</v>
      </c>
      <c r="F357" s="1067"/>
      <c r="G357" s="1067"/>
      <c r="H357" s="1067">
        <v>5</v>
      </c>
      <c r="I357" s="1067">
        <v>15</v>
      </c>
      <c r="J357" s="1067"/>
      <c r="K357" s="1067"/>
      <c r="L357" s="1067">
        <v>5</v>
      </c>
    </row>
    <row r="358" spans="1:12" x14ac:dyDescent="0.25">
      <c r="A358" s="1067" t="s">
        <v>851</v>
      </c>
      <c r="B358" s="1067" t="s">
        <v>247</v>
      </c>
      <c r="C358" s="1067"/>
      <c r="D358" s="1067" t="s">
        <v>42</v>
      </c>
      <c r="E358" s="1067">
        <v>88</v>
      </c>
      <c r="F358" s="1067"/>
      <c r="G358" s="1067"/>
      <c r="H358" s="1067">
        <v>19</v>
      </c>
      <c r="I358" s="1067">
        <v>54</v>
      </c>
      <c r="J358" s="1067"/>
      <c r="K358" s="1067"/>
      <c r="L358" s="1067">
        <v>15</v>
      </c>
    </row>
    <row r="359" spans="1:12" x14ac:dyDescent="0.25">
      <c r="A359" s="1067" t="s">
        <v>851</v>
      </c>
      <c r="B359" s="1067" t="s">
        <v>247</v>
      </c>
      <c r="C359" s="1067"/>
      <c r="D359" s="1067" t="s">
        <v>43</v>
      </c>
      <c r="E359" s="1067">
        <v>269</v>
      </c>
      <c r="F359" s="1067"/>
      <c r="G359" s="1067"/>
      <c r="H359" s="1067">
        <v>51</v>
      </c>
      <c r="I359" s="1067">
        <v>192</v>
      </c>
      <c r="J359" s="1067"/>
      <c r="K359" s="1067"/>
      <c r="L359" s="1067">
        <v>26</v>
      </c>
    </row>
    <row r="360" spans="1:12" x14ac:dyDescent="0.25">
      <c r="A360" s="1067" t="s">
        <v>851</v>
      </c>
      <c r="B360" s="1067" t="s">
        <v>247</v>
      </c>
      <c r="C360" s="1067"/>
      <c r="D360" s="1067" t="s">
        <v>46</v>
      </c>
      <c r="E360" s="1067">
        <v>26</v>
      </c>
      <c r="F360" s="1067"/>
      <c r="G360" s="1067"/>
      <c r="H360" s="1067">
        <v>4</v>
      </c>
      <c r="I360" s="1067">
        <v>17</v>
      </c>
      <c r="J360" s="1067"/>
      <c r="K360" s="1067"/>
      <c r="L360" s="1067">
        <v>5</v>
      </c>
    </row>
    <row r="361" spans="1:12" x14ac:dyDescent="0.25">
      <c r="A361" s="1067" t="s">
        <v>851</v>
      </c>
      <c r="B361" s="1067" t="s">
        <v>247</v>
      </c>
      <c r="C361" s="1067"/>
      <c r="D361" s="1067" t="s">
        <v>54</v>
      </c>
      <c r="E361" s="1067">
        <v>53</v>
      </c>
      <c r="F361" s="1067"/>
      <c r="G361" s="1067"/>
      <c r="H361" s="1067">
        <v>10</v>
      </c>
      <c r="I361" s="1067">
        <v>33</v>
      </c>
      <c r="J361" s="1067"/>
      <c r="K361" s="1067"/>
      <c r="L361" s="1067">
        <v>10</v>
      </c>
    </row>
    <row r="362" spans="1:12" x14ac:dyDescent="0.25">
      <c r="A362" s="1067" t="s">
        <v>851</v>
      </c>
      <c r="B362" s="1067" t="s">
        <v>247</v>
      </c>
      <c r="C362" s="1067"/>
      <c r="D362" s="1067" t="s">
        <v>58</v>
      </c>
      <c r="E362" s="1067">
        <v>51</v>
      </c>
      <c r="F362" s="1067"/>
      <c r="G362" s="1067"/>
      <c r="H362" s="1067">
        <v>10</v>
      </c>
      <c r="I362" s="1067">
        <v>36</v>
      </c>
      <c r="J362" s="1067"/>
      <c r="K362" s="1067"/>
      <c r="L362" s="1067">
        <v>5</v>
      </c>
    </row>
    <row r="363" spans="1:12" x14ac:dyDescent="0.25">
      <c r="A363" s="1067" t="s">
        <v>851</v>
      </c>
      <c r="B363" s="1067" t="s">
        <v>247</v>
      </c>
      <c r="C363" s="1067"/>
      <c r="D363" s="1067" t="s">
        <v>60</v>
      </c>
      <c r="E363" s="1067">
        <v>57</v>
      </c>
      <c r="F363" s="1067"/>
      <c r="G363" s="1067"/>
      <c r="H363" s="1067">
        <v>10</v>
      </c>
      <c r="I363" s="1067">
        <v>37</v>
      </c>
      <c r="J363" s="1067"/>
      <c r="K363" s="1067"/>
      <c r="L363" s="1067">
        <v>10</v>
      </c>
    </row>
    <row r="364" spans="1:12" x14ac:dyDescent="0.25">
      <c r="A364" s="1067" t="s">
        <v>851</v>
      </c>
      <c r="B364" s="1067" t="s">
        <v>247</v>
      </c>
      <c r="C364" s="1067"/>
      <c r="D364" s="1067" t="s">
        <v>31</v>
      </c>
      <c r="E364" s="1067">
        <v>155</v>
      </c>
      <c r="F364" s="1067"/>
      <c r="G364" s="1067"/>
      <c r="H364" s="1067">
        <v>35</v>
      </c>
      <c r="I364" s="1067">
        <v>105</v>
      </c>
      <c r="J364" s="1067"/>
      <c r="K364" s="1067"/>
      <c r="L364" s="1067">
        <v>15</v>
      </c>
    </row>
    <row r="365" spans="1:12" x14ac:dyDescent="0.25">
      <c r="A365" s="1067" t="s">
        <v>851</v>
      </c>
      <c r="B365" s="1067" t="s">
        <v>247</v>
      </c>
      <c r="C365" s="1067"/>
      <c r="D365" s="1067" t="s">
        <v>32</v>
      </c>
      <c r="E365" s="1067">
        <v>32</v>
      </c>
      <c r="F365" s="1067"/>
      <c r="G365" s="1067"/>
      <c r="H365" s="1067">
        <v>4</v>
      </c>
      <c r="I365" s="1067">
        <v>22</v>
      </c>
      <c r="J365" s="1067"/>
      <c r="K365" s="1067"/>
      <c r="L365" s="1067">
        <v>6</v>
      </c>
    </row>
    <row r="366" spans="1:12" x14ac:dyDescent="0.25">
      <c r="A366" s="1067" t="s">
        <v>851</v>
      </c>
      <c r="B366" s="1067" t="s">
        <v>247</v>
      </c>
      <c r="C366" s="1067"/>
      <c r="D366" s="1067" t="s">
        <v>33</v>
      </c>
      <c r="E366" s="1067">
        <v>27</v>
      </c>
      <c r="F366" s="1067"/>
      <c r="G366" s="1067"/>
      <c r="H366" s="1067">
        <v>5</v>
      </c>
      <c r="I366" s="1067">
        <v>17</v>
      </c>
      <c r="J366" s="1067"/>
      <c r="K366" s="1067"/>
      <c r="L366" s="1067">
        <v>5</v>
      </c>
    </row>
    <row r="367" spans="1:12" x14ac:dyDescent="0.25">
      <c r="A367" s="1067" t="s">
        <v>851</v>
      </c>
      <c r="B367" s="1067" t="s">
        <v>247</v>
      </c>
      <c r="C367" s="1067"/>
      <c r="D367" s="1067" t="s">
        <v>37</v>
      </c>
      <c r="E367" s="1067">
        <v>182</v>
      </c>
      <c r="F367" s="1067"/>
      <c r="G367" s="1067"/>
      <c r="H367" s="1067">
        <v>36</v>
      </c>
      <c r="I367" s="1067">
        <v>126</v>
      </c>
      <c r="J367" s="1067"/>
      <c r="K367" s="1067"/>
      <c r="L367" s="1067">
        <v>20</v>
      </c>
    </row>
    <row r="368" spans="1:12" x14ac:dyDescent="0.25">
      <c r="A368" s="1067" t="s">
        <v>851</v>
      </c>
      <c r="B368" s="1067" t="s">
        <v>247</v>
      </c>
      <c r="C368" s="1067"/>
      <c r="D368" s="1067" t="s">
        <v>44</v>
      </c>
      <c r="E368" s="1067">
        <v>71</v>
      </c>
      <c r="F368" s="1067"/>
      <c r="G368" s="1067"/>
      <c r="H368" s="1067">
        <v>14</v>
      </c>
      <c r="I368" s="1067">
        <v>52</v>
      </c>
      <c r="J368" s="1067"/>
      <c r="K368" s="1067"/>
      <c r="L368" s="1067">
        <v>5</v>
      </c>
    </row>
    <row r="369" spans="1:12" x14ac:dyDescent="0.25">
      <c r="A369" s="1067" t="s">
        <v>851</v>
      </c>
      <c r="B369" s="1067" t="s">
        <v>247</v>
      </c>
      <c r="C369" s="1067"/>
      <c r="D369" s="1067" t="s">
        <v>47</v>
      </c>
      <c r="E369" s="1067">
        <v>30</v>
      </c>
      <c r="F369" s="1067"/>
      <c r="G369" s="1067"/>
      <c r="H369" s="1067">
        <v>5</v>
      </c>
      <c r="I369" s="1067">
        <v>20</v>
      </c>
      <c r="J369" s="1067"/>
      <c r="K369" s="1067"/>
      <c r="L369" s="1067">
        <v>5</v>
      </c>
    </row>
    <row r="370" spans="1:12" x14ac:dyDescent="0.25">
      <c r="A370" s="1067" t="s">
        <v>851</v>
      </c>
      <c r="B370" s="1067" t="s">
        <v>247</v>
      </c>
      <c r="C370" s="1067"/>
      <c r="D370" s="1067" t="s">
        <v>52</v>
      </c>
      <c r="E370" s="1067">
        <v>67</v>
      </c>
      <c r="F370" s="1067"/>
      <c r="G370" s="1067"/>
      <c r="H370" s="1067">
        <v>10</v>
      </c>
      <c r="I370" s="1067">
        <v>52</v>
      </c>
      <c r="J370" s="1067"/>
      <c r="K370" s="1067"/>
      <c r="L370" s="1067">
        <v>5</v>
      </c>
    </row>
    <row r="371" spans="1:12" x14ac:dyDescent="0.25">
      <c r="A371" s="1067" t="s">
        <v>851</v>
      </c>
      <c r="B371" s="1067" t="s">
        <v>248</v>
      </c>
      <c r="C371" s="1067"/>
      <c r="D371" s="1067" t="s">
        <v>281</v>
      </c>
      <c r="E371" s="1067">
        <v>382</v>
      </c>
      <c r="F371" s="1067">
        <v>16</v>
      </c>
      <c r="G371" s="1067"/>
      <c r="H371" s="1067">
        <v>58</v>
      </c>
      <c r="I371" s="1067">
        <v>27</v>
      </c>
      <c r="J371" s="1067">
        <v>50</v>
      </c>
      <c r="K371" s="1067">
        <v>118</v>
      </c>
      <c r="L371" s="1067">
        <v>113</v>
      </c>
    </row>
    <row r="372" spans="1:12" x14ac:dyDescent="0.25">
      <c r="A372" s="1067" t="s">
        <v>851</v>
      </c>
      <c r="B372" s="1067" t="s">
        <v>248</v>
      </c>
      <c r="C372" s="1067"/>
      <c r="D372" s="1067" t="s">
        <v>853</v>
      </c>
      <c r="E372" s="1067">
        <v>38</v>
      </c>
      <c r="F372" s="1067">
        <v>1</v>
      </c>
      <c r="G372" s="1067"/>
      <c r="H372" s="1067">
        <v>6</v>
      </c>
      <c r="I372" s="1067">
        <v>4</v>
      </c>
      <c r="J372" s="1067">
        <v>4</v>
      </c>
      <c r="K372" s="1067">
        <v>12</v>
      </c>
      <c r="L372" s="1067">
        <v>11</v>
      </c>
    </row>
    <row r="373" spans="1:12" x14ac:dyDescent="0.25">
      <c r="A373" s="1067" t="s">
        <v>851</v>
      </c>
      <c r="B373" s="1067" t="s">
        <v>248</v>
      </c>
      <c r="C373" s="1067"/>
      <c r="D373" s="1067" t="s">
        <v>64</v>
      </c>
      <c r="E373" s="1067">
        <v>28</v>
      </c>
      <c r="F373" s="1067">
        <v>1</v>
      </c>
      <c r="G373" s="1067"/>
      <c r="H373" s="1067">
        <v>7</v>
      </c>
      <c r="I373" s="1067">
        <v>2</v>
      </c>
      <c r="J373" s="1067">
        <v>3</v>
      </c>
      <c r="K373" s="1067">
        <v>8</v>
      </c>
      <c r="L373" s="1067">
        <v>7</v>
      </c>
    </row>
    <row r="374" spans="1:12" x14ac:dyDescent="0.25">
      <c r="A374" s="1067" t="s">
        <v>851</v>
      </c>
      <c r="B374" s="1067" t="s">
        <v>248</v>
      </c>
      <c r="C374" s="1067"/>
      <c r="D374" s="1067" t="s">
        <v>36</v>
      </c>
      <c r="E374" s="1067">
        <v>22</v>
      </c>
      <c r="F374" s="1067">
        <v>1</v>
      </c>
      <c r="G374" s="1067"/>
      <c r="H374" s="1067">
        <v>3</v>
      </c>
      <c r="I374" s="1067">
        <v>2</v>
      </c>
      <c r="J374" s="1067">
        <v>2</v>
      </c>
      <c r="K374" s="1067">
        <v>6</v>
      </c>
      <c r="L374" s="1067">
        <v>8</v>
      </c>
    </row>
    <row r="375" spans="1:12" x14ac:dyDescent="0.25">
      <c r="A375" s="1067" t="s">
        <v>851</v>
      </c>
      <c r="B375" s="1067" t="s">
        <v>248</v>
      </c>
      <c r="C375" s="1067"/>
      <c r="D375" s="1067" t="s">
        <v>66</v>
      </c>
      <c r="E375" s="1067">
        <v>28</v>
      </c>
      <c r="F375" s="1067">
        <v>1</v>
      </c>
      <c r="G375" s="1067"/>
      <c r="H375" s="1067">
        <v>5</v>
      </c>
      <c r="I375" s="1067">
        <v>1</v>
      </c>
      <c r="J375" s="1067">
        <v>3</v>
      </c>
      <c r="K375" s="1067">
        <v>10</v>
      </c>
      <c r="L375" s="1067">
        <v>8</v>
      </c>
    </row>
    <row r="376" spans="1:12" x14ac:dyDescent="0.25">
      <c r="A376" s="1067" t="s">
        <v>851</v>
      </c>
      <c r="B376" s="1067" t="s">
        <v>248</v>
      </c>
      <c r="C376" s="1067"/>
      <c r="D376" s="1067" t="s">
        <v>68</v>
      </c>
      <c r="E376" s="1067">
        <v>13</v>
      </c>
      <c r="F376" s="1067">
        <v>1</v>
      </c>
      <c r="G376" s="1067"/>
      <c r="H376" s="1067"/>
      <c r="I376" s="1067">
        <v>1</v>
      </c>
      <c r="J376" s="1067">
        <v>4</v>
      </c>
      <c r="K376" s="1067">
        <v>4</v>
      </c>
      <c r="L376" s="1067">
        <v>3</v>
      </c>
    </row>
    <row r="377" spans="1:12" x14ac:dyDescent="0.25">
      <c r="A377" s="1067" t="s">
        <v>851</v>
      </c>
      <c r="B377" s="1067" t="s">
        <v>248</v>
      </c>
      <c r="C377" s="1067"/>
      <c r="D377" s="1067" t="s">
        <v>121</v>
      </c>
      <c r="E377" s="1067">
        <v>25</v>
      </c>
      <c r="F377" s="1067">
        <v>1</v>
      </c>
      <c r="G377" s="1067"/>
      <c r="H377" s="1067">
        <v>2</v>
      </c>
      <c r="I377" s="1067">
        <v>2</v>
      </c>
      <c r="J377" s="1067">
        <v>5</v>
      </c>
      <c r="K377" s="1067">
        <v>10</v>
      </c>
      <c r="L377" s="1067">
        <v>5</v>
      </c>
    </row>
    <row r="378" spans="1:12" x14ac:dyDescent="0.25">
      <c r="A378" s="1067" t="s">
        <v>851</v>
      </c>
      <c r="B378" s="1067" t="s">
        <v>248</v>
      </c>
      <c r="C378" s="1067"/>
      <c r="D378" s="1067" t="s">
        <v>50</v>
      </c>
      <c r="E378" s="1067">
        <v>16</v>
      </c>
      <c r="F378" s="1067">
        <v>1</v>
      </c>
      <c r="G378" s="1067"/>
      <c r="H378" s="1067">
        <v>2</v>
      </c>
      <c r="I378" s="1067">
        <v>1</v>
      </c>
      <c r="J378" s="1067">
        <v>2</v>
      </c>
      <c r="K378" s="1067">
        <v>5</v>
      </c>
      <c r="L378" s="1067">
        <v>5</v>
      </c>
    </row>
    <row r="379" spans="1:12" x14ac:dyDescent="0.25">
      <c r="A379" s="1067" t="s">
        <v>851</v>
      </c>
      <c r="B379" s="1067" t="s">
        <v>248</v>
      </c>
      <c r="C379" s="1067"/>
      <c r="D379" s="1067" t="s">
        <v>57</v>
      </c>
      <c r="E379" s="1067">
        <v>16</v>
      </c>
      <c r="F379" s="1067">
        <v>1</v>
      </c>
      <c r="G379" s="1067"/>
      <c r="H379" s="1067">
        <v>3</v>
      </c>
      <c r="I379" s="1067"/>
      <c r="J379" s="1067">
        <v>2</v>
      </c>
      <c r="K379" s="1067">
        <v>6</v>
      </c>
      <c r="L379" s="1067">
        <v>4</v>
      </c>
    </row>
    <row r="380" spans="1:12" x14ac:dyDescent="0.25">
      <c r="A380" s="1067" t="s">
        <v>851</v>
      </c>
      <c r="B380" s="1067" t="s">
        <v>248</v>
      </c>
      <c r="C380" s="1067"/>
      <c r="D380" s="1067" t="s">
        <v>67</v>
      </c>
      <c r="E380" s="1067">
        <v>29</v>
      </c>
      <c r="F380" s="1067">
        <v>1</v>
      </c>
      <c r="G380" s="1067"/>
      <c r="H380" s="1067">
        <v>5</v>
      </c>
      <c r="I380" s="1067">
        <v>4</v>
      </c>
      <c r="J380" s="1067">
        <v>3</v>
      </c>
      <c r="K380" s="1067">
        <v>7</v>
      </c>
      <c r="L380" s="1067">
        <v>9</v>
      </c>
    </row>
    <row r="381" spans="1:12" x14ac:dyDescent="0.25">
      <c r="A381" s="1067" t="s">
        <v>851</v>
      </c>
      <c r="B381" s="1067" t="s">
        <v>248</v>
      </c>
      <c r="C381" s="1067"/>
      <c r="D381" s="1067" t="s">
        <v>175</v>
      </c>
      <c r="E381" s="1067">
        <v>28</v>
      </c>
      <c r="F381" s="1067">
        <v>1</v>
      </c>
      <c r="G381" s="1067"/>
      <c r="H381" s="1067">
        <v>4</v>
      </c>
      <c r="I381" s="1067">
        <v>4</v>
      </c>
      <c r="J381" s="1067">
        <v>4</v>
      </c>
      <c r="K381" s="1067">
        <v>5</v>
      </c>
      <c r="L381" s="1067">
        <v>10</v>
      </c>
    </row>
    <row r="382" spans="1:12" x14ac:dyDescent="0.25">
      <c r="A382" s="1067" t="s">
        <v>851</v>
      </c>
      <c r="B382" s="1067" t="s">
        <v>248</v>
      </c>
      <c r="C382" s="1067"/>
      <c r="D382" s="1067" t="s">
        <v>69</v>
      </c>
      <c r="E382" s="1067">
        <v>19</v>
      </c>
      <c r="F382" s="1067">
        <v>1</v>
      </c>
      <c r="G382" s="1067"/>
      <c r="H382" s="1067">
        <v>2</v>
      </c>
      <c r="I382" s="1067">
        <v>2</v>
      </c>
      <c r="J382" s="1067">
        <v>2</v>
      </c>
      <c r="K382" s="1067">
        <v>6</v>
      </c>
      <c r="L382" s="1067">
        <v>6</v>
      </c>
    </row>
    <row r="383" spans="1:12" x14ac:dyDescent="0.25">
      <c r="A383" s="1067" t="s">
        <v>851</v>
      </c>
      <c r="B383" s="1067" t="s">
        <v>248</v>
      </c>
      <c r="C383" s="1067"/>
      <c r="D383" s="1067" t="s">
        <v>31</v>
      </c>
      <c r="E383" s="1067">
        <v>13</v>
      </c>
      <c r="F383" s="1067">
        <v>1</v>
      </c>
      <c r="G383" s="1067"/>
      <c r="H383" s="1067">
        <v>2</v>
      </c>
      <c r="I383" s="1067">
        <v>1</v>
      </c>
      <c r="J383" s="1067">
        <v>2</v>
      </c>
      <c r="K383" s="1067">
        <v>3</v>
      </c>
      <c r="L383" s="1067">
        <v>4</v>
      </c>
    </row>
    <row r="384" spans="1:12" x14ac:dyDescent="0.25">
      <c r="A384" s="1067" t="s">
        <v>851</v>
      </c>
      <c r="B384" s="1067" t="s">
        <v>248</v>
      </c>
      <c r="C384" s="1067"/>
      <c r="D384" s="1067" t="s">
        <v>63</v>
      </c>
      <c r="E384" s="1067">
        <v>25</v>
      </c>
      <c r="F384" s="1067">
        <v>1</v>
      </c>
      <c r="G384" s="1067"/>
      <c r="H384" s="1067">
        <v>4</v>
      </c>
      <c r="I384" s="1067">
        <v>1</v>
      </c>
      <c r="J384" s="1067">
        <v>3</v>
      </c>
      <c r="K384" s="1067">
        <v>9</v>
      </c>
      <c r="L384" s="1067">
        <v>7</v>
      </c>
    </row>
    <row r="385" spans="1:12" x14ac:dyDescent="0.25">
      <c r="A385" s="1067" t="s">
        <v>851</v>
      </c>
      <c r="B385" s="1067" t="s">
        <v>248</v>
      </c>
      <c r="C385" s="1067"/>
      <c r="D385" s="1067" t="s">
        <v>65</v>
      </c>
      <c r="E385" s="1067">
        <v>31</v>
      </c>
      <c r="F385" s="1067">
        <v>1</v>
      </c>
      <c r="G385" s="1067"/>
      <c r="H385" s="1067">
        <v>4</v>
      </c>
      <c r="I385" s="1067">
        <v>2</v>
      </c>
      <c r="J385" s="1067">
        <v>4</v>
      </c>
      <c r="K385" s="1067">
        <v>9</v>
      </c>
      <c r="L385" s="1067">
        <v>11</v>
      </c>
    </row>
    <row r="386" spans="1:12" x14ac:dyDescent="0.25">
      <c r="A386" s="1067" t="s">
        <v>851</v>
      </c>
      <c r="B386" s="1067" t="s">
        <v>248</v>
      </c>
      <c r="C386" s="1067"/>
      <c r="D386" s="1067" t="s">
        <v>70</v>
      </c>
      <c r="E386" s="1067">
        <v>38</v>
      </c>
      <c r="F386" s="1067">
        <v>1</v>
      </c>
      <c r="G386" s="1067"/>
      <c r="H386" s="1067">
        <v>8</v>
      </c>
      <c r="I386" s="1067">
        <v>1</v>
      </c>
      <c r="J386" s="1067">
        <v>4</v>
      </c>
      <c r="K386" s="1067">
        <v>13</v>
      </c>
      <c r="L386" s="1067">
        <v>11</v>
      </c>
    </row>
    <row r="387" spans="1:12" x14ac:dyDescent="0.25">
      <c r="A387" s="1067" t="s">
        <v>851</v>
      </c>
      <c r="B387" s="1067" t="s">
        <v>248</v>
      </c>
      <c r="C387" s="1067"/>
      <c r="D387" s="1067" t="s">
        <v>71</v>
      </c>
      <c r="E387" s="1067">
        <v>14</v>
      </c>
      <c r="F387" s="1067">
        <v>1</v>
      </c>
      <c r="G387" s="1067"/>
      <c r="H387" s="1067">
        <v>1</v>
      </c>
      <c r="I387" s="1067"/>
      <c r="J387" s="1067">
        <v>3</v>
      </c>
      <c r="K387" s="1067">
        <v>5</v>
      </c>
      <c r="L387" s="1067">
        <v>4</v>
      </c>
    </row>
    <row r="388" spans="1:12" x14ac:dyDescent="0.25">
      <c r="A388" s="1067" t="s">
        <v>851</v>
      </c>
      <c r="B388" s="1067" t="s">
        <v>249</v>
      </c>
      <c r="C388" s="1067"/>
      <c r="D388" s="1067" t="s">
        <v>281</v>
      </c>
      <c r="E388" s="1067">
        <v>197</v>
      </c>
      <c r="F388" s="1067">
        <v>6</v>
      </c>
      <c r="G388" s="1067"/>
      <c r="H388" s="1067">
        <v>33</v>
      </c>
      <c r="I388" s="1067"/>
      <c r="J388" s="1067">
        <v>17</v>
      </c>
      <c r="K388" s="1067">
        <v>29</v>
      </c>
      <c r="L388" s="1067">
        <v>112</v>
      </c>
    </row>
    <row r="389" spans="1:12" x14ac:dyDescent="0.25">
      <c r="A389" s="1067" t="s">
        <v>851</v>
      </c>
      <c r="B389" s="1067" t="s">
        <v>249</v>
      </c>
      <c r="C389" s="1067"/>
      <c r="D389" s="1067" t="s">
        <v>173</v>
      </c>
      <c r="E389" s="1067">
        <v>103</v>
      </c>
      <c r="F389" s="1067">
        <v>3</v>
      </c>
      <c r="G389" s="1067"/>
      <c r="H389" s="1067">
        <v>21</v>
      </c>
      <c r="I389" s="1067"/>
      <c r="J389" s="1067">
        <v>10</v>
      </c>
      <c r="K389" s="1067">
        <v>14</v>
      </c>
      <c r="L389" s="1067">
        <v>55</v>
      </c>
    </row>
    <row r="390" spans="1:12" x14ac:dyDescent="0.25">
      <c r="A390" s="1067" t="s">
        <v>851</v>
      </c>
      <c r="B390" s="1067" t="s">
        <v>249</v>
      </c>
      <c r="C390" s="1067"/>
      <c r="D390" s="1067" t="s">
        <v>174</v>
      </c>
      <c r="E390" s="1067">
        <v>52</v>
      </c>
      <c r="F390" s="1067">
        <v>1</v>
      </c>
      <c r="G390" s="1067"/>
      <c r="H390" s="1067">
        <v>6</v>
      </c>
      <c r="I390" s="1067"/>
      <c r="J390" s="1067">
        <v>4</v>
      </c>
      <c r="K390" s="1067">
        <v>8</v>
      </c>
      <c r="L390" s="1067">
        <v>33</v>
      </c>
    </row>
    <row r="391" spans="1:12" x14ac:dyDescent="0.25">
      <c r="A391" s="1067" t="s">
        <v>851</v>
      </c>
      <c r="B391" s="1067" t="s">
        <v>249</v>
      </c>
      <c r="C391" s="1067"/>
      <c r="D391" s="1067" t="s">
        <v>172</v>
      </c>
      <c r="E391" s="1067">
        <v>42</v>
      </c>
      <c r="F391" s="1067">
        <v>2</v>
      </c>
      <c r="G391" s="1067"/>
      <c r="H391" s="1067">
        <v>6</v>
      </c>
      <c r="I391" s="1067"/>
      <c r="J391" s="1067">
        <v>3</v>
      </c>
      <c r="K391" s="1067">
        <v>7</v>
      </c>
      <c r="L391" s="1067">
        <v>24</v>
      </c>
    </row>
    <row r="392" spans="1:12" x14ac:dyDescent="0.25">
      <c r="A392" s="1067" t="s">
        <v>851</v>
      </c>
      <c r="B392" s="1067" t="s">
        <v>250</v>
      </c>
      <c r="C392" s="1067"/>
      <c r="D392" s="1067" t="s">
        <v>259</v>
      </c>
      <c r="E392" s="1067">
        <v>90</v>
      </c>
      <c r="F392" s="1067">
        <v>9</v>
      </c>
      <c r="G392" s="1067">
        <v>6</v>
      </c>
      <c r="H392" s="1067"/>
      <c r="I392" s="1067">
        <v>49</v>
      </c>
      <c r="J392" s="1067">
        <v>13</v>
      </c>
      <c r="K392" s="1067">
        <v>6</v>
      </c>
      <c r="L392" s="1067">
        <v>7</v>
      </c>
    </row>
    <row r="393" spans="1:12" x14ac:dyDescent="0.25">
      <c r="A393" s="1067" t="s">
        <v>851</v>
      </c>
      <c r="B393" s="1067" t="s">
        <v>26</v>
      </c>
      <c r="C393" s="1067"/>
      <c r="D393" s="1067" t="s">
        <v>259</v>
      </c>
      <c r="E393" s="1067">
        <v>3634</v>
      </c>
      <c r="F393" s="1067">
        <v>31</v>
      </c>
      <c r="G393" s="1067">
        <v>6</v>
      </c>
      <c r="H393" s="1067">
        <v>688</v>
      </c>
      <c r="I393" s="1067">
        <v>2068</v>
      </c>
      <c r="J393" s="1067">
        <v>80</v>
      </c>
      <c r="K393" s="1067">
        <v>153</v>
      </c>
      <c r="L393" s="1067">
        <v>608</v>
      </c>
    </row>
  </sheetData>
  <sheetProtection algorithmName="SHA-512" hashValue="3+Q5zK7CbftnY82CyPZ2uln8ewfU7UTVpiH1+hF2KoyIUOi+XZgSrPRJt0CeFPCNqwunOZXsvTPegmUEdZLUvA==" saltValue="WNb0QUkhW403DMtmd1tPe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6"/>
  <sheetViews>
    <sheetView zoomScale="85" zoomScaleNormal="85" workbookViewId="0">
      <pane ySplit="4" topLeftCell="A5" activePane="bottomLeft" state="frozen"/>
      <selection pane="bottomLeft"/>
    </sheetView>
  </sheetViews>
  <sheetFormatPr defaultRowHeight="15" x14ac:dyDescent="0.25"/>
  <sheetData>
    <row r="1" spans="1:8" ht="15.75" x14ac:dyDescent="0.25">
      <c r="A1" s="981" t="s">
        <v>1199</v>
      </c>
    </row>
    <row r="2" spans="1:8" x14ac:dyDescent="0.25">
      <c r="A2" s="1139">
        <v>44071</v>
      </c>
      <c r="B2" s="1140"/>
    </row>
    <row r="4" spans="1:8" x14ac:dyDescent="0.25">
      <c r="A4" s="1066" t="s">
        <v>270</v>
      </c>
      <c r="B4" s="1066" t="s">
        <v>1082</v>
      </c>
      <c r="C4" s="1066" t="s">
        <v>257</v>
      </c>
      <c r="D4" s="1066" t="s">
        <v>1083</v>
      </c>
      <c r="E4" s="1066" t="s">
        <v>26</v>
      </c>
      <c r="F4" s="1066" t="s">
        <v>21</v>
      </c>
      <c r="G4" s="1066" t="s">
        <v>22</v>
      </c>
      <c r="H4" s="1066" t="s">
        <v>23</v>
      </c>
    </row>
    <row r="5" spans="1:8" x14ac:dyDescent="0.25">
      <c r="A5" s="1067" t="s">
        <v>204</v>
      </c>
      <c r="B5" s="1067" t="s">
        <v>247</v>
      </c>
      <c r="C5" s="1067"/>
      <c r="D5" s="1067" t="s">
        <v>281</v>
      </c>
      <c r="E5" s="1067">
        <v>2665.13</v>
      </c>
      <c r="F5" s="1067">
        <v>262.12</v>
      </c>
      <c r="G5" s="1067">
        <v>489.46</v>
      </c>
      <c r="H5" s="1067">
        <v>1913.55</v>
      </c>
    </row>
    <row r="6" spans="1:8" x14ac:dyDescent="0.25">
      <c r="A6" s="1067" t="s">
        <v>204</v>
      </c>
      <c r="B6" s="1067" t="s">
        <v>247</v>
      </c>
      <c r="C6" s="1067"/>
      <c r="D6" s="1067" t="s">
        <v>35</v>
      </c>
      <c r="E6" s="1067">
        <v>16.71</v>
      </c>
      <c r="F6" s="1067">
        <v>1.52</v>
      </c>
      <c r="G6" s="1067">
        <v>3.29</v>
      </c>
      <c r="H6" s="1067">
        <v>11.9</v>
      </c>
    </row>
    <row r="7" spans="1:8" x14ac:dyDescent="0.25">
      <c r="A7" s="1067" t="s">
        <v>204</v>
      </c>
      <c r="B7" s="1067" t="s">
        <v>247</v>
      </c>
      <c r="C7" s="1067"/>
      <c r="D7" s="1067" t="s">
        <v>36</v>
      </c>
      <c r="E7" s="1067">
        <v>177.25</v>
      </c>
      <c r="F7" s="1067">
        <v>15.25</v>
      </c>
      <c r="G7" s="1067">
        <v>31.25</v>
      </c>
      <c r="H7" s="1067">
        <v>130.75</v>
      </c>
    </row>
    <row r="8" spans="1:8" x14ac:dyDescent="0.25">
      <c r="A8" s="1067" t="s">
        <v>204</v>
      </c>
      <c r="B8" s="1067" t="s">
        <v>247</v>
      </c>
      <c r="C8" s="1067"/>
      <c r="D8" s="1067" t="s">
        <v>38</v>
      </c>
      <c r="E8" s="1067">
        <v>66.86</v>
      </c>
      <c r="F8" s="1067">
        <v>8.25</v>
      </c>
      <c r="G8" s="1067">
        <v>8.5</v>
      </c>
      <c r="H8" s="1067">
        <v>50.11</v>
      </c>
    </row>
    <row r="9" spans="1:8" x14ac:dyDescent="0.25">
      <c r="A9" s="1067" t="s">
        <v>204</v>
      </c>
      <c r="B9" s="1067" t="s">
        <v>247</v>
      </c>
      <c r="C9" s="1067"/>
      <c r="D9" s="1067" t="s">
        <v>40</v>
      </c>
      <c r="E9" s="1067">
        <v>46.75</v>
      </c>
      <c r="F9" s="1067">
        <v>5</v>
      </c>
      <c r="G9" s="1067">
        <v>8.75</v>
      </c>
      <c r="H9" s="1067">
        <v>33</v>
      </c>
    </row>
    <row r="10" spans="1:8" x14ac:dyDescent="0.25">
      <c r="A10" s="1067" t="s">
        <v>204</v>
      </c>
      <c r="B10" s="1067" t="s">
        <v>247</v>
      </c>
      <c r="C10" s="1067"/>
      <c r="D10" s="1067" t="s">
        <v>41</v>
      </c>
      <c r="E10" s="1067"/>
      <c r="F10" s="1067"/>
      <c r="G10" s="1067"/>
      <c r="H10" s="1067"/>
    </row>
    <row r="11" spans="1:8" x14ac:dyDescent="0.25">
      <c r="A11" s="1067" t="s">
        <v>204</v>
      </c>
      <c r="B11" s="1067" t="s">
        <v>247</v>
      </c>
      <c r="C11" s="1067"/>
      <c r="D11" s="1067" t="s">
        <v>48</v>
      </c>
      <c r="E11" s="1067">
        <v>124</v>
      </c>
      <c r="F11" s="1067">
        <v>12.5</v>
      </c>
      <c r="G11" s="1067">
        <v>24</v>
      </c>
      <c r="H11" s="1067">
        <v>87.5</v>
      </c>
    </row>
    <row r="12" spans="1:8" x14ac:dyDescent="0.25">
      <c r="A12" s="1067" t="s">
        <v>204</v>
      </c>
      <c r="B12" s="1067" t="s">
        <v>247</v>
      </c>
      <c r="C12" s="1067"/>
      <c r="D12" s="1067" t="s">
        <v>42</v>
      </c>
      <c r="E12" s="1067">
        <v>49.69</v>
      </c>
      <c r="F12" s="1067">
        <v>3.81</v>
      </c>
      <c r="G12" s="1067">
        <v>7.6</v>
      </c>
      <c r="H12" s="1067">
        <v>38.28</v>
      </c>
    </row>
    <row r="13" spans="1:8" x14ac:dyDescent="0.25">
      <c r="A13" s="1067" t="s">
        <v>204</v>
      </c>
      <c r="B13" s="1067" t="s">
        <v>247</v>
      </c>
      <c r="C13" s="1067"/>
      <c r="D13" s="1067" t="s">
        <v>44</v>
      </c>
      <c r="E13" s="1067">
        <v>525.5</v>
      </c>
      <c r="F13" s="1067">
        <v>52.25</v>
      </c>
      <c r="G13" s="1067">
        <v>108.25</v>
      </c>
      <c r="H13" s="1067">
        <v>365</v>
      </c>
    </row>
    <row r="14" spans="1:8" x14ac:dyDescent="0.25">
      <c r="A14" s="1067" t="s">
        <v>204</v>
      </c>
      <c r="B14" s="1067" t="s">
        <v>247</v>
      </c>
      <c r="C14" s="1067"/>
      <c r="D14" s="1067" t="s">
        <v>45</v>
      </c>
      <c r="E14" s="1067">
        <v>35.5</v>
      </c>
      <c r="F14" s="1067">
        <v>3</v>
      </c>
      <c r="G14" s="1067">
        <v>3.75</v>
      </c>
      <c r="H14" s="1067">
        <v>28.75</v>
      </c>
    </row>
    <row r="15" spans="1:8" x14ac:dyDescent="0.25">
      <c r="A15" s="1067" t="s">
        <v>204</v>
      </c>
      <c r="B15" s="1067" t="s">
        <v>247</v>
      </c>
      <c r="C15" s="1067"/>
      <c r="D15" s="1067" t="s">
        <v>46</v>
      </c>
      <c r="E15" s="1067">
        <v>8.75</v>
      </c>
      <c r="F15" s="1067">
        <v>1</v>
      </c>
      <c r="G15" s="1067">
        <v>1.75</v>
      </c>
      <c r="H15" s="1067">
        <v>6</v>
      </c>
    </row>
    <row r="16" spans="1:8" x14ac:dyDescent="0.25">
      <c r="A16" s="1067" t="s">
        <v>204</v>
      </c>
      <c r="B16" s="1067" t="s">
        <v>247</v>
      </c>
      <c r="C16" s="1067"/>
      <c r="D16" s="1067" t="s">
        <v>47</v>
      </c>
      <c r="E16" s="1067">
        <v>95.38</v>
      </c>
      <c r="F16" s="1067">
        <v>8</v>
      </c>
      <c r="G16" s="1067">
        <v>19.5</v>
      </c>
      <c r="H16" s="1067">
        <v>67.88</v>
      </c>
    </row>
    <row r="17" spans="1:8" x14ac:dyDescent="0.25">
      <c r="A17" s="1067" t="s">
        <v>204</v>
      </c>
      <c r="B17" s="1067" t="s">
        <v>247</v>
      </c>
      <c r="C17" s="1067"/>
      <c r="D17" s="1067" t="s">
        <v>49</v>
      </c>
      <c r="E17" s="1067">
        <v>86.25</v>
      </c>
      <c r="F17" s="1067">
        <v>8.5</v>
      </c>
      <c r="G17" s="1067">
        <v>14</v>
      </c>
      <c r="H17" s="1067">
        <v>63.75</v>
      </c>
    </row>
    <row r="18" spans="1:8" x14ac:dyDescent="0.25">
      <c r="A18" s="1067" t="s">
        <v>204</v>
      </c>
      <c r="B18" s="1067" t="s">
        <v>247</v>
      </c>
      <c r="C18" s="1067"/>
      <c r="D18" s="1067" t="s">
        <v>51</v>
      </c>
      <c r="E18" s="1067">
        <v>111</v>
      </c>
      <c r="F18" s="1067">
        <v>12</v>
      </c>
      <c r="G18" s="1067">
        <v>21.25</v>
      </c>
      <c r="H18" s="1067">
        <v>77.75</v>
      </c>
    </row>
    <row r="19" spans="1:8" x14ac:dyDescent="0.25">
      <c r="A19" s="1067" t="s">
        <v>204</v>
      </c>
      <c r="B19" s="1067" t="s">
        <v>247</v>
      </c>
      <c r="C19" s="1067"/>
      <c r="D19" s="1067" t="s">
        <v>52</v>
      </c>
      <c r="E19" s="1067">
        <v>128</v>
      </c>
      <c r="F19" s="1067">
        <v>9.5</v>
      </c>
      <c r="G19" s="1067">
        <v>24</v>
      </c>
      <c r="H19" s="1067">
        <v>94.5</v>
      </c>
    </row>
    <row r="20" spans="1:8" x14ac:dyDescent="0.25">
      <c r="A20" s="1067" t="s">
        <v>204</v>
      </c>
      <c r="B20" s="1067" t="s">
        <v>247</v>
      </c>
      <c r="C20" s="1067"/>
      <c r="D20" s="1067" t="s">
        <v>54</v>
      </c>
      <c r="E20" s="1067">
        <v>119.5</v>
      </c>
      <c r="F20" s="1067">
        <v>12.5</v>
      </c>
      <c r="G20" s="1067">
        <v>22</v>
      </c>
      <c r="H20" s="1067">
        <v>85</v>
      </c>
    </row>
    <row r="21" spans="1:8" x14ac:dyDescent="0.25">
      <c r="A21" s="1067" t="s">
        <v>204</v>
      </c>
      <c r="B21" s="1067" t="s">
        <v>247</v>
      </c>
      <c r="C21" s="1067"/>
      <c r="D21" s="1067" t="s">
        <v>55</v>
      </c>
      <c r="E21" s="1067">
        <v>126</v>
      </c>
      <c r="F21" s="1067">
        <v>12.25</v>
      </c>
      <c r="G21" s="1067">
        <v>28.25</v>
      </c>
      <c r="H21" s="1067">
        <v>85.5</v>
      </c>
    </row>
    <row r="22" spans="1:8" x14ac:dyDescent="0.25">
      <c r="A22" s="1067" t="s">
        <v>204</v>
      </c>
      <c r="B22" s="1067" t="s">
        <v>247</v>
      </c>
      <c r="C22" s="1067"/>
      <c r="D22" s="1067" t="s">
        <v>56</v>
      </c>
      <c r="E22" s="1067">
        <v>49.25</v>
      </c>
      <c r="F22" s="1067">
        <v>5</v>
      </c>
      <c r="G22" s="1067">
        <v>8.25</v>
      </c>
      <c r="H22" s="1067">
        <v>36</v>
      </c>
    </row>
    <row r="23" spans="1:8" x14ac:dyDescent="0.25">
      <c r="A23" s="1067" t="s">
        <v>204</v>
      </c>
      <c r="B23" s="1067" t="s">
        <v>247</v>
      </c>
      <c r="C23" s="1067"/>
      <c r="D23" s="1067" t="s">
        <v>57</v>
      </c>
      <c r="E23" s="1067">
        <v>79.25</v>
      </c>
      <c r="F23" s="1067">
        <v>8.75</v>
      </c>
      <c r="G23" s="1067">
        <v>8</v>
      </c>
      <c r="H23" s="1067">
        <v>62.5</v>
      </c>
    </row>
    <row r="24" spans="1:8" x14ac:dyDescent="0.25">
      <c r="A24" s="1067" t="s">
        <v>204</v>
      </c>
      <c r="B24" s="1067" t="s">
        <v>247</v>
      </c>
      <c r="C24" s="1067"/>
      <c r="D24" s="1067" t="s">
        <v>58</v>
      </c>
      <c r="E24" s="1067">
        <v>58.03</v>
      </c>
      <c r="F24" s="1067">
        <v>7.33</v>
      </c>
      <c r="G24" s="1067">
        <v>11.9</v>
      </c>
      <c r="H24" s="1067">
        <v>38.799999999999997</v>
      </c>
    </row>
    <row r="25" spans="1:8" x14ac:dyDescent="0.25">
      <c r="A25" s="1067" t="s">
        <v>204</v>
      </c>
      <c r="B25" s="1067" t="s">
        <v>247</v>
      </c>
      <c r="C25" s="1067"/>
      <c r="D25" s="1067" t="s">
        <v>31</v>
      </c>
      <c r="E25" s="1067">
        <v>6.5</v>
      </c>
      <c r="F25" s="1067">
        <v>1</v>
      </c>
      <c r="G25" s="1067">
        <v>1.75</v>
      </c>
      <c r="H25" s="1067">
        <v>3.75</v>
      </c>
    </row>
    <row r="26" spans="1:8" x14ac:dyDescent="0.25">
      <c r="A26" s="1067" t="s">
        <v>204</v>
      </c>
      <c r="B26" s="1067" t="s">
        <v>247</v>
      </c>
      <c r="C26" s="1067"/>
      <c r="D26" s="1067" t="s">
        <v>32</v>
      </c>
      <c r="E26" s="1067">
        <v>269.71000000000004</v>
      </c>
      <c r="F26" s="1067">
        <v>27.46</v>
      </c>
      <c r="G26" s="1067">
        <v>57.67</v>
      </c>
      <c r="H26" s="1067">
        <v>184.58</v>
      </c>
    </row>
    <row r="27" spans="1:8" x14ac:dyDescent="0.25">
      <c r="A27" s="1067" t="s">
        <v>204</v>
      </c>
      <c r="B27" s="1067" t="s">
        <v>247</v>
      </c>
      <c r="C27" s="1067"/>
      <c r="D27" s="1067" t="s">
        <v>34</v>
      </c>
      <c r="E27" s="1067">
        <v>178.25</v>
      </c>
      <c r="F27" s="1067">
        <v>16.75</v>
      </c>
      <c r="G27" s="1067">
        <v>22.75</v>
      </c>
      <c r="H27" s="1067">
        <v>138.75</v>
      </c>
    </row>
    <row r="28" spans="1:8" x14ac:dyDescent="0.25">
      <c r="A28" s="1067" t="s">
        <v>204</v>
      </c>
      <c r="B28" s="1067" t="s">
        <v>247</v>
      </c>
      <c r="C28" s="1067"/>
      <c r="D28" s="1067" t="s">
        <v>258</v>
      </c>
      <c r="E28" s="1067">
        <v>9.75</v>
      </c>
      <c r="F28" s="1067">
        <v>0.75</v>
      </c>
      <c r="G28" s="1067">
        <v>1.75</v>
      </c>
      <c r="H28" s="1067">
        <v>7.25</v>
      </c>
    </row>
    <row r="29" spans="1:8" x14ac:dyDescent="0.25">
      <c r="A29" s="1067" t="s">
        <v>204</v>
      </c>
      <c r="B29" s="1067" t="s">
        <v>247</v>
      </c>
      <c r="C29" s="1067"/>
      <c r="D29" s="1067" t="s">
        <v>53</v>
      </c>
      <c r="E29" s="1067">
        <v>11.75</v>
      </c>
      <c r="F29" s="1067">
        <v>1</v>
      </c>
      <c r="G29" s="1067">
        <v>2</v>
      </c>
      <c r="H29" s="1067">
        <v>8.75</v>
      </c>
    </row>
    <row r="30" spans="1:8" x14ac:dyDescent="0.25">
      <c r="A30" s="1067" t="s">
        <v>204</v>
      </c>
      <c r="B30" s="1067" t="s">
        <v>247</v>
      </c>
      <c r="C30" s="1067"/>
      <c r="D30" s="1067" t="s">
        <v>59</v>
      </c>
      <c r="E30" s="1067">
        <v>15.75</v>
      </c>
      <c r="F30" s="1067">
        <v>1.75</v>
      </c>
      <c r="G30" s="1067">
        <v>1</v>
      </c>
      <c r="H30" s="1067">
        <v>13</v>
      </c>
    </row>
    <row r="31" spans="1:8" x14ac:dyDescent="0.25">
      <c r="A31" s="1067" t="s">
        <v>204</v>
      </c>
      <c r="B31" s="1067" t="s">
        <v>247</v>
      </c>
      <c r="C31" s="1067"/>
      <c r="D31" s="1067" t="s">
        <v>60</v>
      </c>
      <c r="E31" s="1067">
        <v>49.75</v>
      </c>
      <c r="F31" s="1067">
        <v>5.75</v>
      </c>
      <c r="G31" s="1067">
        <v>9.5</v>
      </c>
      <c r="H31" s="1067">
        <v>34.5</v>
      </c>
    </row>
    <row r="32" spans="1:8" x14ac:dyDescent="0.25">
      <c r="A32" s="1067" t="s">
        <v>204</v>
      </c>
      <c r="B32" s="1067" t="s">
        <v>247</v>
      </c>
      <c r="C32" s="1067"/>
      <c r="D32" s="1067" t="s">
        <v>33</v>
      </c>
      <c r="E32" s="1067">
        <v>86.75</v>
      </c>
      <c r="F32" s="1067">
        <v>7</v>
      </c>
      <c r="G32" s="1067">
        <v>17</v>
      </c>
      <c r="H32" s="1067">
        <v>62.75</v>
      </c>
    </row>
    <row r="33" spans="1:8" x14ac:dyDescent="0.25">
      <c r="A33" s="1067" t="s">
        <v>204</v>
      </c>
      <c r="B33" s="1067" t="s">
        <v>247</v>
      </c>
      <c r="C33" s="1067"/>
      <c r="D33" s="1067" t="s">
        <v>37</v>
      </c>
      <c r="E33" s="1067">
        <v>12.25</v>
      </c>
      <c r="F33" s="1067">
        <v>0.75</v>
      </c>
      <c r="G33" s="1067">
        <v>2.75</v>
      </c>
      <c r="H33" s="1067">
        <v>8.75</v>
      </c>
    </row>
    <row r="34" spans="1:8" x14ac:dyDescent="0.25">
      <c r="A34" s="1067" t="s">
        <v>204</v>
      </c>
      <c r="B34" s="1067" t="s">
        <v>247</v>
      </c>
      <c r="C34" s="1067"/>
      <c r="D34" s="1067" t="s">
        <v>50</v>
      </c>
      <c r="E34" s="1067">
        <v>27</v>
      </c>
      <c r="F34" s="1067">
        <v>2.75</v>
      </c>
      <c r="G34" s="1067">
        <v>3</v>
      </c>
      <c r="H34" s="1067">
        <v>21.25</v>
      </c>
    </row>
    <row r="35" spans="1:8" x14ac:dyDescent="0.25">
      <c r="A35" s="1067" t="s">
        <v>204</v>
      </c>
      <c r="B35" s="1067" t="s">
        <v>247</v>
      </c>
      <c r="C35" s="1067"/>
      <c r="D35" s="1067" t="s">
        <v>39</v>
      </c>
      <c r="E35" s="1067"/>
      <c r="F35" s="1067"/>
      <c r="G35" s="1067"/>
      <c r="H35" s="1067"/>
    </row>
    <row r="36" spans="1:8" x14ac:dyDescent="0.25">
      <c r="A36" s="1067" t="s">
        <v>204</v>
      </c>
      <c r="B36" s="1067" t="s">
        <v>247</v>
      </c>
      <c r="C36" s="1067"/>
      <c r="D36" s="1067" t="s">
        <v>121</v>
      </c>
      <c r="E36" s="1067">
        <v>2</v>
      </c>
      <c r="F36" s="1067"/>
      <c r="G36" s="1067">
        <v>1</v>
      </c>
      <c r="H36" s="1067">
        <v>1</v>
      </c>
    </row>
    <row r="37" spans="1:8" x14ac:dyDescent="0.25">
      <c r="A37" s="1067" t="s">
        <v>204</v>
      </c>
      <c r="B37" s="1067" t="s">
        <v>247</v>
      </c>
      <c r="C37" s="1067"/>
      <c r="D37" s="1067" t="s">
        <v>43</v>
      </c>
      <c r="E37" s="1067">
        <v>92</v>
      </c>
      <c r="F37" s="1067">
        <v>10.75</v>
      </c>
      <c r="G37" s="1067">
        <v>15</v>
      </c>
      <c r="H37" s="1067">
        <v>66.25</v>
      </c>
    </row>
    <row r="38" spans="1:8" x14ac:dyDescent="0.25">
      <c r="A38" s="1067" t="s">
        <v>203</v>
      </c>
      <c r="B38" s="1067" t="s">
        <v>247</v>
      </c>
      <c r="C38" s="1067"/>
      <c r="D38" s="1067" t="s">
        <v>281</v>
      </c>
      <c r="E38" s="1067">
        <v>2668.5</v>
      </c>
      <c r="F38" s="1067">
        <v>263.75</v>
      </c>
      <c r="G38" s="1067">
        <v>498</v>
      </c>
      <c r="H38" s="1067">
        <v>1906.75</v>
      </c>
    </row>
    <row r="39" spans="1:8" x14ac:dyDescent="0.25">
      <c r="A39" s="1067" t="s">
        <v>203</v>
      </c>
      <c r="B39" s="1067" t="s">
        <v>247</v>
      </c>
      <c r="C39" s="1067"/>
      <c r="D39" s="1067" t="s">
        <v>35</v>
      </c>
      <c r="E39" s="1067">
        <v>18.25</v>
      </c>
      <c r="F39" s="1067">
        <v>1.5</v>
      </c>
      <c r="G39" s="1067">
        <v>4</v>
      </c>
      <c r="H39" s="1067">
        <v>12.75</v>
      </c>
    </row>
    <row r="40" spans="1:8" x14ac:dyDescent="0.25">
      <c r="A40" s="1067" t="s">
        <v>203</v>
      </c>
      <c r="B40" s="1067" t="s">
        <v>247</v>
      </c>
      <c r="C40" s="1067"/>
      <c r="D40" s="1067" t="s">
        <v>36</v>
      </c>
      <c r="E40" s="1067">
        <v>185</v>
      </c>
      <c r="F40" s="1067">
        <v>15.25</v>
      </c>
      <c r="G40" s="1067">
        <v>32.75</v>
      </c>
      <c r="H40" s="1067">
        <v>137</v>
      </c>
    </row>
    <row r="41" spans="1:8" x14ac:dyDescent="0.25">
      <c r="A41" s="1067" t="s">
        <v>203</v>
      </c>
      <c r="B41" s="1067" t="s">
        <v>247</v>
      </c>
      <c r="C41" s="1067"/>
      <c r="D41" s="1067" t="s">
        <v>38</v>
      </c>
      <c r="E41" s="1067">
        <v>71.25</v>
      </c>
      <c r="F41" s="1067">
        <v>7.5</v>
      </c>
      <c r="G41" s="1067">
        <v>7.25</v>
      </c>
      <c r="H41" s="1067">
        <v>56.5</v>
      </c>
    </row>
    <row r="42" spans="1:8" x14ac:dyDescent="0.25">
      <c r="A42" s="1067" t="s">
        <v>203</v>
      </c>
      <c r="B42" s="1067" t="s">
        <v>247</v>
      </c>
      <c r="C42" s="1067"/>
      <c r="D42" s="1067" t="s">
        <v>40</v>
      </c>
      <c r="E42" s="1067">
        <v>52.75</v>
      </c>
      <c r="F42" s="1067">
        <v>5</v>
      </c>
      <c r="G42" s="1067">
        <v>11.5</v>
      </c>
      <c r="H42" s="1067">
        <v>36.25</v>
      </c>
    </row>
    <row r="43" spans="1:8" x14ac:dyDescent="0.25">
      <c r="A43" s="1067" t="s">
        <v>203</v>
      </c>
      <c r="B43" s="1067" t="s">
        <v>247</v>
      </c>
      <c r="C43" s="1067"/>
      <c r="D43" s="1067" t="s">
        <v>41</v>
      </c>
      <c r="E43" s="1067">
        <v>0</v>
      </c>
      <c r="F43" s="1067">
        <v>0</v>
      </c>
      <c r="G43" s="1067">
        <v>0</v>
      </c>
      <c r="H43" s="1067">
        <v>0</v>
      </c>
    </row>
    <row r="44" spans="1:8" x14ac:dyDescent="0.25">
      <c r="A44" s="1067" t="s">
        <v>203</v>
      </c>
      <c r="B44" s="1067" t="s">
        <v>247</v>
      </c>
      <c r="C44" s="1067"/>
      <c r="D44" s="1067" t="s">
        <v>48</v>
      </c>
      <c r="E44" s="1067">
        <v>140.25</v>
      </c>
      <c r="F44" s="1067">
        <v>15.5</v>
      </c>
      <c r="G44" s="1067">
        <v>26.5</v>
      </c>
      <c r="H44" s="1067">
        <v>98.25</v>
      </c>
    </row>
    <row r="45" spans="1:8" x14ac:dyDescent="0.25">
      <c r="A45" s="1067" t="s">
        <v>203</v>
      </c>
      <c r="B45" s="1067" t="s">
        <v>247</v>
      </c>
      <c r="C45" s="1067"/>
      <c r="D45" s="1067" t="s">
        <v>42</v>
      </c>
      <c r="E45" s="1067">
        <v>51.75</v>
      </c>
      <c r="F45" s="1067">
        <v>4.5</v>
      </c>
      <c r="G45" s="1067">
        <v>6.75</v>
      </c>
      <c r="H45" s="1067">
        <v>40.5</v>
      </c>
    </row>
    <row r="46" spans="1:8" x14ac:dyDescent="0.25">
      <c r="A46" s="1067" t="s">
        <v>203</v>
      </c>
      <c r="B46" s="1067" t="s">
        <v>247</v>
      </c>
      <c r="C46" s="1067"/>
      <c r="D46" s="1067" t="s">
        <v>44</v>
      </c>
      <c r="E46" s="1067">
        <v>512.75</v>
      </c>
      <c r="F46" s="1067">
        <v>52.25</v>
      </c>
      <c r="G46" s="1067">
        <v>100.25</v>
      </c>
      <c r="H46" s="1067">
        <v>360.25</v>
      </c>
    </row>
    <row r="47" spans="1:8" x14ac:dyDescent="0.25">
      <c r="A47" s="1067" t="s">
        <v>203</v>
      </c>
      <c r="B47" s="1067" t="s">
        <v>247</v>
      </c>
      <c r="C47" s="1067"/>
      <c r="D47" s="1067" t="s">
        <v>45</v>
      </c>
      <c r="E47" s="1067">
        <v>33.5</v>
      </c>
      <c r="F47" s="1067">
        <v>3</v>
      </c>
      <c r="G47" s="1067">
        <v>3.75</v>
      </c>
      <c r="H47" s="1067">
        <v>26.75</v>
      </c>
    </row>
    <row r="48" spans="1:8" x14ac:dyDescent="0.25">
      <c r="A48" s="1067" t="s">
        <v>203</v>
      </c>
      <c r="B48" s="1067" t="s">
        <v>247</v>
      </c>
      <c r="C48" s="1067"/>
      <c r="D48" s="1067" t="s">
        <v>46</v>
      </c>
      <c r="E48" s="1067">
        <v>11.75</v>
      </c>
      <c r="F48" s="1067">
        <v>1</v>
      </c>
      <c r="G48" s="1067">
        <v>1.75</v>
      </c>
      <c r="H48" s="1067">
        <v>9</v>
      </c>
    </row>
    <row r="49" spans="1:8" x14ac:dyDescent="0.25">
      <c r="A49" s="1067" t="s">
        <v>203</v>
      </c>
      <c r="B49" s="1067" t="s">
        <v>247</v>
      </c>
      <c r="C49" s="1067"/>
      <c r="D49" s="1067" t="s">
        <v>47</v>
      </c>
      <c r="E49" s="1067">
        <v>111.75</v>
      </c>
      <c r="F49" s="1067">
        <v>10</v>
      </c>
      <c r="G49" s="1067">
        <v>23</v>
      </c>
      <c r="H49" s="1067">
        <v>78.75</v>
      </c>
    </row>
    <row r="50" spans="1:8" x14ac:dyDescent="0.25">
      <c r="A50" s="1067" t="s">
        <v>203</v>
      </c>
      <c r="B50" s="1067" t="s">
        <v>247</v>
      </c>
      <c r="C50" s="1067"/>
      <c r="D50" s="1067" t="s">
        <v>49</v>
      </c>
      <c r="E50" s="1067">
        <v>82.5</v>
      </c>
      <c r="F50" s="1067">
        <v>8.5</v>
      </c>
      <c r="G50" s="1067">
        <v>15.5</v>
      </c>
      <c r="H50" s="1067">
        <v>58.5</v>
      </c>
    </row>
    <row r="51" spans="1:8" x14ac:dyDescent="0.25">
      <c r="A51" s="1067" t="s">
        <v>203</v>
      </c>
      <c r="B51" s="1067" t="s">
        <v>247</v>
      </c>
      <c r="C51" s="1067"/>
      <c r="D51" s="1067" t="s">
        <v>51</v>
      </c>
      <c r="E51" s="1067">
        <v>107.25</v>
      </c>
      <c r="F51" s="1067">
        <v>12</v>
      </c>
      <c r="G51" s="1067">
        <v>25</v>
      </c>
      <c r="H51" s="1067">
        <v>70.25</v>
      </c>
    </row>
    <row r="52" spans="1:8" x14ac:dyDescent="0.25">
      <c r="A52" s="1067" t="s">
        <v>203</v>
      </c>
      <c r="B52" s="1067" t="s">
        <v>247</v>
      </c>
      <c r="C52" s="1067"/>
      <c r="D52" s="1067" t="s">
        <v>52</v>
      </c>
      <c r="E52" s="1067">
        <v>116.75</v>
      </c>
      <c r="F52" s="1067">
        <v>12.75</v>
      </c>
      <c r="G52" s="1067">
        <v>24.25</v>
      </c>
      <c r="H52" s="1067">
        <v>79.75</v>
      </c>
    </row>
    <row r="53" spans="1:8" x14ac:dyDescent="0.25">
      <c r="A53" s="1067" t="s">
        <v>203</v>
      </c>
      <c r="B53" s="1067" t="s">
        <v>247</v>
      </c>
      <c r="C53" s="1067"/>
      <c r="D53" s="1067" t="s">
        <v>54</v>
      </c>
      <c r="E53" s="1067">
        <v>132.25</v>
      </c>
      <c r="F53" s="1067">
        <v>13.25</v>
      </c>
      <c r="G53" s="1067">
        <v>22.75</v>
      </c>
      <c r="H53" s="1067">
        <v>96.25</v>
      </c>
    </row>
    <row r="54" spans="1:8" x14ac:dyDescent="0.25">
      <c r="A54" s="1067" t="s">
        <v>203</v>
      </c>
      <c r="B54" s="1067" t="s">
        <v>247</v>
      </c>
      <c r="C54" s="1067"/>
      <c r="D54" s="1067" t="s">
        <v>55</v>
      </c>
      <c r="E54" s="1067">
        <v>119</v>
      </c>
      <c r="F54" s="1067">
        <v>11.25</v>
      </c>
      <c r="G54" s="1067">
        <v>28</v>
      </c>
      <c r="H54" s="1067">
        <v>79.75</v>
      </c>
    </row>
    <row r="55" spans="1:8" x14ac:dyDescent="0.25">
      <c r="A55" s="1067" t="s">
        <v>203</v>
      </c>
      <c r="B55" s="1067" t="s">
        <v>247</v>
      </c>
      <c r="C55" s="1067"/>
      <c r="D55" s="1067" t="s">
        <v>56</v>
      </c>
      <c r="E55" s="1067">
        <v>49</v>
      </c>
      <c r="F55" s="1067">
        <v>5</v>
      </c>
      <c r="G55" s="1067">
        <v>8.25</v>
      </c>
      <c r="H55" s="1067">
        <v>35.75</v>
      </c>
    </row>
    <row r="56" spans="1:8" x14ac:dyDescent="0.25">
      <c r="A56" s="1067" t="s">
        <v>203</v>
      </c>
      <c r="B56" s="1067" t="s">
        <v>247</v>
      </c>
      <c r="C56" s="1067"/>
      <c r="D56" s="1067" t="s">
        <v>57</v>
      </c>
      <c r="E56" s="1067">
        <v>76.75</v>
      </c>
      <c r="F56" s="1067">
        <v>8.75</v>
      </c>
      <c r="G56" s="1067">
        <v>8</v>
      </c>
      <c r="H56" s="1067">
        <v>60</v>
      </c>
    </row>
    <row r="57" spans="1:8" x14ac:dyDescent="0.25">
      <c r="A57" s="1067" t="s">
        <v>203</v>
      </c>
      <c r="B57" s="1067" t="s">
        <v>247</v>
      </c>
      <c r="C57" s="1067"/>
      <c r="D57" s="1067" t="s">
        <v>58</v>
      </c>
      <c r="E57" s="1067">
        <v>58.5</v>
      </c>
      <c r="F57" s="1067">
        <v>7.25</v>
      </c>
      <c r="G57" s="1067">
        <v>11</v>
      </c>
      <c r="H57" s="1067">
        <v>40.25</v>
      </c>
    </row>
    <row r="58" spans="1:8" x14ac:dyDescent="0.25">
      <c r="A58" s="1067" t="s">
        <v>203</v>
      </c>
      <c r="B58" s="1067" t="s">
        <v>247</v>
      </c>
      <c r="C58" s="1067"/>
      <c r="D58" s="1067" t="s">
        <v>31</v>
      </c>
      <c r="E58" s="1067">
        <v>6.5</v>
      </c>
      <c r="F58" s="1067">
        <v>1</v>
      </c>
      <c r="G58" s="1067">
        <v>1.75</v>
      </c>
      <c r="H58" s="1067">
        <v>3.75</v>
      </c>
    </row>
    <row r="59" spans="1:8" x14ac:dyDescent="0.25">
      <c r="A59" s="1067" t="s">
        <v>203</v>
      </c>
      <c r="B59" s="1067" t="s">
        <v>247</v>
      </c>
      <c r="C59" s="1067"/>
      <c r="D59" s="1067" t="s">
        <v>32</v>
      </c>
      <c r="E59" s="1067">
        <v>253.25</v>
      </c>
      <c r="F59" s="1067">
        <v>25.25</v>
      </c>
      <c r="G59" s="1067">
        <v>56</v>
      </c>
      <c r="H59" s="1067">
        <v>172</v>
      </c>
    </row>
    <row r="60" spans="1:8" x14ac:dyDescent="0.25">
      <c r="A60" s="1067" t="s">
        <v>203</v>
      </c>
      <c r="B60" s="1067" t="s">
        <v>247</v>
      </c>
      <c r="C60" s="1067"/>
      <c r="D60" s="1067" t="s">
        <v>34</v>
      </c>
      <c r="E60" s="1067">
        <v>166.5</v>
      </c>
      <c r="F60" s="1067">
        <v>14.75</v>
      </c>
      <c r="G60" s="1067">
        <v>22.75</v>
      </c>
      <c r="H60" s="1067">
        <v>129</v>
      </c>
    </row>
    <row r="61" spans="1:8" x14ac:dyDescent="0.25">
      <c r="A61" s="1067" t="s">
        <v>203</v>
      </c>
      <c r="B61" s="1067" t="s">
        <v>247</v>
      </c>
      <c r="C61" s="1067"/>
      <c r="D61" s="1067" t="s">
        <v>258</v>
      </c>
      <c r="E61" s="1067">
        <v>10.5</v>
      </c>
      <c r="F61" s="1067">
        <v>0.75</v>
      </c>
      <c r="G61" s="1067">
        <v>1.75</v>
      </c>
      <c r="H61" s="1067">
        <v>8</v>
      </c>
    </row>
    <row r="62" spans="1:8" x14ac:dyDescent="0.25">
      <c r="A62" s="1067" t="s">
        <v>203</v>
      </c>
      <c r="B62" s="1067" t="s">
        <v>247</v>
      </c>
      <c r="C62" s="1067"/>
      <c r="D62" s="1067" t="s">
        <v>53</v>
      </c>
      <c r="E62" s="1067">
        <v>11.75</v>
      </c>
      <c r="F62" s="1067">
        <v>1</v>
      </c>
      <c r="G62" s="1067">
        <v>2</v>
      </c>
      <c r="H62" s="1067">
        <v>8.75</v>
      </c>
    </row>
    <row r="63" spans="1:8" x14ac:dyDescent="0.25">
      <c r="A63" s="1067" t="s">
        <v>203</v>
      </c>
      <c r="B63" s="1067" t="s">
        <v>247</v>
      </c>
      <c r="C63" s="1067"/>
      <c r="D63" s="1067" t="s">
        <v>59</v>
      </c>
      <c r="E63" s="1067">
        <v>18.5</v>
      </c>
      <c r="F63" s="1067">
        <v>1.75</v>
      </c>
      <c r="G63" s="1067">
        <v>1</v>
      </c>
      <c r="H63" s="1067">
        <v>15.75</v>
      </c>
    </row>
    <row r="64" spans="1:8" x14ac:dyDescent="0.25">
      <c r="A64" s="1067" t="s">
        <v>203</v>
      </c>
      <c r="B64" s="1067" t="s">
        <v>247</v>
      </c>
      <c r="C64" s="1067"/>
      <c r="D64" s="1067" t="s">
        <v>60</v>
      </c>
      <c r="E64" s="1067">
        <v>53</v>
      </c>
      <c r="F64" s="1067">
        <v>5</v>
      </c>
      <c r="G64" s="1067">
        <v>10</v>
      </c>
      <c r="H64" s="1067">
        <v>38</v>
      </c>
    </row>
    <row r="65" spans="1:8" x14ac:dyDescent="0.25">
      <c r="A65" s="1067" t="s">
        <v>203</v>
      </c>
      <c r="B65" s="1067" t="s">
        <v>247</v>
      </c>
      <c r="C65" s="1067"/>
      <c r="D65" s="1067" t="s">
        <v>33</v>
      </c>
      <c r="E65" s="1067">
        <v>83.5</v>
      </c>
      <c r="F65" s="1067">
        <v>7</v>
      </c>
      <c r="G65" s="1067">
        <v>18</v>
      </c>
      <c r="H65" s="1067">
        <v>58.5</v>
      </c>
    </row>
    <row r="66" spans="1:8" x14ac:dyDescent="0.25">
      <c r="A66" s="1067" t="s">
        <v>203</v>
      </c>
      <c r="B66" s="1067" t="s">
        <v>247</v>
      </c>
      <c r="C66" s="1067"/>
      <c r="D66" s="1067" t="s">
        <v>37</v>
      </c>
      <c r="E66" s="1067">
        <v>11.75</v>
      </c>
      <c r="F66" s="1067">
        <v>0.75</v>
      </c>
      <c r="G66" s="1067">
        <v>2.75</v>
      </c>
      <c r="H66" s="1067">
        <v>8.25</v>
      </c>
    </row>
    <row r="67" spans="1:8" x14ac:dyDescent="0.25">
      <c r="A67" s="1067" t="s">
        <v>203</v>
      </c>
      <c r="B67" s="1067" t="s">
        <v>247</v>
      </c>
      <c r="C67" s="1067"/>
      <c r="D67" s="1067" t="s">
        <v>50</v>
      </c>
      <c r="E67" s="1067">
        <v>28.25</v>
      </c>
      <c r="F67" s="1067">
        <v>2.5</v>
      </c>
      <c r="G67" s="1067">
        <v>3</v>
      </c>
      <c r="H67" s="1067">
        <v>22.75</v>
      </c>
    </row>
    <row r="68" spans="1:8" x14ac:dyDescent="0.25">
      <c r="A68" s="1067" t="s">
        <v>203</v>
      </c>
      <c r="B68" s="1067" t="s">
        <v>247</v>
      </c>
      <c r="C68" s="1067"/>
      <c r="D68" s="1067" t="s">
        <v>39</v>
      </c>
      <c r="E68" s="1067">
        <v>0</v>
      </c>
      <c r="F68" s="1067">
        <v>0</v>
      </c>
      <c r="G68" s="1067">
        <v>0</v>
      </c>
      <c r="H68" s="1067">
        <v>0</v>
      </c>
    </row>
    <row r="69" spans="1:8" x14ac:dyDescent="0.25">
      <c r="A69" s="1067" t="s">
        <v>203</v>
      </c>
      <c r="B69" s="1067" t="s">
        <v>247</v>
      </c>
      <c r="C69" s="1067"/>
      <c r="D69" s="1067" t="s">
        <v>121</v>
      </c>
      <c r="E69" s="1067">
        <v>0</v>
      </c>
      <c r="F69" s="1067">
        <v>0</v>
      </c>
      <c r="G69" s="1067">
        <v>0</v>
      </c>
      <c r="H69" s="1067">
        <v>0</v>
      </c>
    </row>
    <row r="70" spans="1:8" x14ac:dyDescent="0.25">
      <c r="A70" s="1067" t="s">
        <v>203</v>
      </c>
      <c r="B70" s="1067" t="s">
        <v>247</v>
      </c>
      <c r="C70" s="1067"/>
      <c r="D70" s="1067" t="s">
        <v>43</v>
      </c>
      <c r="E70" s="1067">
        <v>94</v>
      </c>
      <c r="F70" s="1067">
        <v>9.75</v>
      </c>
      <c r="G70" s="1067">
        <v>18.75</v>
      </c>
      <c r="H70" s="1067">
        <v>65.5</v>
      </c>
    </row>
    <row r="71" spans="1:8" x14ac:dyDescent="0.25">
      <c r="A71" s="1067" t="s">
        <v>202</v>
      </c>
      <c r="B71" s="1067" t="s">
        <v>247</v>
      </c>
      <c r="C71" s="1067"/>
      <c r="D71" s="1067" t="s">
        <v>281</v>
      </c>
      <c r="E71" s="1067">
        <v>2527</v>
      </c>
      <c r="F71" s="1067">
        <v>248</v>
      </c>
      <c r="G71" s="1067">
        <v>486</v>
      </c>
      <c r="H71" s="1067">
        <v>1793</v>
      </c>
    </row>
    <row r="72" spans="1:8" x14ac:dyDescent="0.25">
      <c r="A72" s="1067" t="s">
        <v>202</v>
      </c>
      <c r="B72" s="1067" t="s">
        <v>247</v>
      </c>
      <c r="C72" s="1067"/>
      <c r="D72" s="1067" t="s">
        <v>35</v>
      </c>
      <c r="E72" s="1067">
        <v>16.25</v>
      </c>
      <c r="F72" s="1067">
        <v>2</v>
      </c>
      <c r="G72" s="1067">
        <v>3</v>
      </c>
      <c r="H72" s="1067">
        <v>11.25</v>
      </c>
    </row>
    <row r="73" spans="1:8" x14ac:dyDescent="0.25">
      <c r="A73" s="1067" t="s">
        <v>202</v>
      </c>
      <c r="B73" s="1067" t="s">
        <v>247</v>
      </c>
      <c r="C73" s="1067"/>
      <c r="D73" s="1067" t="s">
        <v>36</v>
      </c>
      <c r="E73" s="1067">
        <v>169</v>
      </c>
      <c r="F73" s="1067">
        <v>14.5</v>
      </c>
      <c r="G73" s="1067">
        <v>30.75</v>
      </c>
      <c r="H73" s="1067">
        <v>123.75</v>
      </c>
    </row>
    <row r="74" spans="1:8" x14ac:dyDescent="0.25">
      <c r="A74" s="1067" t="s">
        <v>202</v>
      </c>
      <c r="B74" s="1067" t="s">
        <v>247</v>
      </c>
      <c r="C74" s="1067"/>
      <c r="D74" s="1067" t="s">
        <v>38</v>
      </c>
      <c r="E74" s="1067">
        <v>71</v>
      </c>
      <c r="F74" s="1067">
        <v>6.25</v>
      </c>
      <c r="G74" s="1067">
        <v>8.75</v>
      </c>
      <c r="H74" s="1067">
        <v>56</v>
      </c>
    </row>
    <row r="75" spans="1:8" x14ac:dyDescent="0.25">
      <c r="A75" s="1067" t="s">
        <v>202</v>
      </c>
      <c r="B75" s="1067" t="s">
        <v>247</v>
      </c>
      <c r="C75" s="1067"/>
      <c r="D75" s="1067" t="s">
        <v>40</v>
      </c>
      <c r="E75" s="1067">
        <v>45.25</v>
      </c>
      <c r="F75" s="1067">
        <v>4</v>
      </c>
      <c r="G75" s="1067">
        <v>9.75</v>
      </c>
      <c r="H75" s="1067">
        <v>31.5</v>
      </c>
    </row>
    <row r="76" spans="1:8" x14ac:dyDescent="0.25">
      <c r="A76" s="1067" t="s">
        <v>202</v>
      </c>
      <c r="B76" s="1067" t="s">
        <v>247</v>
      </c>
      <c r="C76" s="1067"/>
      <c r="D76" s="1067" t="s">
        <v>41</v>
      </c>
      <c r="E76" s="1067">
        <v>1</v>
      </c>
      <c r="F76" s="1067">
        <v>0</v>
      </c>
      <c r="G76" s="1067">
        <v>0</v>
      </c>
      <c r="H76" s="1067">
        <v>1</v>
      </c>
    </row>
    <row r="77" spans="1:8" x14ac:dyDescent="0.25">
      <c r="A77" s="1067" t="s">
        <v>202</v>
      </c>
      <c r="B77" s="1067" t="s">
        <v>247</v>
      </c>
      <c r="C77" s="1067"/>
      <c r="D77" s="1067" t="s">
        <v>48</v>
      </c>
      <c r="E77" s="1067">
        <v>134.25</v>
      </c>
      <c r="F77" s="1067">
        <v>11.75</v>
      </c>
      <c r="G77" s="1067">
        <v>33</v>
      </c>
      <c r="H77" s="1067">
        <v>89.5</v>
      </c>
    </row>
    <row r="78" spans="1:8" x14ac:dyDescent="0.25">
      <c r="A78" s="1067" t="s">
        <v>202</v>
      </c>
      <c r="B78" s="1067" t="s">
        <v>247</v>
      </c>
      <c r="C78" s="1067"/>
      <c r="D78" s="1067" t="s">
        <v>42</v>
      </c>
      <c r="E78" s="1067">
        <v>39.75</v>
      </c>
      <c r="F78" s="1067">
        <v>3.75</v>
      </c>
      <c r="G78" s="1067">
        <v>7</v>
      </c>
      <c r="H78" s="1067">
        <v>29</v>
      </c>
    </row>
    <row r="79" spans="1:8" x14ac:dyDescent="0.25">
      <c r="A79" s="1067" t="s">
        <v>202</v>
      </c>
      <c r="B79" s="1067" t="s">
        <v>247</v>
      </c>
      <c r="C79" s="1067"/>
      <c r="D79" s="1067" t="s">
        <v>44</v>
      </c>
      <c r="E79" s="1067">
        <v>489.75</v>
      </c>
      <c r="F79" s="1067">
        <v>51</v>
      </c>
      <c r="G79" s="1067">
        <v>102.5</v>
      </c>
      <c r="H79" s="1067">
        <v>336.25</v>
      </c>
    </row>
    <row r="80" spans="1:8" x14ac:dyDescent="0.25">
      <c r="A80" s="1067" t="s">
        <v>202</v>
      </c>
      <c r="B80" s="1067" t="s">
        <v>247</v>
      </c>
      <c r="C80" s="1067"/>
      <c r="D80" s="1067" t="s">
        <v>45</v>
      </c>
      <c r="E80" s="1067">
        <v>33.75</v>
      </c>
      <c r="F80" s="1067">
        <v>3.5</v>
      </c>
      <c r="G80" s="1067">
        <v>5.5</v>
      </c>
      <c r="H80" s="1067">
        <v>24.75</v>
      </c>
    </row>
    <row r="81" spans="1:8" x14ac:dyDescent="0.25">
      <c r="A81" s="1067" t="s">
        <v>202</v>
      </c>
      <c r="B81" s="1067" t="s">
        <v>247</v>
      </c>
      <c r="C81" s="1067"/>
      <c r="D81" s="1067" t="s">
        <v>46</v>
      </c>
      <c r="E81" s="1067">
        <v>9.25</v>
      </c>
      <c r="F81" s="1067">
        <v>1</v>
      </c>
      <c r="G81" s="1067">
        <v>1.75</v>
      </c>
      <c r="H81" s="1067">
        <v>6.5</v>
      </c>
    </row>
    <row r="82" spans="1:8" x14ac:dyDescent="0.25">
      <c r="A82" s="1067" t="s">
        <v>202</v>
      </c>
      <c r="B82" s="1067" t="s">
        <v>247</v>
      </c>
      <c r="C82" s="1067"/>
      <c r="D82" s="1067" t="s">
        <v>47</v>
      </c>
      <c r="E82" s="1067">
        <v>97.25</v>
      </c>
      <c r="F82" s="1067">
        <v>11</v>
      </c>
      <c r="G82" s="1067">
        <v>21</v>
      </c>
      <c r="H82" s="1067">
        <v>65.25</v>
      </c>
    </row>
    <row r="83" spans="1:8" x14ac:dyDescent="0.25">
      <c r="A83" s="1067" t="s">
        <v>202</v>
      </c>
      <c r="B83" s="1067" t="s">
        <v>247</v>
      </c>
      <c r="C83" s="1067"/>
      <c r="D83" s="1067" t="s">
        <v>49</v>
      </c>
      <c r="E83" s="1067">
        <v>91.5</v>
      </c>
      <c r="F83" s="1067">
        <v>9</v>
      </c>
      <c r="G83" s="1067">
        <v>10</v>
      </c>
      <c r="H83" s="1067">
        <v>72.5</v>
      </c>
    </row>
    <row r="84" spans="1:8" x14ac:dyDescent="0.25">
      <c r="A84" s="1067" t="s">
        <v>202</v>
      </c>
      <c r="B84" s="1067" t="s">
        <v>247</v>
      </c>
      <c r="C84" s="1067"/>
      <c r="D84" s="1067" t="s">
        <v>51</v>
      </c>
      <c r="E84" s="1067">
        <v>96.5</v>
      </c>
      <c r="F84" s="1067">
        <v>12</v>
      </c>
      <c r="G84" s="1067">
        <v>18.75</v>
      </c>
      <c r="H84" s="1067">
        <v>65.75</v>
      </c>
    </row>
    <row r="85" spans="1:8" x14ac:dyDescent="0.25">
      <c r="A85" s="1067" t="s">
        <v>202</v>
      </c>
      <c r="B85" s="1067" t="s">
        <v>247</v>
      </c>
      <c r="C85" s="1067"/>
      <c r="D85" s="1067" t="s">
        <v>52</v>
      </c>
      <c r="E85" s="1067">
        <v>110.5</v>
      </c>
      <c r="F85" s="1067">
        <v>8.75</v>
      </c>
      <c r="G85" s="1067">
        <v>22.5</v>
      </c>
      <c r="H85" s="1067">
        <v>79.25</v>
      </c>
    </row>
    <row r="86" spans="1:8" x14ac:dyDescent="0.25">
      <c r="A86" s="1067" t="s">
        <v>202</v>
      </c>
      <c r="B86" s="1067" t="s">
        <v>247</v>
      </c>
      <c r="C86" s="1067"/>
      <c r="D86" s="1067" t="s">
        <v>54</v>
      </c>
      <c r="E86" s="1067">
        <v>123.25</v>
      </c>
      <c r="F86" s="1067">
        <v>11.5</v>
      </c>
      <c r="G86" s="1067">
        <v>22.5</v>
      </c>
      <c r="H86" s="1067">
        <v>89.25</v>
      </c>
    </row>
    <row r="87" spans="1:8" x14ac:dyDescent="0.25">
      <c r="A87" s="1067" t="s">
        <v>202</v>
      </c>
      <c r="B87" s="1067" t="s">
        <v>247</v>
      </c>
      <c r="C87" s="1067"/>
      <c r="D87" s="1067" t="s">
        <v>55</v>
      </c>
      <c r="E87" s="1067">
        <v>116.75</v>
      </c>
      <c r="F87" s="1067">
        <v>13.25</v>
      </c>
      <c r="G87" s="1067">
        <v>23.25</v>
      </c>
      <c r="H87" s="1067">
        <v>80.25</v>
      </c>
    </row>
    <row r="88" spans="1:8" x14ac:dyDescent="0.25">
      <c r="A88" s="1067" t="s">
        <v>202</v>
      </c>
      <c r="B88" s="1067" t="s">
        <v>247</v>
      </c>
      <c r="C88" s="1067"/>
      <c r="D88" s="1067" t="s">
        <v>56</v>
      </c>
      <c r="E88" s="1067">
        <v>46</v>
      </c>
      <c r="F88" s="1067">
        <v>4.75</v>
      </c>
      <c r="G88" s="1067">
        <v>5.75</v>
      </c>
      <c r="H88" s="1067">
        <v>35.5</v>
      </c>
    </row>
    <row r="89" spans="1:8" x14ac:dyDescent="0.25">
      <c r="A89" s="1067" t="s">
        <v>202</v>
      </c>
      <c r="B89" s="1067" t="s">
        <v>247</v>
      </c>
      <c r="C89" s="1067"/>
      <c r="D89" s="1067" t="s">
        <v>57</v>
      </c>
      <c r="E89" s="1067">
        <v>64</v>
      </c>
      <c r="F89" s="1067">
        <v>7.75</v>
      </c>
      <c r="G89" s="1067">
        <v>8.75</v>
      </c>
      <c r="H89" s="1067">
        <v>47.5</v>
      </c>
    </row>
    <row r="90" spans="1:8" x14ac:dyDescent="0.25">
      <c r="A90" s="1067" t="s">
        <v>202</v>
      </c>
      <c r="B90" s="1067" t="s">
        <v>247</v>
      </c>
      <c r="C90" s="1067"/>
      <c r="D90" s="1067" t="s">
        <v>58</v>
      </c>
      <c r="E90" s="1067">
        <v>62.25</v>
      </c>
      <c r="F90" s="1067">
        <v>8.25</v>
      </c>
      <c r="G90" s="1067">
        <v>15</v>
      </c>
      <c r="H90" s="1067">
        <v>39</v>
      </c>
    </row>
    <row r="91" spans="1:8" x14ac:dyDescent="0.25">
      <c r="A91" s="1067" t="s">
        <v>202</v>
      </c>
      <c r="B91" s="1067" t="s">
        <v>247</v>
      </c>
      <c r="C91" s="1067"/>
      <c r="D91" s="1067" t="s">
        <v>31</v>
      </c>
      <c r="E91" s="1067">
        <v>15.25</v>
      </c>
      <c r="F91" s="1067">
        <v>1.75</v>
      </c>
      <c r="G91" s="1067">
        <v>5.5</v>
      </c>
      <c r="H91" s="1067">
        <v>8</v>
      </c>
    </row>
    <row r="92" spans="1:8" x14ac:dyDescent="0.25">
      <c r="A92" s="1067" t="s">
        <v>202</v>
      </c>
      <c r="B92" s="1067" t="s">
        <v>247</v>
      </c>
      <c r="C92" s="1067"/>
      <c r="D92" s="1067" t="s">
        <v>32</v>
      </c>
      <c r="E92" s="1067">
        <v>226.25</v>
      </c>
      <c r="F92" s="1067">
        <v>24</v>
      </c>
      <c r="G92" s="1067">
        <v>56.25</v>
      </c>
      <c r="H92" s="1067">
        <v>146</v>
      </c>
    </row>
    <row r="93" spans="1:8" x14ac:dyDescent="0.25">
      <c r="A93" s="1067" t="s">
        <v>202</v>
      </c>
      <c r="B93" s="1067" t="s">
        <v>247</v>
      </c>
      <c r="C93" s="1067"/>
      <c r="D93" s="1067" t="s">
        <v>34</v>
      </c>
      <c r="E93" s="1067">
        <v>171.39285714285714</v>
      </c>
      <c r="F93" s="1067">
        <v>11.75</v>
      </c>
      <c r="G93" s="1067">
        <v>24.75</v>
      </c>
      <c r="H93" s="1067">
        <v>134.89285714285714</v>
      </c>
    </row>
    <row r="94" spans="1:8" x14ac:dyDescent="0.25">
      <c r="A94" s="1067" t="s">
        <v>202</v>
      </c>
      <c r="B94" s="1067" t="s">
        <v>247</v>
      </c>
      <c r="C94" s="1067"/>
      <c r="D94" s="1067" t="s">
        <v>258</v>
      </c>
      <c r="E94" s="1067">
        <v>10</v>
      </c>
      <c r="F94" s="1067">
        <v>1</v>
      </c>
      <c r="G94" s="1067">
        <v>1.75</v>
      </c>
      <c r="H94" s="1067">
        <v>7.25</v>
      </c>
    </row>
    <row r="95" spans="1:8" x14ac:dyDescent="0.25">
      <c r="A95" s="1067" t="s">
        <v>202</v>
      </c>
      <c r="B95" s="1067" t="s">
        <v>247</v>
      </c>
      <c r="C95" s="1067"/>
      <c r="D95" s="1067" t="s">
        <v>53</v>
      </c>
      <c r="E95" s="1067">
        <v>10.5</v>
      </c>
      <c r="F95" s="1067">
        <v>1</v>
      </c>
      <c r="G95" s="1067">
        <v>1</v>
      </c>
      <c r="H95" s="1067">
        <v>8.5</v>
      </c>
    </row>
    <row r="96" spans="1:8" x14ac:dyDescent="0.25">
      <c r="A96" s="1067" t="s">
        <v>202</v>
      </c>
      <c r="B96" s="1067" t="s">
        <v>247</v>
      </c>
      <c r="C96" s="1067"/>
      <c r="D96" s="1067" t="s">
        <v>59</v>
      </c>
      <c r="E96" s="1067">
        <v>16.75</v>
      </c>
      <c r="F96" s="1067">
        <v>1.75</v>
      </c>
      <c r="G96" s="1067">
        <v>1.75</v>
      </c>
      <c r="H96" s="1067">
        <v>13.25</v>
      </c>
    </row>
    <row r="97" spans="1:8" x14ac:dyDescent="0.25">
      <c r="A97" s="1067" t="s">
        <v>202</v>
      </c>
      <c r="B97" s="1067" t="s">
        <v>247</v>
      </c>
      <c r="C97" s="1067"/>
      <c r="D97" s="1067" t="s">
        <v>60</v>
      </c>
      <c r="E97" s="1067">
        <v>44.25</v>
      </c>
      <c r="F97" s="1067">
        <v>4.25</v>
      </c>
      <c r="G97" s="1067">
        <v>8.25</v>
      </c>
      <c r="H97" s="1067">
        <v>31.75</v>
      </c>
    </row>
    <row r="98" spans="1:8" x14ac:dyDescent="0.25">
      <c r="A98" s="1067" t="s">
        <v>202</v>
      </c>
      <c r="B98" s="1067" t="s">
        <v>247</v>
      </c>
      <c r="C98" s="1067"/>
      <c r="D98" s="1067" t="s">
        <v>33</v>
      </c>
      <c r="E98" s="1067">
        <v>82</v>
      </c>
      <c r="F98" s="1067">
        <v>6</v>
      </c>
      <c r="G98" s="1067">
        <v>13.5</v>
      </c>
      <c r="H98" s="1067">
        <v>62.5</v>
      </c>
    </row>
    <row r="99" spans="1:8" x14ac:dyDescent="0.25">
      <c r="A99" s="1067" t="s">
        <v>202</v>
      </c>
      <c r="B99" s="1067" t="s">
        <v>247</v>
      </c>
      <c r="C99" s="1067"/>
      <c r="D99" s="1067" t="s">
        <v>37</v>
      </c>
      <c r="E99" s="1067">
        <v>9.5</v>
      </c>
      <c r="F99" s="1067">
        <v>0.75</v>
      </c>
      <c r="G99" s="1067">
        <v>2.5</v>
      </c>
      <c r="H99" s="1067">
        <v>6.25</v>
      </c>
    </row>
    <row r="100" spans="1:8" x14ac:dyDescent="0.25">
      <c r="A100" s="1067" t="s">
        <v>202</v>
      </c>
      <c r="B100" s="1067" t="s">
        <v>247</v>
      </c>
      <c r="C100" s="1067"/>
      <c r="D100" s="1067" t="s">
        <v>50</v>
      </c>
      <c r="E100" s="1067">
        <v>27</v>
      </c>
      <c r="F100" s="1067">
        <v>2.5</v>
      </c>
      <c r="G100" s="1067">
        <v>2.5</v>
      </c>
      <c r="H100" s="1067">
        <v>22</v>
      </c>
    </row>
    <row r="101" spans="1:8" x14ac:dyDescent="0.25">
      <c r="A101" s="1067" t="s">
        <v>202</v>
      </c>
      <c r="B101" s="1067" t="s">
        <v>247</v>
      </c>
      <c r="C101" s="1067"/>
      <c r="D101" s="1067" t="s">
        <v>39</v>
      </c>
      <c r="E101" s="1067">
        <v>0</v>
      </c>
      <c r="F101" s="1067">
        <v>0</v>
      </c>
      <c r="G101" s="1067">
        <v>0</v>
      </c>
      <c r="H101" s="1067">
        <v>0</v>
      </c>
    </row>
    <row r="102" spans="1:8" x14ac:dyDescent="0.25">
      <c r="A102" s="1067" t="s">
        <v>202</v>
      </c>
      <c r="B102" s="1067" t="s">
        <v>247</v>
      </c>
      <c r="C102" s="1067"/>
      <c r="D102" s="1067" t="s">
        <v>121</v>
      </c>
      <c r="E102" s="1067">
        <v>3.25</v>
      </c>
      <c r="F102" s="1067">
        <v>0</v>
      </c>
      <c r="G102" s="1067">
        <v>0</v>
      </c>
      <c r="H102" s="1067">
        <v>3.25</v>
      </c>
    </row>
    <row r="103" spans="1:8" x14ac:dyDescent="0.25">
      <c r="A103" s="1067" t="s">
        <v>202</v>
      </c>
      <c r="B103" s="1067" t="s">
        <v>247</v>
      </c>
      <c r="C103" s="1067"/>
      <c r="D103" s="1067" t="s">
        <v>43</v>
      </c>
      <c r="E103" s="1067">
        <v>93.37</v>
      </c>
      <c r="F103" s="1067">
        <v>9</v>
      </c>
      <c r="G103" s="1067">
        <v>18.93</v>
      </c>
      <c r="H103" s="1067">
        <v>65.44</v>
      </c>
    </row>
    <row r="104" spans="1:8" x14ac:dyDescent="0.25">
      <c r="A104" s="1067" t="s">
        <v>273</v>
      </c>
      <c r="B104" s="1067" t="s">
        <v>247</v>
      </c>
      <c r="C104" s="1067"/>
      <c r="D104" s="1067" t="s">
        <v>281</v>
      </c>
      <c r="E104" s="1067">
        <v>2546</v>
      </c>
      <c r="F104" s="1067">
        <v>246</v>
      </c>
      <c r="G104" s="1067">
        <v>499</v>
      </c>
      <c r="H104" s="1067">
        <v>1800</v>
      </c>
    </row>
    <row r="105" spans="1:8" x14ac:dyDescent="0.25">
      <c r="A105" s="1067" t="s">
        <v>273</v>
      </c>
      <c r="B105" s="1067" t="s">
        <v>247</v>
      </c>
      <c r="C105" s="1067"/>
      <c r="D105" s="1067" t="s">
        <v>35</v>
      </c>
      <c r="E105" s="1067">
        <v>17</v>
      </c>
      <c r="F105" s="1067">
        <v>2</v>
      </c>
      <c r="G105" s="1067">
        <v>2</v>
      </c>
      <c r="H105" s="1067">
        <v>13</v>
      </c>
    </row>
    <row r="106" spans="1:8" x14ac:dyDescent="0.25">
      <c r="A106" s="1067" t="s">
        <v>273</v>
      </c>
      <c r="B106" s="1067" t="s">
        <v>247</v>
      </c>
      <c r="C106" s="1067"/>
      <c r="D106" s="1067" t="s">
        <v>36</v>
      </c>
      <c r="E106" s="1067">
        <v>177</v>
      </c>
      <c r="F106" s="1067">
        <v>14</v>
      </c>
      <c r="G106" s="1067">
        <v>34</v>
      </c>
      <c r="H106" s="1067">
        <v>129</v>
      </c>
    </row>
    <row r="107" spans="1:8" x14ac:dyDescent="0.25">
      <c r="A107" s="1067" t="s">
        <v>273</v>
      </c>
      <c r="B107" s="1067" t="s">
        <v>247</v>
      </c>
      <c r="C107" s="1067"/>
      <c r="D107" s="1067" t="s">
        <v>38</v>
      </c>
      <c r="E107" s="1067">
        <v>69</v>
      </c>
      <c r="F107" s="1067">
        <v>6</v>
      </c>
      <c r="G107" s="1067">
        <v>9</v>
      </c>
      <c r="H107" s="1067">
        <v>54</v>
      </c>
    </row>
    <row r="108" spans="1:8" x14ac:dyDescent="0.25">
      <c r="A108" s="1067" t="s">
        <v>273</v>
      </c>
      <c r="B108" s="1067" t="s">
        <v>247</v>
      </c>
      <c r="C108" s="1067"/>
      <c r="D108" s="1067" t="s">
        <v>40</v>
      </c>
      <c r="E108" s="1067">
        <v>45</v>
      </c>
      <c r="F108" s="1067">
        <v>4</v>
      </c>
      <c r="G108" s="1067">
        <v>11</v>
      </c>
      <c r="H108" s="1067">
        <v>30</v>
      </c>
    </row>
    <row r="109" spans="1:8" x14ac:dyDescent="0.25">
      <c r="A109" s="1067" t="s">
        <v>273</v>
      </c>
      <c r="B109" s="1067" t="s">
        <v>247</v>
      </c>
      <c r="C109" s="1067"/>
      <c r="D109" s="1067" t="s">
        <v>41</v>
      </c>
      <c r="E109" s="1067">
        <v>0</v>
      </c>
      <c r="F109" s="1067">
        <v>0</v>
      </c>
      <c r="G109" s="1067">
        <v>0</v>
      </c>
      <c r="H109" s="1067">
        <v>0</v>
      </c>
    </row>
    <row r="110" spans="1:8" x14ac:dyDescent="0.25">
      <c r="A110" s="1067" t="s">
        <v>273</v>
      </c>
      <c r="B110" s="1067" t="s">
        <v>247</v>
      </c>
      <c r="C110" s="1067"/>
      <c r="D110" s="1067" t="s">
        <v>48</v>
      </c>
      <c r="E110" s="1067">
        <v>130</v>
      </c>
      <c r="F110" s="1067">
        <v>12</v>
      </c>
      <c r="G110" s="1067">
        <v>32</v>
      </c>
      <c r="H110" s="1067">
        <v>86</v>
      </c>
    </row>
    <row r="111" spans="1:8" x14ac:dyDescent="0.25">
      <c r="A111" s="1067" t="s">
        <v>273</v>
      </c>
      <c r="B111" s="1067" t="s">
        <v>247</v>
      </c>
      <c r="C111" s="1067"/>
      <c r="D111" s="1067" t="s">
        <v>42</v>
      </c>
      <c r="E111" s="1067">
        <v>39</v>
      </c>
      <c r="F111" s="1067">
        <v>3</v>
      </c>
      <c r="G111" s="1067">
        <v>7</v>
      </c>
      <c r="H111" s="1067">
        <v>29</v>
      </c>
    </row>
    <row r="112" spans="1:8" x14ac:dyDescent="0.25">
      <c r="A112" s="1067" t="s">
        <v>273</v>
      </c>
      <c r="B112" s="1067" t="s">
        <v>247</v>
      </c>
      <c r="C112" s="1067"/>
      <c r="D112" s="1067" t="s">
        <v>44</v>
      </c>
      <c r="E112" s="1067">
        <v>485</v>
      </c>
      <c r="F112" s="1067">
        <v>50</v>
      </c>
      <c r="G112" s="1067">
        <v>97</v>
      </c>
      <c r="H112" s="1067">
        <v>338</v>
      </c>
    </row>
    <row r="113" spans="1:8" x14ac:dyDescent="0.25">
      <c r="A113" s="1067" t="s">
        <v>273</v>
      </c>
      <c r="B113" s="1067" t="s">
        <v>247</v>
      </c>
      <c r="C113" s="1067"/>
      <c r="D113" s="1067" t="s">
        <v>45</v>
      </c>
      <c r="E113" s="1067">
        <v>31</v>
      </c>
      <c r="F113" s="1067">
        <v>2</v>
      </c>
      <c r="G113" s="1067">
        <v>5</v>
      </c>
      <c r="H113" s="1067">
        <v>24</v>
      </c>
    </row>
    <row r="114" spans="1:8" x14ac:dyDescent="0.25">
      <c r="A114" s="1067" t="s">
        <v>273</v>
      </c>
      <c r="B114" s="1067" t="s">
        <v>247</v>
      </c>
      <c r="C114" s="1067"/>
      <c r="D114" s="1067" t="s">
        <v>46</v>
      </c>
      <c r="E114" s="1067">
        <v>8</v>
      </c>
      <c r="F114" s="1067">
        <v>1</v>
      </c>
      <c r="G114" s="1067">
        <v>1</v>
      </c>
      <c r="H114" s="1067">
        <v>6</v>
      </c>
    </row>
    <row r="115" spans="1:8" x14ac:dyDescent="0.25">
      <c r="A115" s="1067" t="s">
        <v>273</v>
      </c>
      <c r="B115" s="1067" t="s">
        <v>247</v>
      </c>
      <c r="C115" s="1067"/>
      <c r="D115" s="1067" t="s">
        <v>47</v>
      </c>
      <c r="E115" s="1067">
        <v>112</v>
      </c>
      <c r="F115" s="1067">
        <v>11</v>
      </c>
      <c r="G115" s="1067">
        <v>22</v>
      </c>
      <c r="H115" s="1067">
        <v>79</v>
      </c>
    </row>
    <row r="116" spans="1:8" x14ac:dyDescent="0.25">
      <c r="A116" s="1067" t="s">
        <v>273</v>
      </c>
      <c r="B116" s="1067" t="s">
        <v>247</v>
      </c>
      <c r="C116" s="1067"/>
      <c r="D116" s="1067" t="s">
        <v>49</v>
      </c>
      <c r="E116" s="1067">
        <v>89</v>
      </c>
      <c r="F116" s="1067">
        <v>9</v>
      </c>
      <c r="G116" s="1067">
        <v>10</v>
      </c>
      <c r="H116" s="1067">
        <v>70</v>
      </c>
    </row>
    <row r="117" spans="1:8" x14ac:dyDescent="0.25">
      <c r="A117" s="1067" t="s">
        <v>273</v>
      </c>
      <c r="B117" s="1067" t="s">
        <v>247</v>
      </c>
      <c r="C117" s="1067"/>
      <c r="D117" s="1067" t="s">
        <v>51</v>
      </c>
      <c r="E117" s="1067">
        <v>92</v>
      </c>
      <c r="F117" s="1067">
        <v>11</v>
      </c>
      <c r="G117" s="1067">
        <v>20</v>
      </c>
      <c r="H117" s="1067">
        <v>61</v>
      </c>
    </row>
    <row r="118" spans="1:8" x14ac:dyDescent="0.25">
      <c r="A118" s="1067" t="s">
        <v>273</v>
      </c>
      <c r="B118" s="1067" t="s">
        <v>247</v>
      </c>
      <c r="C118" s="1067"/>
      <c r="D118" s="1067" t="s">
        <v>52</v>
      </c>
      <c r="E118" s="1067">
        <v>107</v>
      </c>
      <c r="F118" s="1067">
        <v>8</v>
      </c>
      <c r="G118" s="1067">
        <v>21</v>
      </c>
      <c r="H118" s="1067">
        <v>78</v>
      </c>
    </row>
    <row r="119" spans="1:8" x14ac:dyDescent="0.25">
      <c r="A119" s="1067" t="s">
        <v>273</v>
      </c>
      <c r="B119" s="1067" t="s">
        <v>247</v>
      </c>
      <c r="C119" s="1067"/>
      <c r="D119" s="1067" t="s">
        <v>54</v>
      </c>
      <c r="E119" s="1067">
        <v>118</v>
      </c>
      <c r="F119" s="1067">
        <v>12</v>
      </c>
      <c r="G119" s="1067">
        <v>23</v>
      </c>
      <c r="H119" s="1067">
        <v>83</v>
      </c>
    </row>
    <row r="120" spans="1:8" x14ac:dyDescent="0.25">
      <c r="A120" s="1067" t="s">
        <v>273</v>
      </c>
      <c r="B120" s="1067" t="s">
        <v>247</v>
      </c>
      <c r="C120" s="1067"/>
      <c r="D120" s="1067" t="s">
        <v>55</v>
      </c>
      <c r="E120" s="1067">
        <v>112</v>
      </c>
      <c r="F120" s="1067">
        <v>11</v>
      </c>
      <c r="G120" s="1067">
        <v>25</v>
      </c>
      <c r="H120" s="1067">
        <v>76</v>
      </c>
    </row>
    <row r="121" spans="1:8" x14ac:dyDescent="0.25">
      <c r="A121" s="1067" t="s">
        <v>273</v>
      </c>
      <c r="B121" s="1067" t="s">
        <v>247</v>
      </c>
      <c r="C121" s="1067"/>
      <c r="D121" s="1067" t="s">
        <v>56</v>
      </c>
      <c r="E121" s="1067">
        <v>42</v>
      </c>
      <c r="F121" s="1067">
        <v>5</v>
      </c>
      <c r="G121" s="1067">
        <v>7</v>
      </c>
      <c r="H121" s="1067">
        <v>30</v>
      </c>
    </row>
    <row r="122" spans="1:8" x14ac:dyDescent="0.25">
      <c r="A122" s="1067" t="s">
        <v>273</v>
      </c>
      <c r="B122" s="1067" t="s">
        <v>247</v>
      </c>
      <c r="C122" s="1067"/>
      <c r="D122" s="1067" t="s">
        <v>57</v>
      </c>
      <c r="E122" s="1067">
        <v>64</v>
      </c>
      <c r="F122" s="1067">
        <v>7</v>
      </c>
      <c r="G122" s="1067">
        <v>8</v>
      </c>
      <c r="H122" s="1067">
        <v>49</v>
      </c>
    </row>
    <row r="123" spans="1:8" x14ac:dyDescent="0.25">
      <c r="A123" s="1067" t="s">
        <v>273</v>
      </c>
      <c r="B123" s="1067" t="s">
        <v>247</v>
      </c>
      <c r="C123" s="1067"/>
      <c r="D123" s="1067" t="s">
        <v>58</v>
      </c>
      <c r="E123" s="1067">
        <v>63</v>
      </c>
      <c r="F123" s="1067">
        <v>7</v>
      </c>
      <c r="G123" s="1067">
        <v>15</v>
      </c>
      <c r="H123" s="1067">
        <v>41</v>
      </c>
    </row>
    <row r="124" spans="1:8" x14ac:dyDescent="0.25">
      <c r="A124" s="1067" t="s">
        <v>273</v>
      </c>
      <c r="B124" s="1067" t="s">
        <v>247</v>
      </c>
      <c r="C124" s="1067"/>
      <c r="D124" s="1067" t="s">
        <v>31</v>
      </c>
      <c r="E124" s="1067">
        <v>5</v>
      </c>
      <c r="F124" s="1067">
        <v>1</v>
      </c>
      <c r="G124" s="1067">
        <v>1</v>
      </c>
      <c r="H124" s="1067">
        <v>3</v>
      </c>
    </row>
    <row r="125" spans="1:8" x14ac:dyDescent="0.25">
      <c r="A125" s="1067" t="s">
        <v>273</v>
      </c>
      <c r="B125" s="1067" t="s">
        <v>247</v>
      </c>
      <c r="C125" s="1067"/>
      <c r="D125" s="1067" t="s">
        <v>32</v>
      </c>
      <c r="E125" s="1067">
        <v>250</v>
      </c>
      <c r="F125" s="1067">
        <v>24</v>
      </c>
      <c r="G125" s="1067">
        <v>61</v>
      </c>
      <c r="H125" s="1067">
        <v>165</v>
      </c>
    </row>
    <row r="126" spans="1:8" x14ac:dyDescent="0.25">
      <c r="A126" s="1067" t="s">
        <v>273</v>
      </c>
      <c r="B126" s="1067" t="s">
        <v>247</v>
      </c>
      <c r="C126" s="1067"/>
      <c r="D126" s="1067" t="s">
        <v>34</v>
      </c>
      <c r="E126" s="1067">
        <v>171</v>
      </c>
      <c r="F126" s="1067">
        <v>13</v>
      </c>
      <c r="G126" s="1067">
        <v>25</v>
      </c>
      <c r="H126" s="1067">
        <v>133</v>
      </c>
    </row>
    <row r="127" spans="1:8" x14ac:dyDescent="0.25">
      <c r="A127" s="1067" t="s">
        <v>273</v>
      </c>
      <c r="B127" s="1067" t="s">
        <v>247</v>
      </c>
      <c r="C127" s="1067"/>
      <c r="D127" s="1067" t="s">
        <v>258</v>
      </c>
      <c r="E127" s="1067">
        <v>9</v>
      </c>
      <c r="F127" s="1067">
        <v>1</v>
      </c>
      <c r="G127" s="1067">
        <v>1</v>
      </c>
      <c r="H127" s="1067">
        <v>7</v>
      </c>
    </row>
    <row r="128" spans="1:8" x14ac:dyDescent="0.25">
      <c r="A128" s="1067" t="s">
        <v>273</v>
      </c>
      <c r="B128" s="1067" t="s">
        <v>247</v>
      </c>
      <c r="C128" s="1067"/>
      <c r="D128" s="1067" t="s">
        <v>53</v>
      </c>
      <c r="E128" s="1067">
        <v>10</v>
      </c>
      <c r="F128" s="1067">
        <v>1</v>
      </c>
      <c r="G128" s="1067">
        <v>1</v>
      </c>
      <c r="H128" s="1067">
        <v>8</v>
      </c>
    </row>
    <row r="129" spans="1:8" x14ac:dyDescent="0.25">
      <c r="A129" s="1067" t="s">
        <v>273</v>
      </c>
      <c r="B129" s="1067" t="s">
        <v>247</v>
      </c>
      <c r="C129" s="1067"/>
      <c r="D129" s="1067" t="s">
        <v>59</v>
      </c>
      <c r="E129" s="1067">
        <v>12</v>
      </c>
      <c r="F129" s="1067">
        <v>0</v>
      </c>
      <c r="G129" s="1067">
        <v>0</v>
      </c>
      <c r="H129" s="1067">
        <v>12</v>
      </c>
    </row>
    <row r="130" spans="1:8" x14ac:dyDescent="0.25">
      <c r="A130" s="1067" t="s">
        <v>273</v>
      </c>
      <c r="B130" s="1067" t="s">
        <v>247</v>
      </c>
      <c r="C130" s="1067"/>
      <c r="D130" s="1067" t="s">
        <v>60</v>
      </c>
      <c r="E130" s="1067">
        <v>48</v>
      </c>
      <c r="F130" s="1067">
        <v>4</v>
      </c>
      <c r="G130" s="1067">
        <v>9</v>
      </c>
      <c r="H130" s="1067">
        <v>35</v>
      </c>
    </row>
    <row r="131" spans="1:8" x14ac:dyDescent="0.25">
      <c r="A131" s="1067" t="s">
        <v>273</v>
      </c>
      <c r="B131" s="1067" t="s">
        <v>247</v>
      </c>
      <c r="C131" s="1067"/>
      <c r="D131" s="1067" t="s">
        <v>33</v>
      </c>
      <c r="E131" s="1067">
        <v>78</v>
      </c>
      <c r="F131" s="1067">
        <v>6</v>
      </c>
      <c r="G131" s="1067">
        <v>14</v>
      </c>
      <c r="H131" s="1067">
        <v>58</v>
      </c>
    </row>
    <row r="132" spans="1:8" x14ac:dyDescent="0.25">
      <c r="A132" s="1067" t="s">
        <v>273</v>
      </c>
      <c r="B132" s="1067" t="s">
        <v>247</v>
      </c>
      <c r="C132" s="1067"/>
      <c r="D132" s="1067" t="s">
        <v>37</v>
      </c>
      <c r="E132" s="1067">
        <v>11</v>
      </c>
      <c r="F132" s="1067">
        <v>1</v>
      </c>
      <c r="G132" s="1067">
        <v>2</v>
      </c>
      <c r="H132" s="1067">
        <v>8</v>
      </c>
    </row>
    <row r="133" spans="1:8" x14ac:dyDescent="0.25">
      <c r="A133" s="1067" t="s">
        <v>273</v>
      </c>
      <c r="B133" s="1067" t="s">
        <v>247</v>
      </c>
      <c r="C133" s="1067"/>
      <c r="D133" s="1067" t="s">
        <v>50</v>
      </c>
      <c r="E133" s="1067">
        <v>25</v>
      </c>
      <c r="F133" s="1067">
        <v>3</v>
      </c>
      <c r="G133" s="1067">
        <v>5</v>
      </c>
      <c r="H133" s="1067">
        <v>17</v>
      </c>
    </row>
    <row r="134" spans="1:8" x14ac:dyDescent="0.25">
      <c r="A134" s="1067" t="s">
        <v>273</v>
      </c>
      <c r="B134" s="1067" t="s">
        <v>247</v>
      </c>
      <c r="C134" s="1067"/>
      <c r="D134" s="1067" t="s">
        <v>39</v>
      </c>
      <c r="E134" s="1067">
        <v>0</v>
      </c>
      <c r="F134" s="1067">
        <v>0</v>
      </c>
      <c r="G134" s="1067">
        <v>0</v>
      </c>
      <c r="H134" s="1067">
        <v>0</v>
      </c>
    </row>
    <row r="135" spans="1:8" x14ac:dyDescent="0.25">
      <c r="A135" s="1067" t="s">
        <v>273</v>
      </c>
      <c r="B135" s="1067" t="s">
        <v>247</v>
      </c>
      <c r="C135" s="1067"/>
      <c r="D135" s="1067" t="s">
        <v>121</v>
      </c>
      <c r="E135" s="1067">
        <v>0</v>
      </c>
      <c r="F135" s="1067">
        <v>0</v>
      </c>
      <c r="G135" s="1067">
        <v>0</v>
      </c>
      <c r="H135" s="1067">
        <v>0</v>
      </c>
    </row>
    <row r="136" spans="1:8" x14ac:dyDescent="0.25">
      <c r="A136" s="1067" t="s">
        <v>273</v>
      </c>
      <c r="B136" s="1067" t="s">
        <v>247</v>
      </c>
      <c r="C136" s="1067"/>
      <c r="D136" s="1067" t="s">
        <v>43</v>
      </c>
      <c r="E136" s="1067">
        <v>93</v>
      </c>
      <c r="F136" s="1067">
        <v>9</v>
      </c>
      <c r="G136" s="1067">
        <v>18</v>
      </c>
      <c r="H136" s="1067">
        <v>66</v>
      </c>
    </row>
    <row r="137" spans="1:8" x14ac:dyDescent="0.25">
      <c r="A137" s="1067" t="s">
        <v>255</v>
      </c>
      <c r="B137" s="1067" t="s">
        <v>247</v>
      </c>
      <c r="C137" s="1067"/>
      <c r="D137" s="1067" t="s">
        <v>281</v>
      </c>
      <c r="E137" s="1067">
        <v>2545</v>
      </c>
      <c r="F137" s="1067">
        <v>246</v>
      </c>
      <c r="G137" s="1067">
        <v>477</v>
      </c>
      <c r="H137" s="1067">
        <v>1822</v>
      </c>
    </row>
    <row r="138" spans="1:8" x14ac:dyDescent="0.25">
      <c r="A138" s="1067" t="s">
        <v>255</v>
      </c>
      <c r="B138" s="1067" t="s">
        <v>247</v>
      </c>
      <c r="C138" s="1067"/>
      <c r="D138" s="1067" t="s">
        <v>35</v>
      </c>
      <c r="E138" s="1067">
        <v>17</v>
      </c>
      <c r="F138" s="1067">
        <v>2</v>
      </c>
      <c r="G138" s="1067">
        <v>2</v>
      </c>
      <c r="H138" s="1067">
        <v>13</v>
      </c>
    </row>
    <row r="139" spans="1:8" x14ac:dyDescent="0.25">
      <c r="A139" s="1067" t="s">
        <v>255</v>
      </c>
      <c r="B139" s="1067" t="s">
        <v>247</v>
      </c>
      <c r="C139" s="1067"/>
      <c r="D139" s="1067" t="s">
        <v>36</v>
      </c>
      <c r="E139" s="1067">
        <v>167</v>
      </c>
      <c r="F139" s="1067">
        <v>14</v>
      </c>
      <c r="G139" s="1067">
        <v>31</v>
      </c>
      <c r="H139" s="1067">
        <v>122</v>
      </c>
    </row>
    <row r="140" spans="1:8" x14ac:dyDescent="0.25">
      <c r="A140" s="1067" t="s">
        <v>255</v>
      </c>
      <c r="B140" s="1067" t="s">
        <v>247</v>
      </c>
      <c r="C140" s="1067"/>
      <c r="D140" s="1067" t="s">
        <v>38</v>
      </c>
      <c r="E140" s="1067">
        <v>69</v>
      </c>
      <c r="F140" s="1067">
        <v>6</v>
      </c>
      <c r="G140" s="1067">
        <v>7</v>
      </c>
      <c r="H140" s="1067">
        <v>56</v>
      </c>
    </row>
    <row r="141" spans="1:8" x14ac:dyDescent="0.25">
      <c r="A141" s="1067" t="s">
        <v>255</v>
      </c>
      <c r="B141" s="1067" t="s">
        <v>247</v>
      </c>
      <c r="C141" s="1067"/>
      <c r="D141" s="1067" t="s">
        <v>40</v>
      </c>
      <c r="E141" s="1067">
        <v>47</v>
      </c>
      <c r="F141" s="1067">
        <v>5</v>
      </c>
      <c r="G141" s="1067">
        <v>9</v>
      </c>
      <c r="H141" s="1067">
        <v>34</v>
      </c>
    </row>
    <row r="142" spans="1:8" x14ac:dyDescent="0.25">
      <c r="A142" s="1067" t="s">
        <v>255</v>
      </c>
      <c r="B142" s="1067" t="s">
        <v>247</v>
      </c>
      <c r="C142" s="1067"/>
      <c r="D142" s="1067" t="s">
        <v>48</v>
      </c>
      <c r="E142" s="1067">
        <v>125</v>
      </c>
      <c r="F142" s="1067">
        <v>13</v>
      </c>
      <c r="G142" s="1067">
        <v>24</v>
      </c>
      <c r="H142" s="1067">
        <v>88</v>
      </c>
    </row>
    <row r="143" spans="1:8" x14ac:dyDescent="0.25">
      <c r="A143" s="1067" t="s">
        <v>255</v>
      </c>
      <c r="B143" s="1067" t="s">
        <v>247</v>
      </c>
      <c r="C143" s="1067"/>
      <c r="D143" s="1067" t="s">
        <v>42</v>
      </c>
      <c r="E143" s="1067">
        <v>41</v>
      </c>
      <c r="F143" s="1067">
        <v>4</v>
      </c>
      <c r="G143" s="1067">
        <v>8</v>
      </c>
      <c r="H143" s="1067">
        <v>28</v>
      </c>
    </row>
    <row r="144" spans="1:8" x14ac:dyDescent="0.25">
      <c r="A144" s="1067" t="s">
        <v>255</v>
      </c>
      <c r="B144" s="1067" t="s">
        <v>247</v>
      </c>
      <c r="C144" s="1067"/>
      <c r="D144" s="1067" t="s">
        <v>44</v>
      </c>
      <c r="E144" s="1067">
        <v>494</v>
      </c>
      <c r="F144" s="1067">
        <v>53</v>
      </c>
      <c r="G144" s="1067">
        <v>101</v>
      </c>
      <c r="H144" s="1067">
        <v>340</v>
      </c>
    </row>
    <row r="145" spans="1:8" x14ac:dyDescent="0.25">
      <c r="A145" s="1067" t="s">
        <v>255</v>
      </c>
      <c r="B145" s="1067" t="s">
        <v>247</v>
      </c>
      <c r="C145" s="1067"/>
      <c r="D145" s="1067" t="s">
        <v>45</v>
      </c>
      <c r="E145" s="1067">
        <v>34</v>
      </c>
      <c r="F145" s="1067">
        <v>3</v>
      </c>
      <c r="G145" s="1067">
        <v>5</v>
      </c>
      <c r="H145" s="1067">
        <v>26</v>
      </c>
    </row>
    <row r="146" spans="1:8" x14ac:dyDescent="0.25">
      <c r="A146" s="1067" t="s">
        <v>255</v>
      </c>
      <c r="B146" s="1067" t="s">
        <v>247</v>
      </c>
      <c r="C146" s="1067"/>
      <c r="D146" s="1067" t="s">
        <v>46</v>
      </c>
      <c r="E146" s="1067">
        <v>10</v>
      </c>
      <c r="F146" s="1067">
        <v>1</v>
      </c>
      <c r="G146" s="1067">
        <v>2</v>
      </c>
      <c r="H146" s="1067">
        <v>7</v>
      </c>
    </row>
    <row r="147" spans="1:8" x14ac:dyDescent="0.25">
      <c r="A147" s="1067" t="s">
        <v>255</v>
      </c>
      <c r="B147" s="1067" t="s">
        <v>247</v>
      </c>
      <c r="C147" s="1067"/>
      <c r="D147" s="1067" t="s">
        <v>47</v>
      </c>
      <c r="E147" s="1067">
        <v>111</v>
      </c>
      <c r="F147" s="1067">
        <v>11</v>
      </c>
      <c r="G147" s="1067">
        <v>24</v>
      </c>
      <c r="H147" s="1067">
        <v>76</v>
      </c>
    </row>
    <row r="148" spans="1:8" x14ac:dyDescent="0.25">
      <c r="A148" s="1067" t="s">
        <v>255</v>
      </c>
      <c r="B148" s="1067" t="s">
        <v>247</v>
      </c>
      <c r="C148" s="1067"/>
      <c r="D148" s="1067" t="s">
        <v>49</v>
      </c>
      <c r="E148" s="1067">
        <v>92</v>
      </c>
      <c r="F148" s="1067">
        <v>10</v>
      </c>
      <c r="G148" s="1067">
        <v>9</v>
      </c>
      <c r="H148" s="1067">
        <v>73</v>
      </c>
    </row>
    <row r="149" spans="1:8" x14ac:dyDescent="0.25">
      <c r="A149" s="1067" t="s">
        <v>255</v>
      </c>
      <c r="B149" s="1067" t="s">
        <v>247</v>
      </c>
      <c r="C149" s="1067"/>
      <c r="D149" s="1067" t="s">
        <v>51</v>
      </c>
      <c r="E149" s="1067">
        <v>98</v>
      </c>
      <c r="F149" s="1067">
        <v>9</v>
      </c>
      <c r="G149" s="1067">
        <v>22</v>
      </c>
      <c r="H149" s="1067">
        <v>68</v>
      </c>
    </row>
    <row r="150" spans="1:8" x14ac:dyDescent="0.25">
      <c r="A150" s="1067" t="s">
        <v>255</v>
      </c>
      <c r="B150" s="1067" t="s">
        <v>247</v>
      </c>
      <c r="C150" s="1067"/>
      <c r="D150" s="1067" t="s">
        <v>52</v>
      </c>
      <c r="E150" s="1067">
        <v>110</v>
      </c>
      <c r="F150" s="1067">
        <v>8</v>
      </c>
      <c r="G150" s="1067">
        <v>22</v>
      </c>
      <c r="H150" s="1067">
        <v>80</v>
      </c>
    </row>
    <row r="151" spans="1:8" x14ac:dyDescent="0.25">
      <c r="A151" s="1067" t="s">
        <v>255</v>
      </c>
      <c r="B151" s="1067" t="s">
        <v>247</v>
      </c>
      <c r="C151" s="1067"/>
      <c r="D151" s="1067" t="s">
        <v>54</v>
      </c>
      <c r="E151" s="1067">
        <v>118</v>
      </c>
      <c r="F151" s="1067">
        <v>12</v>
      </c>
      <c r="G151" s="1067">
        <v>24</v>
      </c>
      <c r="H151" s="1067">
        <v>82</v>
      </c>
    </row>
    <row r="152" spans="1:8" x14ac:dyDescent="0.25">
      <c r="A152" s="1067" t="s">
        <v>255</v>
      </c>
      <c r="B152" s="1067" t="s">
        <v>247</v>
      </c>
      <c r="C152" s="1067"/>
      <c r="D152" s="1067" t="s">
        <v>55</v>
      </c>
      <c r="E152" s="1067">
        <v>110</v>
      </c>
      <c r="F152" s="1067">
        <v>11</v>
      </c>
      <c r="G152" s="1067">
        <v>23</v>
      </c>
      <c r="H152" s="1067">
        <v>76</v>
      </c>
    </row>
    <row r="153" spans="1:8" x14ac:dyDescent="0.25">
      <c r="A153" s="1067" t="s">
        <v>255</v>
      </c>
      <c r="B153" s="1067" t="s">
        <v>247</v>
      </c>
      <c r="C153" s="1067"/>
      <c r="D153" s="1067" t="s">
        <v>56</v>
      </c>
      <c r="E153" s="1067">
        <v>44</v>
      </c>
      <c r="F153" s="1067">
        <v>5</v>
      </c>
      <c r="G153" s="1067">
        <v>5</v>
      </c>
      <c r="H153" s="1067">
        <v>34</v>
      </c>
    </row>
    <row r="154" spans="1:8" x14ac:dyDescent="0.25">
      <c r="A154" s="1067" t="s">
        <v>255</v>
      </c>
      <c r="B154" s="1067" t="s">
        <v>247</v>
      </c>
      <c r="C154" s="1067"/>
      <c r="D154" s="1067" t="s">
        <v>57</v>
      </c>
      <c r="E154" s="1067">
        <v>66</v>
      </c>
      <c r="F154" s="1067">
        <v>9</v>
      </c>
      <c r="G154" s="1067">
        <v>7</v>
      </c>
      <c r="H154" s="1067">
        <v>50</v>
      </c>
    </row>
    <row r="155" spans="1:8" x14ac:dyDescent="0.25">
      <c r="A155" s="1067" t="s">
        <v>255</v>
      </c>
      <c r="B155" s="1067" t="s">
        <v>247</v>
      </c>
      <c r="C155" s="1067"/>
      <c r="D155" s="1067" t="s">
        <v>58</v>
      </c>
      <c r="E155" s="1067">
        <v>65</v>
      </c>
      <c r="F155" s="1067">
        <v>8</v>
      </c>
      <c r="G155" s="1067">
        <v>14</v>
      </c>
      <c r="H155" s="1067">
        <v>44</v>
      </c>
    </row>
    <row r="156" spans="1:8" x14ac:dyDescent="0.25">
      <c r="A156" s="1067" t="s">
        <v>255</v>
      </c>
      <c r="B156" s="1067" t="s">
        <v>247</v>
      </c>
      <c r="C156" s="1067"/>
      <c r="D156" s="1067" t="s">
        <v>31</v>
      </c>
      <c r="E156" s="1067">
        <v>6</v>
      </c>
      <c r="F156" s="1067">
        <v>1</v>
      </c>
      <c r="G156" s="1067">
        <v>1</v>
      </c>
      <c r="H156" s="1067">
        <v>4</v>
      </c>
    </row>
    <row r="157" spans="1:8" x14ac:dyDescent="0.25">
      <c r="A157" s="1067" t="s">
        <v>255</v>
      </c>
      <c r="B157" s="1067" t="s">
        <v>247</v>
      </c>
      <c r="C157" s="1067"/>
      <c r="D157" s="1067" t="s">
        <v>32</v>
      </c>
      <c r="E157" s="1067">
        <v>248</v>
      </c>
      <c r="F157" s="1067">
        <v>23</v>
      </c>
      <c r="G157" s="1067">
        <v>63</v>
      </c>
      <c r="H157" s="1067">
        <v>162</v>
      </c>
    </row>
    <row r="158" spans="1:8" x14ac:dyDescent="0.25">
      <c r="A158" s="1067" t="s">
        <v>255</v>
      </c>
      <c r="B158" s="1067" t="s">
        <v>247</v>
      </c>
      <c r="C158" s="1067"/>
      <c r="D158" s="1067" t="s">
        <v>34</v>
      </c>
      <c r="E158" s="1067">
        <v>166</v>
      </c>
      <c r="F158" s="1067">
        <v>14</v>
      </c>
      <c r="G158" s="1067">
        <v>24</v>
      </c>
      <c r="H158" s="1067">
        <v>128</v>
      </c>
    </row>
    <row r="159" spans="1:8" x14ac:dyDescent="0.25">
      <c r="A159" s="1067" t="s">
        <v>255</v>
      </c>
      <c r="B159" s="1067" t="s">
        <v>247</v>
      </c>
      <c r="C159" s="1067"/>
      <c r="D159" s="1067" t="s">
        <v>258</v>
      </c>
      <c r="E159" s="1067">
        <v>8</v>
      </c>
      <c r="F159" s="1067">
        <v>1</v>
      </c>
      <c r="G159" s="1067">
        <v>1</v>
      </c>
      <c r="H159" s="1067">
        <v>6</v>
      </c>
    </row>
    <row r="160" spans="1:8" x14ac:dyDescent="0.25">
      <c r="A160" s="1067" t="s">
        <v>255</v>
      </c>
      <c r="B160" s="1067" t="s">
        <v>247</v>
      </c>
      <c r="C160" s="1067"/>
      <c r="D160" s="1067" t="s">
        <v>53</v>
      </c>
      <c r="E160" s="1067">
        <v>13</v>
      </c>
      <c r="F160" s="1067">
        <v>1</v>
      </c>
      <c r="G160" s="1067">
        <v>2</v>
      </c>
      <c r="H160" s="1067">
        <v>10</v>
      </c>
    </row>
    <row r="161" spans="1:8" x14ac:dyDescent="0.25">
      <c r="A161" s="1067" t="s">
        <v>255</v>
      </c>
      <c r="B161" s="1067" t="s">
        <v>247</v>
      </c>
      <c r="C161" s="1067"/>
      <c r="D161" s="1067" t="s">
        <v>59</v>
      </c>
      <c r="E161" s="1067">
        <v>16</v>
      </c>
      <c r="F161" s="1067">
        <v>2</v>
      </c>
      <c r="G161" s="1067">
        <v>2</v>
      </c>
      <c r="H161" s="1067">
        <v>12</v>
      </c>
    </row>
    <row r="162" spans="1:8" x14ac:dyDescent="0.25">
      <c r="A162" s="1067" t="s">
        <v>255</v>
      </c>
      <c r="B162" s="1067" t="s">
        <v>247</v>
      </c>
      <c r="C162" s="1067"/>
      <c r="D162" s="1067" t="s">
        <v>60</v>
      </c>
      <c r="E162" s="1067">
        <v>49</v>
      </c>
      <c r="F162" s="1067">
        <v>4</v>
      </c>
      <c r="G162" s="1067">
        <v>9</v>
      </c>
      <c r="H162" s="1067">
        <v>36</v>
      </c>
    </row>
    <row r="163" spans="1:8" x14ac:dyDescent="0.25">
      <c r="A163" s="1067" t="s">
        <v>255</v>
      </c>
      <c r="B163" s="1067" t="s">
        <v>247</v>
      </c>
      <c r="C163" s="1067"/>
      <c r="D163" s="1067" t="s">
        <v>33</v>
      </c>
      <c r="E163" s="1067">
        <v>80</v>
      </c>
      <c r="F163" s="1067">
        <v>6</v>
      </c>
      <c r="G163" s="1067">
        <v>14</v>
      </c>
      <c r="H163" s="1067">
        <v>60</v>
      </c>
    </row>
    <row r="164" spans="1:8" x14ac:dyDescent="0.25">
      <c r="A164" s="1067" t="s">
        <v>255</v>
      </c>
      <c r="B164" s="1067" t="s">
        <v>247</v>
      </c>
      <c r="C164" s="1067"/>
      <c r="D164" s="1067" t="s">
        <v>37</v>
      </c>
      <c r="E164" s="1067">
        <v>12</v>
      </c>
      <c r="F164" s="1067">
        <v>1</v>
      </c>
      <c r="G164" s="1067">
        <v>2</v>
      </c>
      <c r="H164" s="1067">
        <v>9</v>
      </c>
    </row>
    <row r="165" spans="1:8" x14ac:dyDescent="0.25">
      <c r="A165" s="1067" t="s">
        <v>255</v>
      </c>
      <c r="B165" s="1067" t="s">
        <v>247</v>
      </c>
      <c r="C165" s="1067"/>
      <c r="D165" s="1067" t="s">
        <v>50</v>
      </c>
      <c r="E165" s="1067">
        <v>28</v>
      </c>
      <c r="F165" s="1067">
        <v>2</v>
      </c>
      <c r="G165" s="1067">
        <v>5</v>
      </c>
      <c r="H165" s="1067">
        <v>21</v>
      </c>
    </row>
    <row r="166" spans="1:8" x14ac:dyDescent="0.25">
      <c r="A166" s="1067" t="s">
        <v>255</v>
      </c>
      <c r="B166" s="1067" t="s">
        <v>247</v>
      </c>
      <c r="C166" s="1067"/>
      <c r="D166" s="1067" t="s">
        <v>43</v>
      </c>
      <c r="E166" s="1067">
        <v>101</v>
      </c>
      <c r="F166" s="1067">
        <v>9</v>
      </c>
      <c r="G166" s="1067">
        <v>18</v>
      </c>
      <c r="H166" s="1067">
        <v>75</v>
      </c>
    </row>
    <row r="167" spans="1:8" x14ac:dyDescent="0.25">
      <c r="A167" s="1067" t="s">
        <v>254</v>
      </c>
      <c r="B167" s="1067" t="s">
        <v>247</v>
      </c>
      <c r="C167" s="1067"/>
      <c r="D167" s="1067" t="s">
        <v>281</v>
      </c>
      <c r="E167" s="1067">
        <v>2584</v>
      </c>
      <c r="F167" s="1067">
        <v>241</v>
      </c>
      <c r="G167" s="1067">
        <v>479</v>
      </c>
      <c r="H167" s="1067">
        <v>1864</v>
      </c>
    </row>
    <row r="168" spans="1:8" x14ac:dyDescent="0.25">
      <c r="A168" s="1067" t="s">
        <v>254</v>
      </c>
      <c r="B168" s="1067" t="s">
        <v>247</v>
      </c>
      <c r="C168" s="1067"/>
      <c r="D168" s="1067" t="s">
        <v>35</v>
      </c>
      <c r="E168" s="1067">
        <v>15</v>
      </c>
      <c r="F168" s="1067">
        <v>1</v>
      </c>
      <c r="G168" s="1067">
        <v>3</v>
      </c>
      <c r="H168" s="1067">
        <v>11</v>
      </c>
    </row>
    <row r="169" spans="1:8" x14ac:dyDescent="0.25">
      <c r="A169" s="1067" t="s">
        <v>254</v>
      </c>
      <c r="B169" s="1067" t="s">
        <v>247</v>
      </c>
      <c r="C169" s="1067"/>
      <c r="D169" s="1067" t="s">
        <v>36</v>
      </c>
      <c r="E169" s="1067">
        <v>173</v>
      </c>
      <c r="F169" s="1067">
        <v>15</v>
      </c>
      <c r="G169" s="1067">
        <v>31</v>
      </c>
      <c r="H169" s="1067">
        <v>127</v>
      </c>
    </row>
    <row r="170" spans="1:8" x14ac:dyDescent="0.25">
      <c r="A170" s="1067" t="s">
        <v>254</v>
      </c>
      <c r="B170" s="1067" t="s">
        <v>247</v>
      </c>
      <c r="C170" s="1067"/>
      <c r="D170" s="1067" t="s">
        <v>38</v>
      </c>
      <c r="E170" s="1067">
        <v>62</v>
      </c>
      <c r="F170" s="1067">
        <v>4</v>
      </c>
      <c r="G170" s="1067">
        <v>8</v>
      </c>
      <c r="H170" s="1067">
        <v>49</v>
      </c>
    </row>
    <row r="171" spans="1:8" x14ac:dyDescent="0.25">
      <c r="A171" s="1067" t="s">
        <v>254</v>
      </c>
      <c r="B171" s="1067" t="s">
        <v>247</v>
      </c>
      <c r="C171" s="1067"/>
      <c r="D171" s="1067" t="s">
        <v>40</v>
      </c>
      <c r="E171" s="1067">
        <v>51</v>
      </c>
      <c r="F171" s="1067">
        <v>4</v>
      </c>
      <c r="G171" s="1067">
        <v>10</v>
      </c>
      <c r="H171" s="1067">
        <v>36</v>
      </c>
    </row>
    <row r="172" spans="1:8" x14ac:dyDescent="0.25">
      <c r="A172" s="1067" t="s">
        <v>254</v>
      </c>
      <c r="B172" s="1067" t="s">
        <v>247</v>
      </c>
      <c r="C172" s="1067"/>
      <c r="D172" s="1067" t="s">
        <v>48</v>
      </c>
      <c r="E172" s="1067">
        <v>127</v>
      </c>
      <c r="F172" s="1067">
        <v>12</v>
      </c>
      <c r="G172" s="1067">
        <v>24</v>
      </c>
      <c r="H172" s="1067">
        <v>90</v>
      </c>
    </row>
    <row r="173" spans="1:8" x14ac:dyDescent="0.25">
      <c r="A173" s="1067" t="s">
        <v>254</v>
      </c>
      <c r="B173" s="1067" t="s">
        <v>247</v>
      </c>
      <c r="C173" s="1067"/>
      <c r="D173" s="1067" t="s">
        <v>42</v>
      </c>
      <c r="E173" s="1067">
        <v>41</v>
      </c>
      <c r="F173" s="1067">
        <v>4</v>
      </c>
      <c r="G173" s="1067">
        <v>8</v>
      </c>
      <c r="H173" s="1067">
        <v>29</v>
      </c>
    </row>
    <row r="174" spans="1:8" x14ac:dyDescent="0.25">
      <c r="A174" s="1067" t="s">
        <v>254</v>
      </c>
      <c r="B174" s="1067" t="s">
        <v>247</v>
      </c>
      <c r="C174" s="1067"/>
      <c r="D174" s="1067" t="s">
        <v>44</v>
      </c>
      <c r="E174" s="1067">
        <v>503</v>
      </c>
      <c r="F174" s="1067">
        <v>54</v>
      </c>
      <c r="G174" s="1067">
        <v>96</v>
      </c>
      <c r="H174" s="1067">
        <v>353</v>
      </c>
    </row>
    <row r="175" spans="1:8" x14ac:dyDescent="0.25">
      <c r="A175" s="1067" t="s">
        <v>254</v>
      </c>
      <c r="B175" s="1067" t="s">
        <v>247</v>
      </c>
      <c r="C175" s="1067"/>
      <c r="D175" s="1067" t="s">
        <v>45</v>
      </c>
      <c r="E175" s="1067">
        <v>36</v>
      </c>
      <c r="F175" s="1067">
        <v>3</v>
      </c>
      <c r="G175" s="1067">
        <v>5</v>
      </c>
      <c r="H175" s="1067">
        <v>29</v>
      </c>
    </row>
    <row r="176" spans="1:8" x14ac:dyDescent="0.25">
      <c r="A176" s="1067" t="s">
        <v>254</v>
      </c>
      <c r="B176" s="1067" t="s">
        <v>247</v>
      </c>
      <c r="C176" s="1067"/>
      <c r="D176" s="1067" t="s">
        <v>46</v>
      </c>
      <c r="E176" s="1067">
        <v>11</v>
      </c>
      <c r="F176" s="1067">
        <v>1</v>
      </c>
      <c r="G176" s="1067">
        <v>2</v>
      </c>
      <c r="H176" s="1067">
        <v>8</v>
      </c>
    </row>
    <row r="177" spans="1:8" x14ac:dyDescent="0.25">
      <c r="A177" s="1067" t="s">
        <v>254</v>
      </c>
      <c r="B177" s="1067" t="s">
        <v>247</v>
      </c>
      <c r="C177" s="1067"/>
      <c r="D177" s="1067" t="s">
        <v>47</v>
      </c>
      <c r="E177" s="1067">
        <v>109</v>
      </c>
      <c r="F177" s="1067">
        <v>10</v>
      </c>
      <c r="G177" s="1067">
        <v>24</v>
      </c>
      <c r="H177" s="1067">
        <v>75</v>
      </c>
    </row>
    <row r="178" spans="1:8" x14ac:dyDescent="0.25">
      <c r="A178" s="1067" t="s">
        <v>254</v>
      </c>
      <c r="B178" s="1067" t="s">
        <v>247</v>
      </c>
      <c r="C178" s="1067"/>
      <c r="D178" s="1067" t="s">
        <v>49</v>
      </c>
      <c r="E178" s="1067">
        <v>91</v>
      </c>
      <c r="F178" s="1067">
        <v>11</v>
      </c>
      <c r="G178" s="1067">
        <v>10</v>
      </c>
      <c r="H178" s="1067">
        <v>70</v>
      </c>
    </row>
    <row r="179" spans="1:8" x14ac:dyDescent="0.25">
      <c r="A179" s="1067" t="s">
        <v>254</v>
      </c>
      <c r="B179" s="1067" t="s">
        <v>247</v>
      </c>
      <c r="C179" s="1067"/>
      <c r="D179" s="1067" t="s">
        <v>51</v>
      </c>
      <c r="E179" s="1067">
        <v>106</v>
      </c>
      <c r="F179" s="1067">
        <v>8</v>
      </c>
      <c r="G179" s="1067">
        <v>23</v>
      </c>
      <c r="H179" s="1067">
        <v>75</v>
      </c>
    </row>
    <row r="180" spans="1:8" x14ac:dyDescent="0.25">
      <c r="A180" s="1067" t="s">
        <v>254</v>
      </c>
      <c r="B180" s="1067" t="s">
        <v>247</v>
      </c>
      <c r="C180" s="1067"/>
      <c r="D180" s="1067" t="s">
        <v>52</v>
      </c>
      <c r="E180" s="1067">
        <v>112</v>
      </c>
      <c r="F180" s="1067">
        <v>9</v>
      </c>
      <c r="G180" s="1067">
        <v>20</v>
      </c>
      <c r="H180" s="1067">
        <v>82</v>
      </c>
    </row>
    <row r="181" spans="1:8" x14ac:dyDescent="0.25">
      <c r="A181" s="1067" t="s">
        <v>254</v>
      </c>
      <c r="B181" s="1067" t="s">
        <v>247</v>
      </c>
      <c r="C181" s="1067"/>
      <c r="D181" s="1067" t="s">
        <v>54</v>
      </c>
      <c r="E181" s="1067">
        <v>118</v>
      </c>
      <c r="F181" s="1067">
        <v>11</v>
      </c>
      <c r="G181" s="1067">
        <v>25</v>
      </c>
      <c r="H181" s="1067">
        <v>82</v>
      </c>
    </row>
    <row r="182" spans="1:8" x14ac:dyDescent="0.25">
      <c r="A182" s="1067" t="s">
        <v>254</v>
      </c>
      <c r="B182" s="1067" t="s">
        <v>247</v>
      </c>
      <c r="C182" s="1067"/>
      <c r="D182" s="1067" t="s">
        <v>55</v>
      </c>
      <c r="E182" s="1067">
        <v>118</v>
      </c>
      <c r="F182" s="1067">
        <v>12</v>
      </c>
      <c r="G182" s="1067">
        <v>24</v>
      </c>
      <c r="H182" s="1067">
        <v>83</v>
      </c>
    </row>
    <row r="183" spans="1:8" x14ac:dyDescent="0.25">
      <c r="A183" s="1067" t="s">
        <v>254</v>
      </c>
      <c r="B183" s="1067" t="s">
        <v>247</v>
      </c>
      <c r="C183" s="1067"/>
      <c r="D183" s="1067" t="s">
        <v>56</v>
      </c>
      <c r="E183" s="1067">
        <v>51</v>
      </c>
      <c r="F183" s="1067">
        <v>5</v>
      </c>
      <c r="G183" s="1067">
        <v>6</v>
      </c>
      <c r="H183" s="1067">
        <v>40</v>
      </c>
    </row>
    <row r="184" spans="1:8" x14ac:dyDescent="0.25">
      <c r="A184" s="1067" t="s">
        <v>254</v>
      </c>
      <c r="B184" s="1067" t="s">
        <v>247</v>
      </c>
      <c r="C184" s="1067"/>
      <c r="D184" s="1067" t="s">
        <v>57</v>
      </c>
      <c r="E184" s="1067">
        <v>65</v>
      </c>
      <c r="F184" s="1067">
        <v>7</v>
      </c>
      <c r="G184" s="1067">
        <v>7</v>
      </c>
      <c r="H184" s="1067">
        <v>51</v>
      </c>
    </row>
    <row r="185" spans="1:8" x14ac:dyDescent="0.25">
      <c r="A185" s="1067" t="s">
        <v>254</v>
      </c>
      <c r="B185" s="1067" t="s">
        <v>247</v>
      </c>
      <c r="C185" s="1067"/>
      <c r="D185" s="1067" t="s">
        <v>58</v>
      </c>
      <c r="E185" s="1067">
        <v>66</v>
      </c>
      <c r="F185" s="1067">
        <v>8</v>
      </c>
      <c r="G185" s="1067">
        <v>14</v>
      </c>
      <c r="H185" s="1067">
        <v>45</v>
      </c>
    </row>
    <row r="186" spans="1:8" x14ac:dyDescent="0.25">
      <c r="A186" s="1067" t="s">
        <v>254</v>
      </c>
      <c r="B186" s="1067" t="s">
        <v>247</v>
      </c>
      <c r="C186" s="1067"/>
      <c r="D186" s="1067" t="s">
        <v>31</v>
      </c>
      <c r="E186" s="1067">
        <v>7</v>
      </c>
      <c r="F186" s="1067">
        <v>1</v>
      </c>
      <c r="G186" s="1067">
        <v>2</v>
      </c>
      <c r="H186" s="1067">
        <v>3</v>
      </c>
    </row>
    <row r="187" spans="1:8" x14ac:dyDescent="0.25">
      <c r="A187" s="1067" t="s">
        <v>254</v>
      </c>
      <c r="B187" s="1067" t="s">
        <v>247</v>
      </c>
      <c r="C187" s="1067"/>
      <c r="D187" s="1067" t="s">
        <v>32</v>
      </c>
      <c r="E187" s="1067">
        <v>255</v>
      </c>
      <c r="F187" s="1067">
        <v>22</v>
      </c>
      <c r="G187" s="1067">
        <v>62</v>
      </c>
      <c r="H187" s="1067">
        <v>170</v>
      </c>
    </row>
    <row r="188" spans="1:8" x14ac:dyDescent="0.25">
      <c r="A188" s="1067" t="s">
        <v>254</v>
      </c>
      <c r="B188" s="1067" t="s">
        <v>247</v>
      </c>
      <c r="C188" s="1067"/>
      <c r="D188" s="1067" t="s">
        <v>34</v>
      </c>
      <c r="E188" s="1067">
        <v>164</v>
      </c>
      <c r="F188" s="1067">
        <v>13</v>
      </c>
      <c r="G188" s="1067">
        <v>23</v>
      </c>
      <c r="H188" s="1067">
        <v>128</v>
      </c>
    </row>
    <row r="189" spans="1:8" x14ac:dyDescent="0.25">
      <c r="A189" s="1067" t="s">
        <v>254</v>
      </c>
      <c r="B189" s="1067" t="s">
        <v>247</v>
      </c>
      <c r="C189" s="1067"/>
      <c r="D189" s="1067" t="s">
        <v>258</v>
      </c>
      <c r="E189" s="1067">
        <v>6</v>
      </c>
      <c r="F189" s="1067"/>
      <c r="G189" s="1067">
        <v>1</v>
      </c>
      <c r="H189" s="1067">
        <v>4</v>
      </c>
    </row>
    <row r="190" spans="1:8" x14ac:dyDescent="0.25">
      <c r="A190" s="1067" t="s">
        <v>254</v>
      </c>
      <c r="B190" s="1067" t="s">
        <v>247</v>
      </c>
      <c r="C190" s="1067"/>
      <c r="D190" s="1067" t="s">
        <v>53</v>
      </c>
      <c r="E190" s="1067">
        <v>12</v>
      </c>
      <c r="F190" s="1067">
        <v>1</v>
      </c>
      <c r="G190" s="1067">
        <v>2</v>
      </c>
      <c r="H190" s="1067">
        <v>10</v>
      </c>
    </row>
    <row r="191" spans="1:8" x14ac:dyDescent="0.25">
      <c r="A191" s="1067" t="s">
        <v>254</v>
      </c>
      <c r="B191" s="1067" t="s">
        <v>247</v>
      </c>
      <c r="C191" s="1067"/>
      <c r="D191" s="1067" t="s">
        <v>59</v>
      </c>
      <c r="E191" s="1067">
        <v>18</v>
      </c>
      <c r="F191" s="1067">
        <v>2</v>
      </c>
      <c r="G191" s="1067">
        <v>2</v>
      </c>
      <c r="H191" s="1067">
        <v>14</v>
      </c>
    </row>
    <row r="192" spans="1:8" x14ac:dyDescent="0.25">
      <c r="A192" s="1067" t="s">
        <v>254</v>
      </c>
      <c r="B192" s="1067" t="s">
        <v>247</v>
      </c>
      <c r="C192" s="1067"/>
      <c r="D192" s="1067" t="s">
        <v>60</v>
      </c>
      <c r="E192" s="1067">
        <v>45</v>
      </c>
      <c r="F192" s="1067">
        <v>4</v>
      </c>
      <c r="G192" s="1067">
        <v>9</v>
      </c>
      <c r="H192" s="1067">
        <v>33</v>
      </c>
    </row>
    <row r="193" spans="1:8" x14ac:dyDescent="0.25">
      <c r="A193" s="1067" t="s">
        <v>254</v>
      </c>
      <c r="B193" s="1067" t="s">
        <v>247</v>
      </c>
      <c r="C193" s="1067"/>
      <c r="D193" s="1067" t="s">
        <v>33</v>
      </c>
      <c r="E193" s="1067">
        <v>84</v>
      </c>
      <c r="F193" s="1067">
        <v>6</v>
      </c>
      <c r="G193" s="1067">
        <v>12</v>
      </c>
      <c r="H193" s="1067">
        <v>66</v>
      </c>
    </row>
    <row r="194" spans="1:8" x14ac:dyDescent="0.25">
      <c r="A194" s="1067" t="s">
        <v>254</v>
      </c>
      <c r="B194" s="1067" t="s">
        <v>247</v>
      </c>
      <c r="C194" s="1067"/>
      <c r="D194" s="1067" t="s">
        <v>37</v>
      </c>
      <c r="E194" s="1067">
        <v>10</v>
      </c>
      <c r="F194" s="1067">
        <v>1</v>
      </c>
      <c r="G194" s="1067">
        <v>2</v>
      </c>
      <c r="H194" s="1067">
        <v>8</v>
      </c>
    </row>
    <row r="195" spans="1:8" x14ac:dyDescent="0.25">
      <c r="A195" s="1067" t="s">
        <v>254</v>
      </c>
      <c r="B195" s="1067" t="s">
        <v>247</v>
      </c>
      <c r="C195" s="1067"/>
      <c r="D195" s="1067" t="s">
        <v>50</v>
      </c>
      <c r="E195" s="1067">
        <v>26</v>
      </c>
      <c r="F195" s="1067">
        <v>2</v>
      </c>
      <c r="G195" s="1067">
        <v>5</v>
      </c>
      <c r="H195" s="1067">
        <v>18</v>
      </c>
    </row>
    <row r="196" spans="1:8" x14ac:dyDescent="0.25">
      <c r="A196" s="1067" t="s">
        <v>254</v>
      </c>
      <c r="B196" s="1067" t="s">
        <v>247</v>
      </c>
      <c r="C196" s="1067"/>
      <c r="D196" s="1067" t="s">
        <v>43</v>
      </c>
      <c r="E196" s="1067">
        <v>101</v>
      </c>
      <c r="F196" s="1067">
        <v>9</v>
      </c>
      <c r="G196" s="1067">
        <v>18</v>
      </c>
      <c r="H196" s="1067">
        <v>75</v>
      </c>
    </row>
    <row r="197" spans="1:8" x14ac:dyDescent="0.25">
      <c r="A197" s="1067" t="s">
        <v>851</v>
      </c>
      <c r="B197" s="1067" t="s">
        <v>247</v>
      </c>
      <c r="C197" s="1067"/>
      <c r="D197" s="1067" t="s">
        <v>281</v>
      </c>
      <c r="E197" s="1067">
        <v>2552</v>
      </c>
      <c r="F197" s="1067">
        <v>236</v>
      </c>
      <c r="G197" s="1067">
        <v>460</v>
      </c>
      <c r="H197" s="1067">
        <v>1855</v>
      </c>
    </row>
    <row r="198" spans="1:8" x14ac:dyDescent="0.25">
      <c r="A198" s="1067" t="s">
        <v>851</v>
      </c>
      <c r="B198" s="1067" t="s">
        <v>247</v>
      </c>
      <c r="C198" s="1067"/>
      <c r="D198" s="1067" t="s">
        <v>34</v>
      </c>
      <c r="E198" s="1067">
        <v>160</v>
      </c>
      <c r="F198" s="1067">
        <v>12</v>
      </c>
      <c r="G198" s="1067">
        <v>22</v>
      </c>
      <c r="H198" s="1067">
        <v>126</v>
      </c>
    </row>
    <row r="199" spans="1:8" x14ac:dyDescent="0.25">
      <c r="A199" s="1067" t="s">
        <v>851</v>
      </c>
      <c r="B199" s="1067" t="s">
        <v>247</v>
      </c>
      <c r="C199" s="1067"/>
      <c r="D199" s="1067" t="s">
        <v>36</v>
      </c>
      <c r="E199" s="1067">
        <v>163</v>
      </c>
      <c r="F199" s="1067">
        <v>14</v>
      </c>
      <c r="G199" s="1067">
        <v>30</v>
      </c>
      <c r="H199" s="1067">
        <v>119</v>
      </c>
    </row>
    <row r="200" spans="1:8" x14ac:dyDescent="0.25">
      <c r="A200" s="1067" t="s">
        <v>851</v>
      </c>
      <c r="B200" s="1067" t="s">
        <v>247</v>
      </c>
      <c r="C200" s="1067"/>
      <c r="D200" s="1067" t="s">
        <v>38</v>
      </c>
      <c r="E200" s="1067">
        <v>64</v>
      </c>
      <c r="F200" s="1067">
        <v>6</v>
      </c>
      <c r="G200" s="1067">
        <v>7</v>
      </c>
      <c r="H200" s="1067">
        <v>51</v>
      </c>
    </row>
    <row r="201" spans="1:8" x14ac:dyDescent="0.25">
      <c r="A201" s="1067" t="s">
        <v>851</v>
      </c>
      <c r="B201" s="1067" t="s">
        <v>247</v>
      </c>
      <c r="C201" s="1067"/>
      <c r="D201" s="1067" t="s">
        <v>45</v>
      </c>
      <c r="E201" s="1067">
        <v>34</v>
      </c>
      <c r="F201" s="1067">
        <v>3</v>
      </c>
      <c r="G201" s="1067">
        <v>5</v>
      </c>
      <c r="H201" s="1067">
        <v>27</v>
      </c>
    </row>
    <row r="202" spans="1:8" x14ac:dyDescent="0.25">
      <c r="A202" s="1067" t="s">
        <v>851</v>
      </c>
      <c r="B202" s="1067" t="s">
        <v>247</v>
      </c>
      <c r="C202" s="1067"/>
      <c r="D202" s="1067" t="s">
        <v>49</v>
      </c>
      <c r="E202" s="1067">
        <v>88</v>
      </c>
      <c r="F202" s="1067">
        <v>10</v>
      </c>
      <c r="G202" s="1067">
        <v>10</v>
      </c>
      <c r="H202" s="1067">
        <v>68</v>
      </c>
    </row>
    <row r="203" spans="1:8" x14ac:dyDescent="0.25">
      <c r="A203" s="1067" t="s">
        <v>851</v>
      </c>
      <c r="B203" s="1067" t="s">
        <v>247</v>
      </c>
      <c r="C203" s="1067"/>
      <c r="D203" s="1067" t="s">
        <v>50</v>
      </c>
      <c r="E203" s="1067">
        <v>27</v>
      </c>
      <c r="F203" s="1067">
        <v>2</v>
      </c>
      <c r="G203" s="1067">
        <v>4</v>
      </c>
      <c r="H203" s="1067">
        <v>21</v>
      </c>
    </row>
    <row r="204" spans="1:8" x14ac:dyDescent="0.25">
      <c r="A204" s="1067" t="s">
        <v>851</v>
      </c>
      <c r="B204" s="1067" t="s">
        <v>247</v>
      </c>
      <c r="C204" s="1067"/>
      <c r="D204" s="1067" t="s">
        <v>53</v>
      </c>
      <c r="E204" s="1067">
        <v>11</v>
      </c>
      <c r="F204" s="1067">
        <v>1</v>
      </c>
      <c r="G204" s="1067">
        <v>2</v>
      </c>
      <c r="H204" s="1067">
        <v>9</v>
      </c>
    </row>
    <row r="205" spans="1:8" x14ac:dyDescent="0.25">
      <c r="A205" s="1067" t="s">
        <v>851</v>
      </c>
      <c r="B205" s="1067" t="s">
        <v>247</v>
      </c>
      <c r="C205" s="1067"/>
      <c r="D205" s="1067" t="s">
        <v>56</v>
      </c>
      <c r="E205" s="1067">
        <v>46</v>
      </c>
      <c r="F205" s="1067">
        <v>4</v>
      </c>
      <c r="G205" s="1067">
        <v>6</v>
      </c>
      <c r="H205" s="1067">
        <v>36</v>
      </c>
    </row>
    <row r="206" spans="1:8" x14ac:dyDescent="0.25">
      <c r="A206" s="1067" t="s">
        <v>851</v>
      </c>
      <c r="B206" s="1067" t="s">
        <v>247</v>
      </c>
      <c r="C206" s="1067"/>
      <c r="D206" s="1067" t="s">
        <v>57</v>
      </c>
      <c r="E206" s="1067">
        <v>70</v>
      </c>
      <c r="F206" s="1067">
        <v>6</v>
      </c>
      <c r="G206" s="1067">
        <v>7</v>
      </c>
      <c r="H206" s="1067">
        <v>56</v>
      </c>
    </row>
    <row r="207" spans="1:8" x14ac:dyDescent="0.25">
      <c r="A207" s="1067" t="s">
        <v>851</v>
      </c>
      <c r="B207" s="1067" t="s">
        <v>247</v>
      </c>
      <c r="C207" s="1067"/>
      <c r="D207" s="1067" t="s">
        <v>59</v>
      </c>
      <c r="E207" s="1067">
        <v>16</v>
      </c>
      <c r="F207" s="1067">
        <v>2</v>
      </c>
      <c r="G207" s="1067">
        <v>2</v>
      </c>
      <c r="H207" s="1067">
        <v>13</v>
      </c>
    </row>
    <row r="208" spans="1:8" x14ac:dyDescent="0.25">
      <c r="A208" s="1067" t="s">
        <v>851</v>
      </c>
      <c r="B208" s="1067" t="s">
        <v>247</v>
      </c>
      <c r="C208" s="1067"/>
      <c r="D208" s="1067" t="s">
        <v>258</v>
      </c>
      <c r="E208" s="1067">
        <v>5</v>
      </c>
      <c r="F208" s="1067">
        <v>1</v>
      </c>
      <c r="G208" s="1067">
        <v>1</v>
      </c>
      <c r="H208" s="1067">
        <v>3</v>
      </c>
    </row>
    <row r="209" spans="1:8" x14ac:dyDescent="0.25">
      <c r="A209" s="1067" t="s">
        <v>851</v>
      </c>
      <c r="B209" s="1067" t="s">
        <v>247</v>
      </c>
      <c r="C209" s="1067"/>
      <c r="D209" s="1067" t="s">
        <v>35</v>
      </c>
      <c r="E209" s="1067">
        <v>19</v>
      </c>
      <c r="F209" s="1067">
        <v>2</v>
      </c>
      <c r="G209" s="1067">
        <v>4</v>
      </c>
      <c r="H209" s="1067">
        <v>13</v>
      </c>
    </row>
    <row r="210" spans="1:8" x14ac:dyDescent="0.25">
      <c r="A210" s="1067" t="s">
        <v>851</v>
      </c>
      <c r="B210" s="1067" t="s">
        <v>247</v>
      </c>
      <c r="C210" s="1067"/>
      <c r="D210" s="1067" t="s">
        <v>40</v>
      </c>
      <c r="E210" s="1067">
        <v>52</v>
      </c>
      <c r="F210" s="1067">
        <v>4</v>
      </c>
      <c r="G210" s="1067">
        <v>10</v>
      </c>
      <c r="H210" s="1067">
        <v>38</v>
      </c>
    </row>
    <row r="211" spans="1:8" x14ac:dyDescent="0.25">
      <c r="A211" s="1067" t="s">
        <v>851</v>
      </c>
      <c r="B211" s="1067" t="s">
        <v>247</v>
      </c>
      <c r="C211" s="1067"/>
      <c r="D211" s="1067" t="s">
        <v>42</v>
      </c>
      <c r="E211" s="1067">
        <v>42</v>
      </c>
      <c r="F211" s="1067">
        <v>3</v>
      </c>
      <c r="G211" s="1067">
        <v>8</v>
      </c>
      <c r="H211" s="1067">
        <v>32</v>
      </c>
    </row>
    <row r="212" spans="1:8" x14ac:dyDescent="0.25">
      <c r="A212" s="1067" t="s">
        <v>851</v>
      </c>
      <c r="B212" s="1067" t="s">
        <v>247</v>
      </c>
      <c r="C212" s="1067"/>
      <c r="D212" s="1067" t="s">
        <v>43</v>
      </c>
      <c r="E212" s="1067">
        <v>97</v>
      </c>
      <c r="F212" s="1067">
        <v>9</v>
      </c>
      <c r="G212" s="1067">
        <v>17</v>
      </c>
      <c r="H212" s="1067">
        <v>71</v>
      </c>
    </row>
    <row r="213" spans="1:8" x14ac:dyDescent="0.25">
      <c r="A213" s="1067" t="s">
        <v>851</v>
      </c>
      <c r="B213" s="1067" t="s">
        <v>247</v>
      </c>
      <c r="C213" s="1067"/>
      <c r="D213" s="1067" t="s">
        <v>46</v>
      </c>
      <c r="E213" s="1067">
        <v>10</v>
      </c>
      <c r="F213" s="1067">
        <v>1</v>
      </c>
      <c r="G213" s="1067">
        <v>2</v>
      </c>
      <c r="H213" s="1067">
        <v>8</v>
      </c>
    </row>
    <row r="214" spans="1:8" x14ac:dyDescent="0.25">
      <c r="A214" s="1067" t="s">
        <v>851</v>
      </c>
      <c r="B214" s="1067" t="s">
        <v>247</v>
      </c>
      <c r="C214" s="1067"/>
      <c r="D214" s="1067" t="s">
        <v>54</v>
      </c>
      <c r="E214" s="1067">
        <v>121</v>
      </c>
      <c r="F214" s="1067">
        <v>11</v>
      </c>
      <c r="G214" s="1067">
        <v>25</v>
      </c>
      <c r="H214" s="1067">
        <v>85</v>
      </c>
    </row>
    <row r="215" spans="1:8" x14ac:dyDescent="0.25">
      <c r="A215" s="1067" t="s">
        <v>851</v>
      </c>
      <c r="B215" s="1067" t="s">
        <v>247</v>
      </c>
      <c r="C215" s="1067"/>
      <c r="D215" s="1067" t="s">
        <v>58</v>
      </c>
      <c r="E215" s="1067">
        <v>65</v>
      </c>
      <c r="F215" s="1067">
        <v>8</v>
      </c>
      <c r="G215" s="1067">
        <v>13</v>
      </c>
      <c r="H215" s="1067">
        <v>44</v>
      </c>
    </row>
    <row r="216" spans="1:8" x14ac:dyDescent="0.25">
      <c r="A216" s="1067" t="s">
        <v>851</v>
      </c>
      <c r="B216" s="1067" t="s">
        <v>247</v>
      </c>
      <c r="C216" s="1067"/>
      <c r="D216" s="1067" t="s">
        <v>60</v>
      </c>
      <c r="E216" s="1067">
        <v>50</v>
      </c>
      <c r="F216" s="1067">
        <v>5</v>
      </c>
      <c r="G216" s="1067">
        <v>8</v>
      </c>
      <c r="H216" s="1067">
        <v>37</v>
      </c>
    </row>
    <row r="217" spans="1:8" x14ac:dyDescent="0.25">
      <c r="A217" s="1067" t="s">
        <v>851</v>
      </c>
      <c r="B217" s="1067" t="s">
        <v>247</v>
      </c>
      <c r="C217" s="1067"/>
      <c r="D217" s="1067" t="s">
        <v>31</v>
      </c>
      <c r="E217" s="1067">
        <v>6</v>
      </c>
      <c r="F217" s="1067">
        <v>1</v>
      </c>
      <c r="G217" s="1067">
        <v>2</v>
      </c>
      <c r="H217" s="1067">
        <v>3</v>
      </c>
    </row>
    <row r="218" spans="1:8" x14ac:dyDescent="0.25">
      <c r="A218" s="1067" t="s">
        <v>851</v>
      </c>
      <c r="B218" s="1067" t="s">
        <v>247</v>
      </c>
      <c r="C218" s="1067"/>
      <c r="D218" s="1067" t="s">
        <v>32</v>
      </c>
      <c r="E218" s="1067">
        <v>252</v>
      </c>
      <c r="F218" s="1067">
        <v>22</v>
      </c>
      <c r="G218" s="1067">
        <v>58</v>
      </c>
      <c r="H218" s="1067">
        <v>172</v>
      </c>
    </row>
    <row r="219" spans="1:8" x14ac:dyDescent="0.25">
      <c r="A219" s="1067" t="s">
        <v>851</v>
      </c>
      <c r="B219" s="1067" t="s">
        <v>247</v>
      </c>
      <c r="C219" s="1067"/>
      <c r="D219" s="1067" t="s">
        <v>33</v>
      </c>
      <c r="E219" s="1067">
        <v>86</v>
      </c>
      <c r="F219" s="1067">
        <v>6</v>
      </c>
      <c r="G219" s="1067">
        <v>14</v>
      </c>
      <c r="H219" s="1067">
        <v>67</v>
      </c>
    </row>
    <row r="220" spans="1:8" x14ac:dyDescent="0.25">
      <c r="A220" s="1067" t="s">
        <v>851</v>
      </c>
      <c r="B220" s="1067" t="s">
        <v>247</v>
      </c>
      <c r="C220" s="1067"/>
      <c r="D220" s="1067" t="s">
        <v>37</v>
      </c>
      <c r="E220" s="1067">
        <v>10</v>
      </c>
      <c r="F220" s="1067">
        <v>1</v>
      </c>
      <c r="G220" s="1067">
        <v>2</v>
      </c>
      <c r="H220" s="1067">
        <v>8</v>
      </c>
    </row>
    <row r="221" spans="1:8" x14ac:dyDescent="0.25">
      <c r="A221" s="1067" t="s">
        <v>851</v>
      </c>
      <c r="B221" s="1067" t="s">
        <v>247</v>
      </c>
      <c r="C221" s="1067"/>
      <c r="D221" s="1067" t="s">
        <v>44</v>
      </c>
      <c r="E221" s="1067">
        <v>477</v>
      </c>
      <c r="F221" s="1067">
        <v>50</v>
      </c>
      <c r="G221" s="1067">
        <v>87</v>
      </c>
      <c r="H221" s="1067">
        <v>340</v>
      </c>
    </row>
    <row r="222" spans="1:8" x14ac:dyDescent="0.25">
      <c r="A222" s="1067" t="s">
        <v>851</v>
      </c>
      <c r="B222" s="1067" t="s">
        <v>247</v>
      </c>
      <c r="C222" s="1067"/>
      <c r="D222" s="1067" t="s">
        <v>47</v>
      </c>
      <c r="E222" s="1067">
        <v>109</v>
      </c>
      <c r="F222" s="1067">
        <v>10</v>
      </c>
      <c r="G222" s="1067">
        <v>24</v>
      </c>
      <c r="H222" s="1067">
        <v>76</v>
      </c>
    </row>
    <row r="223" spans="1:8" x14ac:dyDescent="0.25">
      <c r="A223" s="1067" t="s">
        <v>851</v>
      </c>
      <c r="B223" s="1067" t="s">
        <v>247</v>
      </c>
      <c r="C223" s="1067"/>
      <c r="D223" s="1067" t="s">
        <v>48</v>
      </c>
      <c r="E223" s="1067">
        <v>128</v>
      </c>
      <c r="F223" s="1067">
        <v>14</v>
      </c>
      <c r="G223" s="1067">
        <v>29</v>
      </c>
      <c r="H223" s="1067">
        <v>86</v>
      </c>
    </row>
    <row r="224" spans="1:8" x14ac:dyDescent="0.25">
      <c r="A224" s="1067" t="s">
        <v>851</v>
      </c>
      <c r="B224" s="1067" t="s">
        <v>247</v>
      </c>
      <c r="C224" s="1067"/>
      <c r="D224" s="1067" t="s">
        <v>51</v>
      </c>
      <c r="E224" s="1067">
        <v>106</v>
      </c>
      <c r="F224" s="1067">
        <v>9</v>
      </c>
      <c r="G224" s="1067">
        <v>22</v>
      </c>
      <c r="H224" s="1067">
        <v>76</v>
      </c>
    </row>
    <row r="225" spans="1:8" x14ac:dyDescent="0.25">
      <c r="A225" s="1067" t="s">
        <v>851</v>
      </c>
      <c r="B225" s="1067" t="s">
        <v>247</v>
      </c>
      <c r="C225" s="1067"/>
      <c r="D225" s="1067" t="s">
        <v>52</v>
      </c>
      <c r="E225" s="1067">
        <v>112</v>
      </c>
      <c r="F225" s="1067">
        <v>9</v>
      </c>
      <c r="G225" s="1067">
        <v>20</v>
      </c>
      <c r="H225" s="1067">
        <v>83</v>
      </c>
    </row>
    <row r="226" spans="1:8" x14ac:dyDescent="0.25">
      <c r="A226" s="1067" t="s">
        <v>851</v>
      </c>
      <c r="B226" s="1067" t="s">
        <v>247</v>
      </c>
      <c r="C226" s="1067"/>
      <c r="D226" s="1067" t="s">
        <v>55</v>
      </c>
      <c r="E226" s="1067">
        <v>121</v>
      </c>
      <c r="F226" s="1067">
        <v>11</v>
      </c>
      <c r="G226" s="1067">
        <v>23</v>
      </c>
      <c r="H226" s="1067">
        <v>88</v>
      </c>
    </row>
  </sheetData>
  <sheetProtection algorithmName="SHA-512" hashValue="DTMBszjyKMVfYd4OXqWTIn0ael1uq1plxlBhy5qVxb5+UrLdBfdN/QxsTuCVLjCbGNUWApr/FZ/a2IuOkLywjA==" saltValue="i1tAJfonWEx7I0y4DXQsW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zoomScale="85" zoomScaleNormal="85" workbookViewId="0">
      <pane ySplit="4" topLeftCell="A5" activePane="bottomLeft" state="frozen"/>
      <selection pane="bottomLeft"/>
    </sheetView>
  </sheetViews>
  <sheetFormatPr defaultRowHeight="15" x14ac:dyDescent="0.25"/>
  <sheetData>
    <row r="1" spans="1:11" ht="15.75" x14ac:dyDescent="0.25">
      <c r="A1" s="981" t="s">
        <v>1200</v>
      </c>
    </row>
    <row r="2" spans="1:11" x14ac:dyDescent="0.25">
      <c r="A2" s="1139">
        <v>44071</v>
      </c>
      <c r="B2" s="1140"/>
    </row>
    <row r="4" spans="1:11" x14ac:dyDescent="0.25">
      <c r="A4" s="1066" t="s">
        <v>270</v>
      </c>
      <c r="B4" s="1066" t="s">
        <v>1082</v>
      </c>
      <c r="C4" s="1066" t="s">
        <v>1083</v>
      </c>
      <c r="D4" s="1066" t="s">
        <v>257</v>
      </c>
      <c r="E4" s="1066" t="s">
        <v>26</v>
      </c>
      <c r="F4" s="1066" t="s">
        <v>18</v>
      </c>
      <c r="G4" s="1066" t="s">
        <v>19</v>
      </c>
      <c r="H4" s="1066" t="s">
        <v>20</v>
      </c>
      <c r="I4" s="1066" t="s">
        <v>21</v>
      </c>
      <c r="J4" s="1066" t="s">
        <v>22</v>
      </c>
      <c r="K4" s="1066" t="s">
        <v>80</v>
      </c>
    </row>
    <row r="5" spans="1:11" x14ac:dyDescent="0.25">
      <c r="A5" s="1067" t="s">
        <v>204</v>
      </c>
      <c r="B5" s="1067" t="s">
        <v>250</v>
      </c>
      <c r="C5" s="1067" t="s">
        <v>259</v>
      </c>
      <c r="D5" s="1067" t="s">
        <v>382</v>
      </c>
      <c r="E5" s="1067">
        <v>212.96</v>
      </c>
      <c r="F5" s="1067"/>
      <c r="G5" s="1067">
        <v>5</v>
      </c>
      <c r="H5" s="1067">
        <v>11</v>
      </c>
      <c r="I5" s="1067">
        <v>51.56</v>
      </c>
      <c r="J5" s="1067">
        <v>51.01</v>
      </c>
      <c r="K5" s="1067">
        <v>94.39</v>
      </c>
    </row>
    <row r="6" spans="1:11" x14ac:dyDescent="0.25">
      <c r="A6" s="1067" t="s">
        <v>203</v>
      </c>
      <c r="B6" s="1067" t="s">
        <v>250</v>
      </c>
      <c r="C6" s="1067" t="s">
        <v>259</v>
      </c>
      <c r="D6" s="1067" t="s">
        <v>382</v>
      </c>
      <c r="E6" s="1067">
        <v>220.79</v>
      </c>
      <c r="F6" s="1067"/>
      <c r="G6" s="1067">
        <v>5</v>
      </c>
      <c r="H6" s="1067">
        <v>12.85</v>
      </c>
      <c r="I6" s="1067">
        <v>49.46</v>
      </c>
      <c r="J6" s="1067">
        <v>50.79</v>
      </c>
      <c r="K6" s="1067">
        <v>102.69</v>
      </c>
    </row>
    <row r="7" spans="1:11" x14ac:dyDescent="0.25">
      <c r="A7" s="1067" t="s">
        <v>202</v>
      </c>
      <c r="B7" s="1067" t="s">
        <v>250</v>
      </c>
      <c r="C7" s="1067" t="s">
        <v>259</v>
      </c>
      <c r="D7" s="1067" t="s">
        <v>382</v>
      </c>
      <c r="E7" s="1067">
        <v>195.16952380952381</v>
      </c>
      <c r="F7" s="1067"/>
      <c r="G7" s="1067">
        <v>6</v>
      </c>
      <c r="H7" s="1067">
        <v>6.8333333333333339</v>
      </c>
      <c r="I7" s="1067">
        <v>50.314285714285717</v>
      </c>
      <c r="J7" s="1067">
        <v>43</v>
      </c>
      <c r="K7" s="1067">
        <v>89.021904761904764</v>
      </c>
    </row>
    <row r="8" spans="1:11" x14ac:dyDescent="0.25">
      <c r="A8" s="1067" t="s">
        <v>273</v>
      </c>
      <c r="B8" s="1067" t="s">
        <v>250</v>
      </c>
      <c r="C8" s="1067" t="s">
        <v>259</v>
      </c>
      <c r="D8" s="1067" t="s">
        <v>382</v>
      </c>
      <c r="E8" s="1067">
        <v>160</v>
      </c>
      <c r="F8" s="1067"/>
      <c r="G8" s="1067">
        <v>5</v>
      </c>
      <c r="H8" s="1067">
        <v>8</v>
      </c>
      <c r="I8" s="1067">
        <v>40</v>
      </c>
      <c r="J8" s="1067">
        <v>30</v>
      </c>
      <c r="K8" s="1067">
        <v>76</v>
      </c>
    </row>
    <row r="9" spans="1:11" x14ac:dyDescent="0.25">
      <c r="A9" s="1067" t="s">
        <v>255</v>
      </c>
      <c r="B9" s="1067" t="s">
        <v>250</v>
      </c>
      <c r="C9" s="1067" t="s">
        <v>259</v>
      </c>
      <c r="D9" s="1067" t="s">
        <v>382</v>
      </c>
      <c r="E9" s="1067">
        <v>184</v>
      </c>
      <c r="F9" s="1067"/>
      <c r="G9" s="1067">
        <v>5</v>
      </c>
      <c r="H9" s="1067">
        <v>8</v>
      </c>
      <c r="I9" s="1067">
        <v>43</v>
      </c>
      <c r="J9" s="1067">
        <v>27</v>
      </c>
      <c r="K9" s="1067">
        <v>101</v>
      </c>
    </row>
    <row r="10" spans="1:11" x14ac:dyDescent="0.25">
      <c r="A10" s="1067" t="s">
        <v>254</v>
      </c>
      <c r="B10" s="1067" t="s">
        <v>250</v>
      </c>
      <c r="C10" s="1067" t="s">
        <v>259</v>
      </c>
      <c r="D10" s="1067" t="s">
        <v>382</v>
      </c>
      <c r="E10" s="1067">
        <v>202</v>
      </c>
      <c r="F10" s="1071">
        <v>1</v>
      </c>
      <c r="G10" s="1067">
        <v>4</v>
      </c>
      <c r="H10" s="1067">
        <v>9</v>
      </c>
      <c r="I10" s="1067">
        <v>42</v>
      </c>
      <c r="J10" s="1067">
        <v>27</v>
      </c>
      <c r="K10" s="1067">
        <v>119</v>
      </c>
    </row>
    <row r="11" spans="1:11" x14ac:dyDescent="0.25">
      <c r="A11" s="1067" t="s">
        <v>851</v>
      </c>
      <c r="B11" s="1067" t="s">
        <v>250</v>
      </c>
      <c r="C11" s="1067" t="s">
        <v>259</v>
      </c>
      <c r="D11" s="1067" t="s">
        <v>382</v>
      </c>
      <c r="E11" s="1067">
        <v>184</v>
      </c>
      <c r="F11" s="1071">
        <v>1</v>
      </c>
      <c r="G11" s="1067">
        <v>4</v>
      </c>
      <c r="H11" s="1067">
        <v>8</v>
      </c>
      <c r="I11" s="1067">
        <v>45</v>
      </c>
      <c r="J11" s="1067">
        <v>26</v>
      </c>
      <c r="K11" s="1067">
        <v>100</v>
      </c>
    </row>
  </sheetData>
  <sheetProtection algorithmName="SHA-512" hashValue="Zy6CcQ0jW4BhCeN4Gm7/10sTB3OM77sXt1LWWXmDLwCQ/fjydxQRjyZlD4EC++DJj6+dXKJjlkjrsFSnGxC5ZA==" saltValue="9qUS/cC9JEiq7CbhrwUyjg=="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zoomScale="85" zoomScaleNormal="85" workbookViewId="0">
      <pane ySplit="4" topLeftCell="A5" activePane="bottomLeft" state="frozen"/>
      <selection pane="bottomLeft"/>
    </sheetView>
  </sheetViews>
  <sheetFormatPr defaultRowHeight="15" x14ac:dyDescent="0.25"/>
  <sheetData>
    <row r="1" spans="1:12" ht="15.75" x14ac:dyDescent="0.25">
      <c r="A1" s="981" t="s">
        <v>1201</v>
      </c>
    </row>
    <row r="2" spans="1:12" x14ac:dyDescent="0.25">
      <c r="A2" s="1139">
        <v>44071</v>
      </c>
      <c r="B2" s="1140"/>
    </row>
    <row r="4" spans="1:12" x14ac:dyDescent="0.25">
      <c r="A4" s="1066" t="s">
        <v>270</v>
      </c>
      <c r="B4" s="1066" t="s">
        <v>1082</v>
      </c>
      <c r="C4" s="1066" t="s">
        <v>257</v>
      </c>
      <c r="D4" s="1066" t="s">
        <v>1083</v>
      </c>
      <c r="E4" s="1066" t="s">
        <v>26</v>
      </c>
      <c r="F4" s="1066" t="s">
        <v>210</v>
      </c>
      <c r="G4" s="1066" t="s">
        <v>81</v>
      </c>
      <c r="H4" s="1066" t="s">
        <v>87</v>
      </c>
      <c r="I4" s="1066" t="s">
        <v>83</v>
      </c>
      <c r="J4" s="1066" t="s">
        <v>317</v>
      </c>
      <c r="K4" s="1066" t="s">
        <v>318</v>
      </c>
      <c r="L4" s="1066" t="s">
        <v>98</v>
      </c>
    </row>
    <row r="5" spans="1:12" x14ac:dyDescent="0.25">
      <c r="A5" s="1067" t="s">
        <v>204</v>
      </c>
      <c r="B5" s="1067" t="s">
        <v>249</v>
      </c>
      <c r="C5" s="1067"/>
      <c r="D5" s="1067" t="s">
        <v>281</v>
      </c>
      <c r="E5" s="1067">
        <v>584</v>
      </c>
      <c r="F5" s="1067"/>
      <c r="G5" s="1067">
        <v>14</v>
      </c>
      <c r="H5" s="1067">
        <v>10.8</v>
      </c>
      <c r="I5" s="1067">
        <v>20.8</v>
      </c>
      <c r="J5" s="1067">
        <v>204.10000000000002</v>
      </c>
      <c r="K5" s="1067">
        <v>153.1</v>
      </c>
      <c r="L5" s="1067">
        <v>181.2</v>
      </c>
    </row>
    <row r="6" spans="1:12" x14ac:dyDescent="0.25">
      <c r="A6" s="1067" t="s">
        <v>204</v>
      </c>
      <c r="B6" s="1067" t="s">
        <v>249</v>
      </c>
      <c r="C6" s="1067"/>
      <c r="D6" s="1067" t="s">
        <v>173</v>
      </c>
      <c r="E6" s="1067">
        <v>325.2</v>
      </c>
      <c r="F6" s="1067"/>
      <c r="G6" s="1067">
        <v>4</v>
      </c>
      <c r="H6" s="1067">
        <v>4</v>
      </c>
      <c r="I6" s="1067">
        <v>8</v>
      </c>
      <c r="J6" s="1067">
        <v>102.4</v>
      </c>
      <c r="K6" s="1067">
        <v>100.5</v>
      </c>
      <c r="L6" s="1067">
        <v>106.3</v>
      </c>
    </row>
    <row r="7" spans="1:12" x14ac:dyDescent="0.25">
      <c r="A7" s="1067" t="s">
        <v>204</v>
      </c>
      <c r="B7" s="1067" t="s">
        <v>249</v>
      </c>
      <c r="C7" s="1067"/>
      <c r="D7" s="1067" t="s">
        <v>174</v>
      </c>
      <c r="E7" s="1067">
        <v>137.1</v>
      </c>
      <c r="F7" s="1067"/>
      <c r="G7" s="1067">
        <v>6</v>
      </c>
      <c r="H7" s="1067">
        <v>2</v>
      </c>
      <c r="I7" s="1067">
        <v>7</v>
      </c>
      <c r="J7" s="1067">
        <v>44.7</v>
      </c>
      <c r="K7" s="1067">
        <v>36.700000000000003</v>
      </c>
      <c r="L7" s="1067">
        <v>40.699999999999996</v>
      </c>
    </row>
    <row r="8" spans="1:12" x14ac:dyDescent="0.25">
      <c r="A8" s="1067" t="s">
        <v>204</v>
      </c>
      <c r="B8" s="1067" t="s">
        <v>249</v>
      </c>
      <c r="C8" s="1067"/>
      <c r="D8" s="1067" t="s">
        <v>172</v>
      </c>
      <c r="E8" s="1067">
        <v>121.7</v>
      </c>
      <c r="F8" s="1067"/>
      <c r="G8" s="1067">
        <v>4</v>
      </c>
      <c r="H8" s="1067">
        <v>4.8</v>
      </c>
      <c r="I8" s="1067">
        <v>5.8</v>
      </c>
      <c r="J8" s="1067">
        <v>57</v>
      </c>
      <c r="K8" s="1067">
        <v>15.899999999999999</v>
      </c>
      <c r="L8" s="1067">
        <v>34.200000000000003</v>
      </c>
    </row>
    <row r="9" spans="1:12" x14ac:dyDescent="0.25">
      <c r="A9" s="1067" t="s">
        <v>204</v>
      </c>
      <c r="B9" s="1067" t="s">
        <v>250</v>
      </c>
      <c r="C9" s="1067"/>
      <c r="D9" s="1067" t="s">
        <v>259</v>
      </c>
      <c r="E9" s="1067">
        <v>227.3</v>
      </c>
      <c r="F9" s="1067"/>
      <c r="G9" s="1067">
        <v>55.7</v>
      </c>
      <c r="H9" s="1067">
        <v>9</v>
      </c>
      <c r="I9" s="1067">
        <v>21.5</v>
      </c>
      <c r="J9" s="1067">
        <v>52.3</v>
      </c>
      <c r="K9" s="1067">
        <v>46.4</v>
      </c>
      <c r="L9" s="1067">
        <v>42.4</v>
      </c>
    </row>
    <row r="10" spans="1:12" x14ac:dyDescent="0.25">
      <c r="A10" s="1067" t="s">
        <v>204</v>
      </c>
      <c r="B10" s="1067" t="s">
        <v>26</v>
      </c>
      <c r="C10" s="1067"/>
      <c r="D10" s="1067" t="s">
        <v>259</v>
      </c>
      <c r="E10" s="1067">
        <v>811.3</v>
      </c>
      <c r="F10" s="1067"/>
      <c r="G10" s="1067">
        <v>69.7</v>
      </c>
      <c r="H10" s="1067">
        <v>19.8</v>
      </c>
      <c r="I10" s="1067">
        <v>42.3</v>
      </c>
      <c r="J10" s="1067">
        <v>256.40000000000003</v>
      </c>
      <c r="K10" s="1067">
        <v>199.5</v>
      </c>
      <c r="L10" s="1067">
        <v>223.6</v>
      </c>
    </row>
    <row r="11" spans="1:12" x14ac:dyDescent="0.25">
      <c r="A11" s="1067" t="s">
        <v>203</v>
      </c>
      <c r="B11" s="1067" t="s">
        <v>249</v>
      </c>
      <c r="C11" s="1067"/>
      <c r="D11" s="1067" t="s">
        <v>281</v>
      </c>
      <c r="E11" s="1067">
        <v>520.51</v>
      </c>
      <c r="F11" s="1067"/>
      <c r="G11" s="1067">
        <v>9</v>
      </c>
      <c r="H11" s="1067">
        <v>23</v>
      </c>
      <c r="I11" s="1067">
        <v>30.189999999999998</v>
      </c>
      <c r="J11" s="1067">
        <v>217.87</v>
      </c>
      <c r="K11" s="1067">
        <v>126.97999999999996</v>
      </c>
      <c r="L11" s="1067">
        <v>113.47000000000003</v>
      </c>
    </row>
    <row r="12" spans="1:12" x14ac:dyDescent="0.25">
      <c r="A12" s="1067" t="s">
        <v>203</v>
      </c>
      <c r="B12" s="1067" t="s">
        <v>249</v>
      </c>
      <c r="C12" s="1067"/>
      <c r="D12" s="1067" t="s">
        <v>173</v>
      </c>
      <c r="E12" s="1067">
        <v>276.51</v>
      </c>
      <c r="F12" s="1067"/>
      <c r="G12" s="1067">
        <v>3</v>
      </c>
      <c r="H12" s="1067">
        <v>9</v>
      </c>
      <c r="I12" s="1067">
        <v>13.36</v>
      </c>
      <c r="J12" s="1067">
        <v>108.52999999999999</v>
      </c>
      <c r="K12" s="1067">
        <v>75.46999999999997</v>
      </c>
      <c r="L12" s="1067">
        <v>67.15000000000002</v>
      </c>
    </row>
    <row r="13" spans="1:12" x14ac:dyDescent="0.25">
      <c r="A13" s="1067" t="s">
        <v>203</v>
      </c>
      <c r="B13" s="1067" t="s">
        <v>249</v>
      </c>
      <c r="C13" s="1067"/>
      <c r="D13" s="1067" t="s">
        <v>174</v>
      </c>
      <c r="E13" s="1067">
        <v>128.35</v>
      </c>
      <c r="F13" s="1067"/>
      <c r="G13" s="1067">
        <v>3</v>
      </c>
      <c r="H13" s="1067">
        <v>7</v>
      </c>
      <c r="I13" s="1067">
        <v>11</v>
      </c>
      <c r="J13" s="1067">
        <v>46.7</v>
      </c>
      <c r="K13" s="1067">
        <v>36.069999999999986</v>
      </c>
      <c r="L13" s="1067">
        <v>24.580000000000005</v>
      </c>
    </row>
    <row r="14" spans="1:12" x14ac:dyDescent="0.25">
      <c r="A14" s="1067" t="s">
        <v>203</v>
      </c>
      <c r="B14" s="1067" t="s">
        <v>249</v>
      </c>
      <c r="C14" s="1067"/>
      <c r="D14" s="1067" t="s">
        <v>172</v>
      </c>
      <c r="E14" s="1067">
        <v>115.65</v>
      </c>
      <c r="F14" s="1067"/>
      <c r="G14" s="1067">
        <v>3</v>
      </c>
      <c r="H14" s="1067">
        <v>7</v>
      </c>
      <c r="I14" s="1067">
        <v>5.83</v>
      </c>
      <c r="J14" s="1067">
        <v>62.64</v>
      </c>
      <c r="K14" s="1067">
        <v>15.44</v>
      </c>
      <c r="L14" s="1067">
        <v>21.74</v>
      </c>
    </row>
    <row r="15" spans="1:12" x14ac:dyDescent="0.25">
      <c r="A15" s="1067" t="s">
        <v>203</v>
      </c>
      <c r="B15" s="1067" t="s">
        <v>250</v>
      </c>
      <c r="C15" s="1067"/>
      <c r="D15" s="1067" t="s">
        <v>259</v>
      </c>
      <c r="E15" s="1067">
        <v>223.45000000000002</v>
      </c>
      <c r="F15" s="1067">
        <v>2</v>
      </c>
      <c r="G15" s="1067">
        <v>34.99</v>
      </c>
      <c r="H15" s="1067">
        <v>12.9</v>
      </c>
      <c r="I15" s="1067">
        <v>25.28</v>
      </c>
      <c r="J15" s="1067">
        <v>109.36000000000001</v>
      </c>
      <c r="K15" s="1067">
        <v>0</v>
      </c>
      <c r="L15" s="1067">
        <v>38.92</v>
      </c>
    </row>
    <row r="16" spans="1:12" x14ac:dyDescent="0.25">
      <c r="A16" s="1067" t="s">
        <v>203</v>
      </c>
      <c r="B16" s="1067" t="s">
        <v>26</v>
      </c>
      <c r="C16" s="1067"/>
      <c r="D16" s="1067" t="s">
        <v>259</v>
      </c>
      <c r="E16" s="1067">
        <v>743.95999999999992</v>
      </c>
      <c r="F16" s="1067">
        <v>2</v>
      </c>
      <c r="G16" s="1067">
        <v>43.99</v>
      </c>
      <c r="H16" s="1067">
        <v>35.9</v>
      </c>
      <c r="I16" s="1067">
        <v>55.47</v>
      </c>
      <c r="J16" s="1067">
        <v>327.22999999999996</v>
      </c>
      <c r="K16" s="1067">
        <v>126.98</v>
      </c>
      <c r="L16" s="1067">
        <v>152.39000000000001</v>
      </c>
    </row>
    <row r="17" spans="1:12" x14ac:dyDescent="0.25">
      <c r="A17" s="1067" t="s">
        <v>202</v>
      </c>
      <c r="B17" s="1067" t="s">
        <v>249</v>
      </c>
      <c r="C17" s="1067"/>
      <c r="D17" s="1067" t="s">
        <v>281</v>
      </c>
      <c r="E17" s="1067">
        <v>426.39114285714288</v>
      </c>
      <c r="F17" s="1067"/>
      <c r="G17" s="1067">
        <v>8</v>
      </c>
      <c r="H17" s="1067">
        <v>21.6</v>
      </c>
      <c r="I17" s="1067">
        <v>36.428571428571431</v>
      </c>
      <c r="J17" s="1067">
        <v>190.97</v>
      </c>
      <c r="K17" s="1067">
        <v>109.34542857142856</v>
      </c>
      <c r="L17" s="1067">
        <v>60.047142857142852</v>
      </c>
    </row>
    <row r="18" spans="1:12" x14ac:dyDescent="0.25">
      <c r="A18" s="1067" t="s">
        <v>202</v>
      </c>
      <c r="B18" s="1067" t="s">
        <v>249</v>
      </c>
      <c r="C18" s="1067"/>
      <c r="D18" s="1067" t="s">
        <v>173</v>
      </c>
      <c r="E18" s="1067">
        <v>219.71714285714287</v>
      </c>
      <c r="F18" s="1067"/>
      <c r="G18" s="1067">
        <v>2</v>
      </c>
      <c r="H18" s="1067">
        <v>9.6</v>
      </c>
      <c r="I18" s="1067">
        <v>14.685714285714285</v>
      </c>
      <c r="J18" s="1067">
        <v>97.048571428571421</v>
      </c>
      <c r="K18" s="1067">
        <v>61.014285714285712</v>
      </c>
      <c r="L18" s="1067">
        <v>35.368571428571428</v>
      </c>
    </row>
    <row r="19" spans="1:12" x14ac:dyDescent="0.25">
      <c r="A19" s="1067" t="s">
        <v>202</v>
      </c>
      <c r="B19" s="1067" t="s">
        <v>249</v>
      </c>
      <c r="C19" s="1067"/>
      <c r="D19" s="1067" t="s">
        <v>174</v>
      </c>
      <c r="E19" s="1067">
        <v>95.721428571428561</v>
      </c>
      <c r="F19" s="1067"/>
      <c r="G19" s="1067">
        <v>3</v>
      </c>
      <c r="H19" s="1067">
        <v>5</v>
      </c>
      <c r="I19" s="1067">
        <v>11.528571428571428</v>
      </c>
      <c r="J19" s="1067">
        <v>33.935714285714283</v>
      </c>
      <c r="K19" s="1067">
        <v>32.164285714285711</v>
      </c>
      <c r="L19" s="1067">
        <v>10.092857142857142</v>
      </c>
    </row>
    <row r="20" spans="1:12" x14ac:dyDescent="0.25">
      <c r="A20" s="1067" t="s">
        <v>202</v>
      </c>
      <c r="B20" s="1067" t="s">
        <v>249</v>
      </c>
      <c r="C20" s="1067"/>
      <c r="D20" s="1067" t="s">
        <v>172</v>
      </c>
      <c r="E20" s="1067">
        <v>110.95257142857143</v>
      </c>
      <c r="F20" s="1067"/>
      <c r="G20" s="1067">
        <v>3</v>
      </c>
      <c r="H20" s="1067">
        <v>7</v>
      </c>
      <c r="I20" s="1067">
        <v>10.214285714285715</v>
      </c>
      <c r="J20" s="1067">
        <v>59.985714285714288</v>
      </c>
      <c r="K20" s="1067">
        <v>16.166857142857143</v>
      </c>
      <c r="L20" s="1067">
        <v>14.585714285714284</v>
      </c>
    </row>
    <row r="21" spans="1:12" x14ac:dyDescent="0.25">
      <c r="A21" s="1067" t="s">
        <v>202</v>
      </c>
      <c r="B21" s="1067" t="s">
        <v>250</v>
      </c>
      <c r="C21" s="1067"/>
      <c r="D21" s="1067" t="s">
        <v>259</v>
      </c>
      <c r="E21" s="1067">
        <v>276.74971428571428</v>
      </c>
      <c r="F21" s="1067">
        <v>3</v>
      </c>
      <c r="G21" s="1067">
        <v>32</v>
      </c>
      <c r="H21" s="1067">
        <v>11.709428571428571</v>
      </c>
      <c r="I21" s="1067">
        <v>34.285714285714285</v>
      </c>
      <c r="J21" s="1067">
        <v>106.63857142857142</v>
      </c>
      <c r="K21" s="1067">
        <v>3.8905714285714286</v>
      </c>
      <c r="L21" s="1067">
        <v>85</v>
      </c>
    </row>
    <row r="22" spans="1:12" x14ac:dyDescent="0.25">
      <c r="A22" s="1067" t="s">
        <v>202</v>
      </c>
      <c r="B22" s="1067" t="s">
        <v>26</v>
      </c>
      <c r="C22" s="1067"/>
      <c r="D22" s="1067" t="s">
        <v>259</v>
      </c>
      <c r="E22" s="1067">
        <v>718.56228571428574</v>
      </c>
      <c r="F22" s="1067">
        <v>3</v>
      </c>
      <c r="G22" s="1067">
        <v>40</v>
      </c>
      <c r="H22" s="1067">
        <v>33.309428571428569</v>
      </c>
      <c r="I22" s="1067">
        <v>70.714285714285722</v>
      </c>
      <c r="J22" s="1067">
        <v>303.60857142857139</v>
      </c>
      <c r="K22" s="1067">
        <v>122.20028571428574</v>
      </c>
      <c r="L22" s="1067">
        <v>146</v>
      </c>
    </row>
    <row r="23" spans="1:12" x14ac:dyDescent="0.25">
      <c r="A23" s="1067" t="s">
        <v>273</v>
      </c>
      <c r="B23" s="1067" t="s">
        <v>249</v>
      </c>
      <c r="C23" s="1067"/>
      <c r="D23" s="1067" t="s">
        <v>281</v>
      </c>
      <c r="E23" s="1067">
        <v>486</v>
      </c>
      <c r="F23" s="1067"/>
      <c r="G23" s="1067">
        <v>8</v>
      </c>
      <c r="H23" s="1067">
        <v>21</v>
      </c>
      <c r="I23" s="1067">
        <v>37</v>
      </c>
      <c r="J23" s="1067">
        <v>231</v>
      </c>
      <c r="K23" s="1067">
        <v>104</v>
      </c>
      <c r="L23" s="1067">
        <v>81</v>
      </c>
    </row>
    <row r="24" spans="1:12" x14ac:dyDescent="0.25">
      <c r="A24" s="1067" t="s">
        <v>273</v>
      </c>
      <c r="B24" s="1067" t="s">
        <v>249</v>
      </c>
      <c r="C24" s="1067"/>
      <c r="D24" s="1067" t="s">
        <v>173</v>
      </c>
      <c r="E24" s="1067">
        <v>248</v>
      </c>
      <c r="F24" s="1067"/>
      <c r="G24" s="1067">
        <v>2</v>
      </c>
      <c r="H24" s="1067">
        <v>9</v>
      </c>
      <c r="I24" s="1067">
        <v>14</v>
      </c>
      <c r="J24" s="1067">
        <v>114</v>
      </c>
      <c r="K24" s="1067">
        <v>64</v>
      </c>
      <c r="L24" s="1067">
        <v>43</v>
      </c>
    </row>
    <row r="25" spans="1:12" x14ac:dyDescent="0.25">
      <c r="A25" s="1067" t="s">
        <v>273</v>
      </c>
      <c r="B25" s="1067" t="s">
        <v>249</v>
      </c>
      <c r="C25" s="1067"/>
      <c r="D25" s="1067" t="s">
        <v>174</v>
      </c>
      <c r="E25" s="1067">
        <v>113</v>
      </c>
      <c r="F25" s="1067"/>
      <c r="G25" s="1067">
        <v>3</v>
      </c>
      <c r="H25" s="1067">
        <v>5</v>
      </c>
      <c r="I25" s="1067">
        <v>12</v>
      </c>
      <c r="J25" s="1067">
        <v>47</v>
      </c>
      <c r="K25" s="1067">
        <v>29</v>
      </c>
      <c r="L25" s="1067">
        <v>16</v>
      </c>
    </row>
    <row r="26" spans="1:12" x14ac:dyDescent="0.25">
      <c r="A26" s="1067" t="s">
        <v>273</v>
      </c>
      <c r="B26" s="1067" t="s">
        <v>249</v>
      </c>
      <c r="C26" s="1067"/>
      <c r="D26" s="1067" t="s">
        <v>172</v>
      </c>
      <c r="E26" s="1067">
        <v>124</v>
      </c>
      <c r="F26" s="1067"/>
      <c r="G26" s="1067">
        <v>3</v>
      </c>
      <c r="H26" s="1067">
        <v>7</v>
      </c>
      <c r="I26" s="1067">
        <v>11</v>
      </c>
      <c r="J26" s="1067">
        <v>70</v>
      </c>
      <c r="K26" s="1067">
        <v>11</v>
      </c>
      <c r="L26" s="1067">
        <v>21</v>
      </c>
    </row>
    <row r="27" spans="1:12" x14ac:dyDescent="0.25">
      <c r="A27" s="1067" t="s">
        <v>273</v>
      </c>
      <c r="B27" s="1067" t="s">
        <v>250</v>
      </c>
      <c r="C27" s="1067"/>
      <c r="D27" s="1067" t="s">
        <v>259</v>
      </c>
      <c r="E27" s="1067">
        <v>250</v>
      </c>
      <c r="F27" s="1067">
        <v>3</v>
      </c>
      <c r="G27" s="1067">
        <v>34</v>
      </c>
      <c r="H27" s="1067">
        <v>12</v>
      </c>
      <c r="I27" s="1067">
        <v>36</v>
      </c>
      <c r="J27" s="1067">
        <v>100</v>
      </c>
      <c r="K27" s="1067">
        <v>5</v>
      </c>
      <c r="L27" s="1067">
        <v>58</v>
      </c>
    </row>
    <row r="28" spans="1:12" x14ac:dyDescent="0.25">
      <c r="A28" s="1067" t="s">
        <v>273</v>
      </c>
      <c r="B28" s="1067" t="s">
        <v>26</v>
      </c>
      <c r="C28" s="1067"/>
      <c r="D28" s="1067" t="s">
        <v>259</v>
      </c>
      <c r="E28" s="1067">
        <v>745</v>
      </c>
      <c r="F28" s="1067">
        <v>3</v>
      </c>
      <c r="G28" s="1067">
        <v>42</v>
      </c>
      <c r="H28" s="1067">
        <v>33</v>
      </c>
      <c r="I28" s="1067">
        <v>74</v>
      </c>
      <c r="J28" s="1067">
        <v>334</v>
      </c>
      <c r="K28" s="1067">
        <v>115</v>
      </c>
      <c r="L28" s="1067">
        <v>140</v>
      </c>
    </row>
    <row r="29" spans="1:12" x14ac:dyDescent="0.25">
      <c r="A29" s="1067" t="s">
        <v>255</v>
      </c>
      <c r="B29" s="1067" t="s">
        <v>249</v>
      </c>
      <c r="C29" s="1067"/>
      <c r="D29" s="1067" t="s">
        <v>281</v>
      </c>
      <c r="E29" s="1067">
        <v>499</v>
      </c>
      <c r="F29" s="1067"/>
      <c r="G29" s="1067">
        <v>8</v>
      </c>
      <c r="H29" s="1067">
        <v>20</v>
      </c>
      <c r="I29" s="1067">
        <v>35</v>
      </c>
      <c r="J29" s="1067">
        <v>250</v>
      </c>
      <c r="K29" s="1067">
        <v>106</v>
      </c>
      <c r="L29" s="1067">
        <v>79</v>
      </c>
    </row>
    <row r="30" spans="1:12" x14ac:dyDescent="0.25">
      <c r="A30" s="1067" t="s">
        <v>255</v>
      </c>
      <c r="B30" s="1067" t="s">
        <v>249</v>
      </c>
      <c r="C30" s="1067"/>
      <c r="D30" s="1067" t="s">
        <v>173</v>
      </c>
      <c r="E30" s="1067">
        <v>260</v>
      </c>
      <c r="F30" s="1067"/>
      <c r="G30" s="1067">
        <v>2</v>
      </c>
      <c r="H30" s="1067">
        <v>9</v>
      </c>
      <c r="I30" s="1067">
        <v>15</v>
      </c>
      <c r="J30" s="1067">
        <v>128</v>
      </c>
      <c r="K30" s="1067">
        <v>63</v>
      </c>
      <c r="L30" s="1067">
        <v>43</v>
      </c>
    </row>
    <row r="31" spans="1:12" x14ac:dyDescent="0.25">
      <c r="A31" s="1067" t="s">
        <v>255</v>
      </c>
      <c r="B31" s="1067" t="s">
        <v>249</v>
      </c>
      <c r="C31" s="1067"/>
      <c r="D31" s="1067" t="s">
        <v>174</v>
      </c>
      <c r="E31" s="1067">
        <v>105</v>
      </c>
      <c r="F31" s="1067"/>
      <c r="G31" s="1067">
        <v>3</v>
      </c>
      <c r="H31" s="1067">
        <v>3</v>
      </c>
      <c r="I31" s="1067">
        <v>10</v>
      </c>
      <c r="J31" s="1067">
        <v>44</v>
      </c>
      <c r="K31" s="1067">
        <v>30</v>
      </c>
      <c r="L31" s="1067">
        <v>16</v>
      </c>
    </row>
    <row r="32" spans="1:12" x14ac:dyDescent="0.25">
      <c r="A32" s="1067" t="s">
        <v>255</v>
      </c>
      <c r="B32" s="1067" t="s">
        <v>249</v>
      </c>
      <c r="C32" s="1067"/>
      <c r="D32" s="1067" t="s">
        <v>172</v>
      </c>
      <c r="E32" s="1067">
        <v>133</v>
      </c>
      <c r="F32" s="1067"/>
      <c r="G32" s="1067">
        <v>3</v>
      </c>
      <c r="H32" s="1067">
        <v>8</v>
      </c>
      <c r="I32" s="1067">
        <v>10</v>
      </c>
      <c r="J32" s="1067">
        <v>78</v>
      </c>
      <c r="K32" s="1067">
        <v>13</v>
      </c>
      <c r="L32" s="1067">
        <v>20</v>
      </c>
    </row>
    <row r="33" spans="1:12" x14ac:dyDescent="0.25">
      <c r="A33" s="1067" t="s">
        <v>255</v>
      </c>
      <c r="B33" s="1067" t="s">
        <v>250</v>
      </c>
      <c r="C33" s="1067"/>
      <c r="D33" s="1067" t="s">
        <v>259</v>
      </c>
      <c r="E33" s="1067">
        <v>260</v>
      </c>
      <c r="F33" s="1067">
        <v>2</v>
      </c>
      <c r="G33" s="1067">
        <v>42</v>
      </c>
      <c r="H33" s="1067">
        <v>11</v>
      </c>
      <c r="I33" s="1067">
        <v>40</v>
      </c>
      <c r="J33" s="1067">
        <v>105</v>
      </c>
      <c r="K33" s="1067">
        <v>4</v>
      </c>
      <c r="L33" s="1067">
        <v>56</v>
      </c>
    </row>
    <row r="34" spans="1:12" x14ac:dyDescent="0.25">
      <c r="A34" s="1067" t="s">
        <v>255</v>
      </c>
      <c r="B34" s="1067" t="s">
        <v>26</v>
      </c>
      <c r="C34" s="1067"/>
      <c r="D34" s="1067" t="s">
        <v>259</v>
      </c>
      <c r="E34" s="1067">
        <v>759</v>
      </c>
      <c r="F34" s="1067">
        <v>2</v>
      </c>
      <c r="G34" s="1067">
        <v>50</v>
      </c>
      <c r="H34" s="1067">
        <v>31</v>
      </c>
      <c r="I34" s="1067">
        <v>76</v>
      </c>
      <c r="J34" s="1067">
        <v>355</v>
      </c>
      <c r="K34" s="1067">
        <v>110</v>
      </c>
      <c r="L34" s="1067">
        <v>135</v>
      </c>
    </row>
    <row r="35" spans="1:12" x14ac:dyDescent="0.25">
      <c r="A35" s="1067" t="s">
        <v>254</v>
      </c>
      <c r="B35" s="1067" t="s">
        <v>249</v>
      </c>
      <c r="C35" s="1067"/>
      <c r="D35" s="1067" t="s">
        <v>281</v>
      </c>
      <c r="E35" s="1067">
        <v>455</v>
      </c>
      <c r="F35" s="1067"/>
      <c r="G35" s="1067">
        <v>7</v>
      </c>
      <c r="H35" s="1067">
        <v>22</v>
      </c>
      <c r="I35" s="1067">
        <v>34</v>
      </c>
      <c r="J35" s="1067">
        <v>250</v>
      </c>
      <c r="K35" s="1067">
        <v>58</v>
      </c>
      <c r="L35" s="1067">
        <v>83</v>
      </c>
    </row>
    <row r="36" spans="1:12" x14ac:dyDescent="0.25">
      <c r="A36" s="1067" t="s">
        <v>254</v>
      </c>
      <c r="B36" s="1067" t="s">
        <v>249</v>
      </c>
      <c r="C36" s="1067"/>
      <c r="D36" s="1067" t="s">
        <v>173</v>
      </c>
      <c r="E36" s="1067">
        <v>225</v>
      </c>
      <c r="F36" s="1067"/>
      <c r="G36" s="1067">
        <v>2</v>
      </c>
      <c r="H36" s="1067">
        <v>9</v>
      </c>
      <c r="I36" s="1067">
        <v>15</v>
      </c>
      <c r="J36" s="1067">
        <v>128</v>
      </c>
      <c r="K36" s="1067">
        <v>25</v>
      </c>
      <c r="L36" s="1067">
        <v>46</v>
      </c>
    </row>
    <row r="37" spans="1:12" x14ac:dyDescent="0.25">
      <c r="A37" s="1067" t="s">
        <v>254</v>
      </c>
      <c r="B37" s="1067" t="s">
        <v>249</v>
      </c>
      <c r="C37" s="1067"/>
      <c r="D37" s="1067" t="s">
        <v>174</v>
      </c>
      <c r="E37" s="1067">
        <v>97</v>
      </c>
      <c r="F37" s="1067"/>
      <c r="G37" s="1067">
        <v>2</v>
      </c>
      <c r="H37" s="1067">
        <v>4</v>
      </c>
      <c r="I37" s="1067">
        <v>10</v>
      </c>
      <c r="J37" s="1067">
        <v>48</v>
      </c>
      <c r="K37" s="1067">
        <v>16</v>
      </c>
      <c r="L37" s="1067">
        <v>17</v>
      </c>
    </row>
    <row r="38" spans="1:12" x14ac:dyDescent="0.25">
      <c r="A38" s="1067" t="s">
        <v>254</v>
      </c>
      <c r="B38" s="1067" t="s">
        <v>249</v>
      </c>
      <c r="C38" s="1067"/>
      <c r="D38" s="1067" t="s">
        <v>172</v>
      </c>
      <c r="E38" s="1067">
        <v>133</v>
      </c>
      <c r="F38" s="1067"/>
      <c r="G38" s="1067">
        <v>3</v>
      </c>
      <c r="H38" s="1067">
        <v>9</v>
      </c>
      <c r="I38" s="1067">
        <v>10</v>
      </c>
      <c r="J38" s="1067">
        <v>74</v>
      </c>
      <c r="K38" s="1067">
        <v>16</v>
      </c>
      <c r="L38" s="1067">
        <v>20</v>
      </c>
    </row>
    <row r="39" spans="1:12" x14ac:dyDescent="0.25">
      <c r="A39" s="1067" t="s">
        <v>254</v>
      </c>
      <c r="B39" s="1067" t="s">
        <v>250</v>
      </c>
      <c r="C39" s="1067"/>
      <c r="D39" s="1067" t="s">
        <v>259</v>
      </c>
      <c r="E39" s="1067">
        <v>291</v>
      </c>
      <c r="F39" s="1067">
        <v>3</v>
      </c>
      <c r="G39" s="1067">
        <v>42</v>
      </c>
      <c r="H39" s="1067">
        <v>12</v>
      </c>
      <c r="I39" s="1067">
        <v>46</v>
      </c>
      <c r="J39" s="1067">
        <v>125</v>
      </c>
      <c r="K39" s="1067">
        <v>1</v>
      </c>
      <c r="L39" s="1067">
        <v>62</v>
      </c>
    </row>
    <row r="40" spans="1:12" x14ac:dyDescent="0.25">
      <c r="A40" s="1067" t="s">
        <v>254</v>
      </c>
      <c r="B40" s="1067" t="s">
        <v>26</v>
      </c>
      <c r="C40" s="1067"/>
      <c r="D40" s="1067" t="s">
        <v>259</v>
      </c>
      <c r="E40" s="1067">
        <v>746</v>
      </c>
      <c r="F40" s="1067">
        <v>3</v>
      </c>
      <c r="G40" s="1067">
        <v>49</v>
      </c>
      <c r="H40" s="1067">
        <v>34</v>
      </c>
      <c r="I40" s="1067">
        <v>80</v>
      </c>
      <c r="J40" s="1067">
        <v>376</v>
      </c>
      <c r="K40" s="1067">
        <v>59</v>
      </c>
      <c r="L40" s="1067">
        <v>145</v>
      </c>
    </row>
    <row r="41" spans="1:12" x14ac:dyDescent="0.25">
      <c r="A41" s="1067" t="s">
        <v>851</v>
      </c>
      <c r="B41" s="1067" t="s">
        <v>249</v>
      </c>
      <c r="C41" s="1067"/>
      <c r="D41" s="1067" t="s">
        <v>281</v>
      </c>
      <c r="E41" s="1067">
        <v>433</v>
      </c>
      <c r="F41" s="1067"/>
      <c r="G41" s="1067">
        <v>6</v>
      </c>
      <c r="H41" s="1067">
        <v>23</v>
      </c>
      <c r="I41" s="1067">
        <v>19</v>
      </c>
      <c r="J41" s="1067">
        <v>243</v>
      </c>
      <c r="K41" s="1067">
        <v>56</v>
      </c>
      <c r="L41" s="1067">
        <v>86</v>
      </c>
    </row>
    <row r="42" spans="1:12" x14ac:dyDescent="0.25">
      <c r="A42" s="1067" t="s">
        <v>851</v>
      </c>
      <c r="B42" s="1067" t="s">
        <v>249</v>
      </c>
      <c r="C42" s="1067"/>
      <c r="D42" s="1067" t="s">
        <v>173</v>
      </c>
      <c r="E42" s="1067">
        <v>219</v>
      </c>
      <c r="F42" s="1067"/>
      <c r="G42" s="1067">
        <v>2</v>
      </c>
      <c r="H42" s="1067">
        <v>9</v>
      </c>
      <c r="I42" s="1067">
        <v>8</v>
      </c>
      <c r="J42" s="1067">
        <v>130</v>
      </c>
      <c r="K42" s="1067">
        <v>25</v>
      </c>
      <c r="L42" s="1067">
        <v>45</v>
      </c>
    </row>
    <row r="43" spans="1:12" x14ac:dyDescent="0.25">
      <c r="A43" s="1067" t="s">
        <v>851</v>
      </c>
      <c r="B43" s="1067" t="s">
        <v>249</v>
      </c>
      <c r="C43" s="1067"/>
      <c r="D43" s="1067" t="s">
        <v>174</v>
      </c>
      <c r="E43" s="1067">
        <v>90</v>
      </c>
      <c r="F43" s="1067"/>
      <c r="G43" s="1067">
        <v>2</v>
      </c>
      <c r="H43" s="1067">
        <v>5</v>
      </c>
      <c r="I43" s="1067">
        <v>6</v>
      </c>
      <c r="J43" s="1067">
        <v>44</v>
      </c>
      <c r="K43" s="1067">
        <v>15</v>
      </c>
      <c r="L43" s="1067">
        <v>17</v>
      </c>
    </row>
    <row r="44" spans="1:12" x14ac:dyDescent="0.25">
      <c r="A44" s="1067" t="s">
        <v>851</v>
      </c>
      <c r="B44" s="1067" t="s">
        <v>249</v>
      </c>
      <c r="C44" s="1067"/>
      <c r="D44" s="1067" t="s">
        <v>172</v>
      </c>
      <c r="E44" s="1067">
        <v>124</v>
      </c>
      <c r="F44" s="1067"/>
      <c r="G44" s="1067">
        <v>2</v>
      </c>
      <c r="H44" s="1067">
        <v>9</v>
      </c>
      <c r="I44" s="1067">
        <v>5</v>
      </c>
      <c r="J44" s="1067">
        <v>70</v>
      </c>
      <c r="K44" s="1067">
        <v>15</v>
      </c>
      <c r="L44" s="1067">
        <v>23</v>
      </c>
    </row>
    <row r="45" spans="1:12" x14ac:dyDescent="0.25">
      <c r="A45" s="1067" t="s">
        <v>851</v>
      </c>
      <c r="B45" s="1067" t="s">
        <v>250</v>
      </c>
      <c r="C45" s="1067"/>
      <c r="D45" s="1067" t="s">
        <v>259</v>
      </c>
      <c r="E45" s="1067">
        <v>333</v>
      </c>
      <c r="F45" s="1067">
        <v>3</v>
      </c>
      <c r="G45" s="1067">
        <v>41</v>
      </c>
      <c r="H45" s="1067">
        <v>9</v>
      </c>
      <c r="I45" s="1067">
        <v>70</v>
      </c>
      <c r="J45" s="1067">
        <v>139</v>
      </c>
      <c r="K45" s="1067">
        <v>1</v>
      </c>
      <c r="L45" s="1067">
        <v>70</v>
      </c>
    </row>
    <row r="46" spans="1:12" x14ac:dyDescent="0.25">
      <c r="A46" s="1067" t="s">
        <v>851</v>
      </c>
      <c r="B46" s="1067" t="s">
        <v>26</v>
      </c>
      <c r="C46" s="1067"/>
      <c r="D46" s="1067" t="s">
        <v>259</v>
      </c>
      <c r="E46" s="1067">
        <v>765</v>
      </c>
      <c r="F46" s="1067">
        <v>3</v>
      </c>
      <c r="G46" s="1067">
        <v>47</v>
      </c>
      <c r="H46" s="1067">
        <v>32</v>
      </c>
      <c r="I46" s="1067">
        <v>89</v>
      </c>
      <c r="J46" s="1067">
        <v>383</v>
      </c>
      <c r="K46" s="1067">
        <v>57</v>
      </c>
      <c r="L46" s="1067">
        <v>155</v>
      </c>
    </row>
  </sheetData>
  <sheetProtection algorithmName="SHA-512" hashValue="XLNQs1ZxFmIcCx+LxzsougWAYlSx8VmuUW89LMoShQOaK+y8zj1tDsyqptjsh74U4xfo73DRQwhlyvTIYimcLQ==" saltValue="UF3KWdK0wI2uh/oksTj2Rg=="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
  <sheetViews>
    <sheetView zoomScale="85" zoomScaleNormal="85" workbookViewId="0">
      <pane ySplit="4" topLeftCell="A5" activePane="bottomLeft" state="frozen"/>
      <selection pane="bottomLeft"/>
    </sheetView>
  </sheetViews>
  <sheetFormatPr defaultRowHeight="15" x14ac:dyDescent="0.25"/>
  <sheetData>
    <row r="1" spans="1:13" ht="15.75" x14ac:dyDescent="0.25">
      <c r="A1" s="981" t="s">
        <v>1214</v>
      </c>
    </row>
    <row r="2" spans="1:13" x14ac:dyDescent="0.25">
      <c r="A2" s="1139">
        <v>44071</v>
      </c>
      <c r="B2" s="1140"/>
    </row>
    <row r="4" spans="1:13" x14ac:dyDescent="0.25">
      <c r="A4" s="1066" t="s">
        <v>245</v>
      </c>
      <c r="B4" s="1066" t="s">
        <v>1202</v>
      </c>
      <c r="C4" s="1066" t="s">
        <v>1203</v>
      </c>
      <c r="D4" s="1066" t="s">
        <v>1204</v>
      </c>
      <c r="E4" s="1066" t="s">
        <v>1205</v>
      </c>
      <c r="F4" s="1066" t="s">
        <v>1206</v>
      </c>
      <c r="G4" s="1066" t="s">
        <v>1207</v>
      </c>
      <c r="H4" s="1066" t="s">
        <v>1208</v>
      </c>
      <c r="I4" s="1066" t="s">
        <v>1209</v>
      </c>
      <c r="J4" s="1066" t="s">
        <v>1210</v>
      </c>
      <c r="K4" s="1066" t="s">
        <v>1211</v>
      </c>
      <c r="L4" s="1066" t="s">
        <v>1212</v>
      </c>
      <c r="M4" s="1066" t="s">
        <v>1213</v>
      </c>
    </row>
    <row r="5" spans="1:13" x14ac:dyDescent="0.25">
      <c r="A5" s="1067" t="s">
        <v>325</v>
      </c>
      <c r="B5" s="1067">
        <v>148</v>
      </c>
      <c r="C5" s="1067">
        <v>4011</v>
      </c>
      <c r="D5" s="1067">
        <v>182</v>
      </c>
      <c r="E5" s="1067">
        <v>2870</v>
      </c>
      <c r="F5" s="1067">
        <v>202</v>
      </c>
      <c r="G5" s="1067">
        <v>32</v>
      </c>
      <c r="H5" s="1067">
        <v>649</v>
      </c>
      <c r="I5" s="1067">
        <v>487</v>
      </c>
      <c r="J5" s="1067">
        <v>59</v>
      </c>
      <c r="K5" s="1067">
        <v>400</v>
      </c>
      <c r="L5" s="1067"/>
      <c r="M5" s="1067"/>
    </row>
    <row r="6" spans="1:13" x14ac:dyDescent="0.25">
      <c r="A6" s="1067" t="s">
        <v>205</v>
      </c>
      <c r="B6" s="1067">
        <v>158</v>
      </c>
      <c r="C6" s="1067">
        <v>3993</v>
      </c>
      <c r="D6" s="1067">
        <v>173</v>
      </c>
      <c r="E6" s="1067">
        <v>2903</v>
      </c>
      <c r="F6" s="1067">
        <v>203</v>
      </c>
      <c r="G6" s="1067">
        <v>31</v>
      </c>
      <c r="H6" s="1067">
        <v>604</v>
      </c>
      <c r="I6" s="1067">
        <v>482</v>
      </c>
      <c r="J6" s="1067">
        <v>52</v>
      </c>
      <c r="K6" s="1067">
        <v>365</v>
      </c>
      <c r="L6" s="1067"/>
      <c r="M6" s="1067"/>
    </row>
    <row r="7" spans="1:13" x14ac:dyDescent="0.25">
      <c r="A7" s="1067" t="s">
        <v>204</v>
      </c>
      <c r="B7" s="1067">
        <v>159</v>
      </c>
      <c r="C7" s="1067">
        <v>3842</v>
      </c>
      <c r="D7" s="1067">
        <v>178</v>
      </c>
      <c r="E7" s="1067">
        <v>2762</v>
      </c>
      <c r="F7" s="1067">
        <v>199</v>
      </c>
      <c r="G7" s="1067">
        <v>24</v>
      </c>
      <c r="H7" s="1067">
        <v>545</v>
      </c>
      <c r="I7" s="1067">
        <v>416</v>
      </c>
      <c r="J7" s="1067">
        <v>52</v>
      </c>
      <c r="K7" s="1067">
        <v>307</v>
      </c>
      <c r="L7" s="1067"/>
      <c r="M7" s="1067"/>
    </row>
    <row r="8" spans="1:13" x14ac:dyDescent="0.25">
      <c r="A8" s="1067" t="s">
        <v>203</v>
      </c>
      <c r="B8" s="1067">
        <v>164</v>
      </c>
      <c r="C8" s="1067">
        <v>3692</v>
      </c>
      <c r="D8" s="1067">
        <v>172</v>
      </c>
      <c r="E8" s="1067">
        <v>2778</v>
      </c>
      <c r="F8" s="1067">
        <v>192</v>
      </c>
      <c r="G8" s="1067">
        <v>38</v>
      </c>
      <c r="H8" s="1067">
        <v>480</v>
      </c>
      <c r="I8" s="1067">
        <v>387</v>
      </c>
      <c r="J8" s="1067">
        <v>56</v>
      </c>
      <c r="K8" s="1067">
        <v>322</v>
      </c>
      <c r="L8" s="1067"/>
      <c r="M8" s="1067"/>
    </row>
    <row r="9" spans="1:13" x14ac:dyDescent="0.25">
      <c r="A9" s="1067" t="s">
        <v>202</v>
      </c>
      <c r="B9" s="1067">
        <v>167</v>
      </c>
      <c r="C9" s="1067">
        <v>3523</v>
      </c>
      <c r="D9" s="1067">
        <v>163</v>
      </c>
      <c r="E9" s="1067">
        <v>2707</v>
      </c>
      <c r="F9" s="1067">
        <v>171</v>
      </c>
      <c r="G9" s="1067">
        <v>32</v>
      </c>
      <c r="H9" s="1067">
        <v>463</v>
      </c>
      <c r="I9" s="1067">
        <v>365</v>
      </c>
      <c r="J9" s="1067">
        <v>56</v>
      </c>
      <c r="K9" s="1067">
        <v>286</v>
      </c>
      <c r="L9" s="1067"/>
      <c r="M9" s="1067"/>
    </row>
    <row r="10" spans="1:13" x14ac:dyDescent="0.25">
      <c r="A10" s="1067" t="s">
        <v>273</v>
      </c>
      <c r="B10" s="1067">
        <v>178</v>
      </c>
      <c r="C10" s="1067">
        <v>3467</v>
      </c>
      <c r="D10" s="1067">
        <v>158</v>
      </c>
      <c r="E10" s="1067">
        <v>2712</v>
      </c>
      <c r="F10" s="1067">
        <v>139</v>
      </c>
      <c r="G10" s="1067">
        <v>26</v>
      </c>
      <c r="H10" s="1067">
        <v>466</v>
      </c>
      <c r="I10" s="1067">
        <v>372</v>
      </c>
      <c r="J10" s="1067">
        <v>48</v>
      </c>
      <c r="K10" s="1067">
        <v>268</v>
      </c>
      <c r="L10" s="1067"/>
      <c r="M10" s="1067"/>
    </row>
    <row r="11" spans="1:13" x14ac:dyDescent="0.25">
      <c r="A11" s="1067" t="s">
        <v>255</v>
      </c>
      <c r="B11" s="1067">
        <v>175</v>
      </c>
      <c r="C11" s="1067">
        <v>3371</v>
      </c>
      <c r="D11" s="1067">
        <v>171</v>
      </c>
      <c r="E11" s="1067">
        <v>2692</v>
      </c>
      <c r="F11" s="1067">
        <v>158</v>
      </c>
      <c r="G11" s="1067">
        <v>31</v>
      </c>
      <c r="H11" s="1067">
        <v>476</v>
      </c>
      <c r="I11" s="1067">
        <v>370</v>
      </c>
      <c r="J11" s="1067">
        <v>55</v>
      </c>
      <c r="K11" s="1067">
        <v>277</v>
      </c>
      <c r="L11" s="1067"/>
      <c r="M11" s="1067"/>
    </row>
    <row r="12" spans="1:13" x14ac:dyDescent="0.25">
      <c r="A12" s="1067" t="s">
        <v>254</v>
      </c>
      <c r="B12" s="1067">
        <v>196</v>
      </c>
      <c r="C12" s="1067">
        <v>3441</v>
      </c>
      <c r="D12" s="1067">
        <v>201</v>
      </c>
      <c r="E12" s="1067">
        <v>2734</v>
      </c>
      <c r="F12" s="1067">
        <v>172</v>
      </c>
      <c r="G12" s="1067">
        <v>35</v>
      </c>
      <c r="H12" s="1067">
        <v>427</v>
      </c>
      <c r="I12" s="1067">
        <v>365</v>
      </c>
      <c r="J12" s="1067">
        <v>54</v>
      </c>
      <c r="K12" s="1067">
        <v>263</v>
      </c>
      <c r="L12" s="1071">
        <v>1</v>
      </c>
      <c r="M12" s="1071">
        <v>17</v>
      </c>
    </row>
    <row r="13" spans="1:13" x14ac:dyDescent="0.25">
      <c r="A13" s="1067" t="s">
        <v>851</v>
      </c>
      <c r="B13" s="1067">
        <v>222</v>
      </c>
      <c r="C13" s="1067">
        <v>3414</v>
      </c>
      <c r="D13" s="1067">
        <v>208</v>
      </c>
      <c r="E13" s="1067">
        <v>2729</v>
      </c>
      <c r="F13" s="1067">
        <v>156</v>
      </c>
      <c r="G13" s="1067">
        <v>32</v>
      </c>
      <c r="H13" s="1067">
        <v>447</v>
      </c>
      <c r="I13" s="1067">
        <v>371</v>
      </c>
      <c r="J13" s="1067">
        <v>54</v>
      </c>
      <c r="K13" s="1067">
        <v>261</v>
      </c>
      <c r="L13" s="1071">
        <v>7</v>
      </c>
      <c r="M13" s="1071">
        <v>29</v>
      </c>
    </row>
  </sheetData>
  <sheetProtection algorithmName="SHA-512" hashValue="NFePURpKKnxvF8DcsJGRIkKpnEJ4sLwKrLWpBEWEB4lR4Mao1GAWwuOrkFIxlM7SDBI6ILtzJXyAgGc06gsshg==" saltValue="+cdpGQK0TGvZa9qo6avUkQ=="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3"/>
  <sheetViews>
    <sheetView zoomScale="85" zoomScaleNormal="85" workbookViewId="0">
      <pane ySplit="4" topLeftCell="A86" activePane="bottomLeft" state="frozen"/>
      <selection pane="bottomLeft"/>
    </sheetView>
  </sheetViews>
  <sheetFormatPr defaultRowHeight="15" x14ac:dyDescent="0.25"/>
  <sheetData>
    <row r="1" spans="1:6" ht="15.75" x14ac:dyDescent="0.25">
      <c r="A1" s="981" t="s">
        <v>1218</v>
      </c>
    </row>
    <row r="2" spans="1:6" x14ac:dyDescent="0.25">
      <c r="A2" s="1139">
        <v>44071</v>
      </c>
      <c r="B2" s="1140"/>
    </row>
    <row r="4" spans="1:6" x14ac:dyDescent="0.25">
      <c r="A4" s="1066" t="s">
        <v>270</v>
      </c>
      <c r="B4" s="1066" t="s">
        <v>1086</v>
      </c>
      <c r="C4" s="1066" t="s">
        <v>1217</v>
      </c>
      <c r="D4" s="1066" t="s">
        <v>26</v>
      </c>
      <c r="E4" s="1066" t="s">
        <v>92</v>
      </c>
      <c r="F4" s="1066" t="s">
        <v>93</v>
      </c>
    </row>
    <row r="5" spans="1:6" x14ac:dyDescent="0.25">
      <c r="A5" s="1067" t="s">
        <v>204</v>
      </c>
      <c r="B5" s="1067" t="s">
        <v>2</v>
      </c>
      <c r="C5" s="1067" t="s">
        <v>22</v>
      </c>
      <c r="D5" s="1067">
        <v>52</v>
      </c>
      <c r="E5" s="1067">
        <v>46</v>
      </c>
      <c r="F5" s="1067">
        <v>6</v>
      </c>
    </row>
    <row r="6" spans="1:6" x14ac:dyDescent="0.25">
      <c r="A6" s="1067" t="s">
        <v>204</v>
      </c>
      <c r="B6" s="1067" t="s">
        <v>2</v>
      </c>
      <c r="C6" s="1067" t="s">
        <v>23</v>
      </c>
      <c r="D6" s="1067">
        <v>103</v>
      </c>
      <c r="E6" s="1067">
        <v>94</v>
      </c>
      <c r="F6" s="1067">
        <v>9</v>
      </c>
    </row>
    <row r="7" spans="1:6" x14ac:dyDescent="0.25">
      <c r="A7" s="1067" t="s">
        <v>204</v>
      </c>
      <c r="B7" s="1067" t="s">
        <v>2</v>
      </c>
      <c r="C7" s="1067" t="s">
        <v>19</v>
      </c>
      <c r="D7" s="1067">
        <v>5</v>
      </c>
      <c r="E7" s="1067">
        <v>4</v>
      </c>
      <c r="F7" s="1067">
        <v>1</v>
      </c>
    </row>
    <row r="8" spans="1:6" x14ac:dyDescent="0.25">
      <c r="A8" s="1067" t="s">
        <v>204</v>
      </c>
      <c r="B8" s="1067" t="s">
        <v>2</v>
      </c>
      <c r="C8" s="1067" t="s">
        <v>20</v>
      </c>
      <c r="D8" s="1067">
        <v>11</v>
      </c>
      <c r="E8" s="1067">
        <v>9</v>
      </c>
      <c r="F8" s="1067">
        <v>2</v>
      </c>
    </row>
    <row r="9" spans="1:6" x14ac:dyDescent="0.25">
      <c r="A9" s="1067" t="s">
        <v>204</v>
      </c>
      <c r="B9" s="1067" t="s">
        <v>2</v>
      </c>
      <c r="C9" s="1067" t="s">
        <v>21</v>
      </c>
      <c r="D9" s="1067">
        <v>52</v>
      </c>
      <c r="E9" s="1067">
        <v>46</v>
      </c>
      <c r="F9" s="1067">
        <v>6</v>
      </c>
    </row>
    <row r="10" spans="1:6" x14ac:dyDescent="0.25">
      <c r="A10" s="1067" t="s">
        <v>204</v>
      </c>
      <c r="B10" s="1067" t="s">
        <v>9</v>
      </c>
      <c r="C10" s="1067" t="s">
        <v>22</v>
      </c>
      <c r="D10" s="1067">
        <v>535</v>
      </c>
      <c r="E10" s="1067">
        <v>19</v>
      </c>
      <c r="F10" s="1067">
        <v>516</v>
      </c>
    </row>
    <row r="11" spans="1:6" x14ac:dyDescent="0.25">
      <c r="A11" s="1067" t="s">
        <v>204</v>
      </c>
      <c r="B11" s="1067" t="s">
        <v>9</v>
      </c>
      <c r="C11" s="1067" t="s">
        <v>23</v>
      </c>
      <c r="D11" s="1067">
        <v>2127</v>
      </c>
      <c r="E11" s="1067">
        <v>149</v>
      </c>
      <c r="F11" s="1067">
        <v>1978</v>
      </c>
    </row>
    <row r="12" spans="1:6" x14ac:dyDescent="0.25">
      <c r="A12" s="1067" t="s">
        <v>204</v>
      </c>
      <c r="B12" s="1067" t="s">
        <v>9</v>
      </c>
      <c r="C12" s="1067" t="s">
        <v>21</v>
      </c>
      <c r="D12" s="1067">
        <v>278</v>
      </c>
      <c r="E12" s="1067">
        <v>10</v>
      </c>
      <c r="F12" s="1067">
        <v>268</v>
      </c>
    </row>
    <row r="13" spans="1:6" x14ac:dyDescent="0.25">
      <c r="A13" s="1067" t="s">
        <v>204</v>
      </c>
      <c r="B13" s="1067" t="s">
        <v>3</v>
      </c>
      <c r="C13" s="1067" t="s">
        <v>98</v>
      </c>
      <c r="D13" s="1067">
        <v>278</v>
      </c>
      <c r="E13" s="1067">
        <v>248</v>
      </c>
      <c r="F13" s="1067">
        <v>30</v>
      </c>
    </row>
    <row r="14" spans="1:6" x14ac:dyDescent="0.25">
      <c r="A14" s="1067" t="s">
        <v>204</v>
      </c>
      <c r="B14" s="1067" t="s">
        <v>3</v>
      </c>
      <c r="C14" s="1067" t="s">
        <v>210</v>
      </c>
      <c r="D14" s="1067">
        <v>0</v>
      </c>
      <c r="E14" s="1067">
        <v>0</v>
      </c>
      <c r="F14" s="1067">
        <v>0</v>
      </c>
    </row>
    <row r="15" spans="1:6" x14ac:dyDescent="0.25">
      <c r="A15" s="1067" t="s">
        <v>204</v>
      </c>
      <c r="B15" s="1067" t="s">
        <v>3</v>
      </c>
      <c r="C15" s="1067" t="s">
        <v>83</v>
      </c>
      <c r="D15" s="1067">
        <v>45</v>
      </c>
      <c r="E15" s="1067">
        <v>28</v>
      </c>
      <c r="F15" s="1067">
        <v>17</v>
      </c>
    </row>
    <row r="16" spans="1:6" x14ac:dyDescent="0.25">
      <c r="A16" s="1067" t="s">
        <v>204</v>
      </c>
      <c r="B16" s="1067" t="s">
        <v>3</v>
      </c>
      <c r="C16" s="1067" t="s">
        <v>81</v>
      </c>
      <c r="D16" s="1067">
        <v>70</v>
      </c>
      <c r="E16" s="1067">
        <v>32</v>
      </c>
      <c r="F16" s="1067">
        <v>38</v>
      </c>
    </row>
    <row r="17" spans="1:6" x14ac:dyDescent="0.25">
      <c r="A17" s="1067" t="s">
        <v>204</v>
      </c>
      <c r="B17" s="1067" t="s">
        <v>3</v>
      </c>
      <c r="C17" s="1067" t="s">
        <v>317</v>
      </c>
      <c r="D17" s="1067">
        <v>314</v>
      </c>
      <c r="E17" s="1067">
        <v>91</v>
      </c>
      <c r="F17" s="1067">
        <v>223</v>
      </c>
    </row>
    <row r="18" spans="1:6" x14ac:dyDescent="0.25">
      <c r="A18" s="1067" t="s">
        <v>204</v>
      </c>
      <c r="B18" s="1067" t="s">
        <v>3</v>
      </c>
      <c r="C18" s="1067" t="s">
        <v>87</v>
      </c>
      <c r="D18" s="1067">
        <v>20</v>
      </c>
      <c r="E18" s="1067">
        <v>7</v>
      </c>
      <c r="F18" s="1067">
        <v>13</v>
      </c>
    </row>
    <row r="19" spans="1:6" x14ac:dyDescent="0.25">
      <c r="A19" s="1067" t="s">
        <v>204</v>
      </c>
      <c r="B19" s="1067" t="s">
        <v>3</v>
      </c>
      <c r="C19" s="1067" t="s">
        <v>85</v>
      </c>
      <c r="D19" s="1067">
        <v>234</v>
      </c>
      <c r="E19" s="1067">
        <v>139</v>
      </c>
      <c r="F19" s="1067">
        <v>95</v>
      </c>
    </row>
    <row r="20" spans="1:6" x14ac:dyDescent="0.25">
      <c r="A20" s="1067" t="s">
        <v>204</v>
      </c>
      <c r="B20" s="1067" t="s">
        <v>315</v>
      </c>
      <c r="C20" s="1067" t="s">
        <v>22</v>
      </c>
      <c r="D20" s="1067">
        <v>73</v>
      </c>
      <c r="E20" s="1067">
        <v>8</v>
      </c>
      <c r="F20" s="1067">
        <v>65</v>
      </c>
    </row>
    <row r="21" spans="1:6" x14ac:dyDescent="0.25">
      <c r="A21" s="1067" t="s">
        <v>204</v>
      </c>
      <c r="B21" s="1067" t="s">
        <v>315</v>
      </c>
      <c r="C21" s="1067" t="s">
        <v>23</v>
      </c>
      <c r="D21" s="1067">
        <v>277</v>
      </c>
      <c r="E21" s="1067">
        <v>44</v>
      </c>
      <c r="F21" s="1067">
        <v>233</v>
      </c>
    </row>
    <row r="22" spans="1:6" x14ac:dyDescent="0.25">
      <c r="A22" s="1067" t="s">
        <v>204</v>
      </c>
      <c r="B22" s="1067" t="s">
        <v>315</v>
      </c>
      <c r="C22" s="1067" t="s">
        <v>1215</v>
      </c>
      <c r="D22" s="1067">
        <v>9</v>
      </c>
      <c r="E22" s="1067">
        <v>0</v>
      </c>
      <c r="F22" s="1067">
        <v>9</v>
      </c>
    </row>
    <row r="23" spans="1:6" x14ac:dyDescent="0.25">
      <c r="A23" s="1067" t="s">
        <v>204</v>
      </c>
      <c r="B23" s="1067" t="s">
        <v>316</v>
      </c>
      <c r="C23" s="1067" t="s">
        <v>18</v>
      </c>
      <c r="D23" s="1067">
        <v>28</v>
      </c>
      <c r="E23" s="1067">
        <v>0</v>
      </c>
      <c r="F23" s="1067">
        <v>28</v>
      </c>
    </row>
    <row r="24" spans="1:6" x14ac:dyDescent="0.25">
      <c r="A24" s="1067" t="s">
        <v>204</v>
      </c>
      <c r="B24" s="1067" t="s">
        <v>316</v>
      </c>
      <c r="C24" s="1067" t="s">
        <v>209</v>
      </c>
      <c r="D24" s="1067">
        <v>9</v>
      </c>
      <c r="E24" s="1067">
        <v>0</v>
      </c>
      <c r="F24" s="1067">
        <v>9</v>
      </c>
    </row>
    <row r="25" spans="1:6" x14ac:dyDescent="0.25">
      <c r="A25" s="1067" t="s">
        <v>204</v>
      </c>
      <c r="B25" s="1067" t="s">
        <v>316</v>
      </c>
      <c r="C25" s="1067" t="s">
        <v>22</v>
      </c>
      <c r="D25" s="1067">
        <v>660</v>
      </c>
      <c r="E25" s="1067">
        <v>26</v>
      </c>
      <c r="F25" s="1067">
        <v>634</v>
      </c>
    </row>
    <row r="26" spans="1:6" x14ac:dyDescent="0.25">
      <c r="A26" s="1067" t="s">
        <v>204</v>
      </c>
      <c r="B26" s="1067" t="s">
        <v>316</v>
      </c>
      <c r="C26" s="1067" t="s">
        <v>23</v>
      </c>
      <c r="D26" s="1067">
        <v>2374</v>
      </c>
      <c r="E26" s="1067">
        <v>106</v>
      </c>
      <c r="F26" s="1067">
        <v>2268</v>
      </c>
    </row>
    <row r="27" spans="1:6" x14ac:dyDescent="0.25">
      <c r="A27" s="1067" t="s">
        <v>204</v>
      </c>
      <c r="B27" s="1067" t="s">
        <v>316</v>
      </c>
      <c r="C27" s="1067" t="s">
        <v>19</v>
      </c>
      <c r="D27" s="1067">
        <v>115</v>
      </c>
      <c r="E27" s="1067">
        <v>3</v>
      </c>
      <c r="F27" s="1067">
        <v>112</v>
      </c>
    </row>
    <row r="28" spans="1:6" x14ac:dyDescent="0.25">
      <c r="A28" s="1067" t="s">
        <v>204</v>
      </c>
      <c r="B28" s="1067" t="s">
        <v>316</v>
      </c>
      <c r="C28" s="1067" t="s">
        <v>20</v>
      </c>
      <c r="D28" s="1067">
        <v>136</v>
      </c>
      <c r="E28" s="1067">
        <v>2</v>
      </c>
      <c r="F28" s="1067">
        <v>134</v>
      </c>
    </row>
    <row r="29" spans="1:6" x14ac:dyDescent="0.25">
      <c r="A29" s="1067" t="s">
        <v>204</v>
      </c>
      <c r="B29" s="1067" t="s">
        <v>316</v>
      </c>
      <c r="C29" s="1067" t="s">
        <v>21</v>
      </c>
      <c r="D29" s="1067">
        <v>679</v>
      </c>
      <c r="E29" s="1067">
        <v>22</v>
      </c>
      <c r="F29" s="1067">
        <v>657</v>
      </c>
    </row>
    <row r="30" spans="1:6" x14ac:dyDescent="0.25">
      <c r="A30" s="1067" t="s">
        <v>203</v>
      </c>
      <c r="B30" s="1067" t="s">
        <v>2</v>
      </c>
      <c r="C30" s="1067" t="s">
        <v>22</v>
      </c>
      <c r="D30" s="1067">
        <v>52</v>
      </c>
      <c r="E30" s="1067">
        <v>44</v>
      </c>
      <c r="F30" s="1067">
        <v>8</v>
      </c>
    </row>
    <row r="31" spans="1:6" x14ac:dyDescent="0.25">
      <c r="A31" s="1067" t="s">
        <v>203</v>
      </c>
      <c r="B31" s="1067" t="s">
        <v>2</v>
      </c>
      <c r="C31" s="1067" t="s">
        <v>23</v>
      </c>
      <c r="D31" s="1067">
        <v>110</v>
      </c>
      <c r="E31" s="1067">
        <v>89</v>
      </c>
      <c r="F31" s="1067">
        <v>21</v>
      </c>
    </row>
    <row r="32" spans="1:6" x14ac:dyDescent="0.25">
      <c r="A32" s="1067" t="s">
        <v>203</v>
      </c>
      <c r="B32" s="1067" t="s">
        <v>2</v>
      </c>
      <c r="C32" s="1067" t="s">
        <v>19</v>
      </c>
      <c r="D32" s="1067">
        <v>5</v>
      </c>
      <c r="E32" s="1067">
        <v>4</v>
      </c>
      <c r="F32" s="1067">
        <v>1</v>
      </c>
    </row>
    <row r="33" spans="1:6" x14ac:dyDescent="0.25">
      <c r="A33" s="1067" t="s">
        <v>203</v>
      </c>
      <c r="B33" s="1067" t="s">
        <v>2</v>
      </c>
      <c r="C33" s="1067" t="s">
        <v>20</v>
      </c>
      <c r="D33" s="1067">
        <v>13</v>
      </c>
      <c r="E33" s="1067">
        <v>11</v>
      </c>
      <c r="F33" s="1067">
        <v>2</v>
      </c>
    </row>
    <row r="34" spans="1:6" x14ac:dyDescent="0.25">
      <c r="A34" s="1067" t="s">
        <v>203</v>
      </c>
      <c r="B34" s="1067" t="s">
        <v>2</v>
      </c>
      <c r="C34" s="1067" t="s">
        <v>21</v>
      </c>
      <c r="D34" s="1067">
        <v>50</v>
      </c>
      <c r="E34" s="1067">
        <v>44</v>
      </c>
      <c r="F34" s="1067">
        <v>6</v>
      </c>
    </row>
    <row r="35" spans="1:6" x14ac:dyDescent="0.25">
      <c r="A35" s="1067" t="s">
        <v>203</v>
      </c>
      <c r="B35" s="1067" t="s">
        <v>9</v>
      </c>
      <c r="C35" s="1067" t="s">
        <v>22</v>
      </c>
      <c r="D35" s="1067">
        <v>546</v>
      </c>
      <c r="E35" s="1067">
        <v>17</v>
      </c>
      <c r="F35" s="1067">
        <v>529</v>
      </c>
    </row>
    <row r="36" spans="1:6" x14ac:dyDescent="0.25">
      <c r="A36" s="1067" t="s">
        <v>203</v>
      </c>
      <c r="B36" s="1067" t="s">
        <v>9</v>
      </c>
      <c r="C36" s="1067" t="s">
        <v>23</v>
      </c>
      <c r="D36" s="1067">
        <v>2124</v>
      </c>
      <c r="E36" s="1067">
        <v>143</v>
      </c>
      <c r="F36" s="1067">
        <v>1981</v>
      </c>
    </row>
    <row r="37" spans="1:6" x14ac:dyDescent="0.25">
      <c r="A37" s="1067" t="s">
        <v>203</v>
      </c>
      <c r="B37" s="1067" t="s">
        <v>9</v>
      </c>
      <c r="C37" s="1067" t="s">
        <v>21</v>
      </c>
      <c r="D37" s="1067">
        <v>280</v>
      </c>
      <c r="E37" s="1067">
        <v>12</v>
      </c>
      <c r="F37" s="1067">
        <v>268</v>
      </c>
    </row>
    <row r="38" spans="1:6" x14ac:dyDescent="0.25">
      <c r="A38" s="1067" t="s">
        <v>203</v>
      </c>
      <c r="B38" s="1067" t="s">
        <v>3</v>
      </c>
      <c r="C38" s="1067" t="s">
        <v>98</v>
      </c>
      <c r="D38" s="1067">
        <v>195</v>
      </c>
      <c r="E38" s="1067">
        <v>176</v>
      </c>
      <c r="F38" s="1067">
        <v>19</v>
      </c>
    </row>
    <row r="39" spans="1:6" x14ac:dyDescent="0.25">
      <c r="A39" s="1067" t="s">
        <v>203</v>
      </c>
      <c r="B39" s="1067" t="s">
        <v>3</v>
      </c>
      <c r="C39" s="1067" t="s">
        <v>210</v>
      </c>
      <c r="D39" s="1067">
        <v>2</v>
      </c>
      <c r="E39" s="1067">
        <v>2</v>
      </c>
      <c r="F39" s="1067">
        <v>0</v>
      </c>
    </row>
    <row r="40" spans="1:6" x14ac:dyDescent="0.25">
      <c r="A40" s="1067" t="s">
        <v>203</v>
      </c>
      <c r="B40" s="1067" t="s">
        <v>3</v>
      </c>
      <c r="C40" s="1067" t="s">
        <v>83</v>
      </c>
      <c r="D40" s="1067">
        <v>59</v>
      </c>
      <c r="E40" s="1067">
        <v>40</v>
      </c>
      <c r="F40" s="1067">
        <v>19</v>
      </c>
    </row>
    <row r="41" spans="1:6" x14ac:dyDescent="0.25">
      <c r="A41" s="1067" t="s">
        <v>203</v>
      </c>
      <c r="B41" s="1067" t="s">
        <v>3</v>
      </c>
      <c r="C41" s="1067" t="s">
        <v>81</v>
      </c>
      <c r="D41" s="1067">
        <v>44</v>
      </c>
      <c r="E41" s="1067">
        <v>21</v>
      </c>
      <c r="F41" s="1067">
        <v>23</v>
      </c>
    </row>
    <row r="42" spans="1:6" x14ac:dyDescent="0.25">
      <c r="A42" s="1067" t="s">
        <v>203</v>
      </c>
      <c r="B42" s="1067" t="s">
        <v>3</v>
      </c>
      <c r="C42" s="1067" t="s">
        <v>317</v>
      </c>
      <c r="D42" s="1067">
        <v>335</v>
      </c>
      <c r="E42" s="1067">
        <v>99</v>
      </c>
      <c r="F42" s="1067">
        <v>236</v>
      </c>
    </row>
    <row r="43" spans="1:6" x14ac:dyDescent="0.25">
      <c r="A43" s="1067" t="s">
        <v>203</v>
      </c>
      <c r="B43" s="1067" t="s">
        <v>3</v>
      </c>
      <c r="C43" s="1067" t="s">
        <v>87</v>
      </c>
      <c r="D43" s="1067">
        <v>37</v>
      </c>
      <c r="E43" s="1067">
        <v>20</v>
      </c>
      <c r="F43" s="1067">
        <v>17</v>
      </c>
    </row>
    <row r="44" spans="1:6" x14ac:dyDescent="0.25">
      <c r="A44" s="1067" t="s">
        <v>203</v>
      </c>
      <c r="B44" s="1067" t="s">
        <v>3</v>
      </c>
      <c r="C44" s="1067" t="s">
        <v>85</v>
      </c>
      <c r="D44" s="1067">
        <v>195</v>
      </c>
      <c r="E44" s="1067">
        <v>122</v>
      </c>
      <c r="F44" s="1067">
        <v>73</v>
      </c>
    </row>
    <row r="45" spans="1:6" x14ac:dyDescent="0.25">
      <c r="A45" s="1067" t="s">
        <v>203</v>
      </c>
      <c r="B45" s="1067" t="s">
        <v>315</v>
      </c>
      <c r="C45" s="1067" t="s">
        <v>22</v>
      </c>
      <c r="D45" s="1067">
        <v>44</v>
      </c>
      <c r="E45" s="1067">
        <v>4</v>
      </c>
      <c r="F45" s="1067">
        <v>40</v>
      </c>
    </row>
    <row r="46" spans="1:6" x14ac:dyDescent="0.25">
      <c r="A46" s="1067" t="s">
        <v>203</v>
      </c>
      <c r="B46" s="1067" t="s">
        <v>315</v>
      </c>
      <c r="C46" s="1067" t="s">
        <v>23</v>
      </c>
      <c r="D46" s="1067">
        <v>296</v>
      </c>
      <c r="E46" s="1067">
        <v>48</v>
      </c>
      <c r="F46" s="1067">
        <v>248</v>
      </c>
    </row>
    <row r="47" spans="1:6" x14ac:dyDescent="0.25">
      <c r="A47" s="1067" t="s">
        <v>203</v>
      </c>
      <c r="B47" s="1067" t="s">
        <v>315</v>
      </c>
      <c r="C47" s="1067" t="s">
        <v>1215</v>
      </c>
      <c r="D47" s="1067">
        <v>38</v>
      </c>
      <c r="E47" s="1067">
        <v>4</v>
      </c>
      <c r="F47" s="1067">
        <v>34</v>
      </c>
    </row>
    <row r="48" spans="1:6" x14ac:dyDescent="0.25">
      <c r="A48" s="1067" t="s">
        <v>203</v>
      </c>
      <c r="B48" s="1067" t="s">
        <v>316</v>
      </c>
      <c r="C48" s="1067" t="s">
        <v>18</v>
      </c>
      <c r="D48" s="1067">
        <v>33</v>
      </c>
      <c r="E48" s="1067">
        <v>0</v>
      </c>
      <c r="F48" s="1067">
        <v>33</v>
      </c>
    </row>
    <row r="49" spans="1:6" x14ac:dyDescent="0.25">
      <c r="A49" s="1067" t="s">
        <v>203</v>
      </c>
      <c r="B49" s="1067" t="s">
        <v>316</v>
      </c>
      <c r="C49" s="1067" t="s">
        <v>209</v>
      </c>
      <c r="D49" s="1067">
        <v>7</v>
      </c>
      <c r="E49" s="1067">
        <v>0</v>
      </c>
      <c r="F49" s="1067">
        <v>7</v>
      </c>
    </row>
    <row r="50" spans="1:6" x14ac:dyDescent="0.25">
      <c r="A50" s="1067" t="s">
        <v>203</v>
      </c>
      <c r="B50" s="1067" t="s">
        <v>316</v>
      </c>
      <c r="C50" s="1067" t="s">
        <v>22</v>
      </c>
      <c r="D50" s="1067">
        <v>634</v>
      </c>
      <c r="E50" s="1067">
        <v>24</v>
      </c>
      <c r="F50" s="1067">
        <v>610</v>
      </c>
    </row>
    <row r="51" spans="1:6" x14ac:dyDescent="0.25">
      <c r="A51" s="1067" t="s">
        <v>203</v>
      </c>
      <c r="B51" s="1067" t="s">
        <v>316</v>
      </c>
      <c r="C51" s="1067" t="s">
        <v>23</v>
      </c>
      <c r="D51" s="1067">
        <v>2285</v>
      </c>
      <c r="E51" s="1067">
        <v>109</v>
      </c>
      <c r="F51" s="1067">
        <v>2176</v>
      </c>
    </row>
    <row r="52" spans="1:6" x14ac:dyDescent="0.25">
      <c r="A52" s="1067" t="s">
        <v>203</v>
      </c>
      <c r="B52" s="1067" t="s">
        <v>316</v>
      </c>
      <c r="C52" s="1067" t="s">
        <v>19</v>
      </c>
      <c r="D52" s="1067">
        <v>103</v>
      </c>
      <c r="E52" s="1067">
        <v>3</v>
      </c>
      <c r="F52" s="1067">
        <v>100</v>
      </c>
    </row>
    <row r="53" spans="1:6" x14ac:dyDescent="0.25">
      <c r="A53" s="1067" t="s">
        <v>203</v>
      </c>
      <c r="B53" s="1067" t="s">
        <v>316</v>
      </c>
      <c r="C53" s="1067" t="s">
        <v>20</v>
      </c>
      <c r="D53" s="1067">
        <v>130</v>
      </c>
      <c r="E53" s="1067">
        <v>1</v>
      </c>
      <c r="F53" s="1067">
        <v>129</v>
      </c>
    </row>
    <row r="54" spans="1:6" x14ac:dyDescent="0.25">
      <c r="A54" s="1067" t="s">
        <v>203</v>
      </c>
      <c r="B54" s="1067" t="s">
        <v>316</v>
      </c>
      <c r="C54" s="1067" t="s">
        <v>21</v>
      </c>
      <c r="D54" s="1067">
        <v>664</v>
      </c>
      <c r="E54" s="1067">
        <v>27</v>
      </c>
      <c r="F54" s="1067">
        <v>637</v>
      </c>
    </row>
    <row r="55" spans="1:6" x14ac:dyDescent="0.25">
      <c r="A55" s="1067" t="s">
        <v>202</v>
      </c>
      <c r="B55" s="1067" t="s">
        <v>2</v>
      </c>
      <c r="C55" s="1067" t="s">
        <v>22</v>
      </c>
      <c r="D55" s="1067">
        <v>44</v>
      </c>
      <c r="E55" s="1067">
        <v>39</v>
      </c>
      <c r="F55" s="1067">
        <v>5</v>
      </c>
    </row>
    <row r="56" spans="1:6" x14ac:dyDescent="0.25">
      <c r="A56" s="1067" t="s">
        <v>202</v>
      </c>
      <c r="B56" s="1067" t="s">
        <v>2</v>
      </c>
      <c r="C56" s="1067" t="s">
        <v>23</v>
      </c>
      <c r="D56" s="1067">
        <v>95</v>
      </c>
      <c r="E56" s="1067">
        <v>77</v>
      </c>
      <c r="F56" s="1067">
        <v>18</v>
      </c>
    </row>
    <row r="57" spans="1:6" x14ac:dyDescent="0.25">
      <c r="A57" s="1067" t="s">
        <v>202</v>
      </c>
      <c r="B57" s="1067" t="s">
        <v>2</v>
      </c>
      <c r="C57" s="1067" t="s">
        <v>19</v>
      </c>
      <c r="D57" s="1067">
        <v>6</v>
      </c>
      <c r="E57" s="1067">
        <v>4</v>
      </c>
      <c r="F57" s="1067">
        <v>2</v>
      </c>
    </row>
    <row r="58" spans="1:6" x14ac:dyDescent="0.25">
      <c r="A58" s="1067" t="s">
        <v>202</v>
      </c>
      <c r="B58" s="1067" t="s">
        <v>2</v>
      </c>
      <c r="C58" s="1067" t="s">
        <v>20</v>
      </c>
      <c r="D58" s="1067">
        <v>7</v>
      </c>
      <c r="E58" s="1067">
        <v>7</v>
      </c>
      <c r="F58" s="1067">
        <v>0</v>
      </c>
    </row>
    <row r="59" spans="1:6" x14ac:dyDescent="0.25">
      <c r="A59" s="1067" t="s">
        <v>202</v>
      </c>
      <c r="B59" s="1067" t="s">
        <v>2</v>
      </c>
      <c r="C59" s="1067" t="s">
        <v>21</v>
      </c>
      <c r="D59" s="1067">
        <v>51</v>
      </c>
      <c r="E59" s="1067">
        <v>44</v>
      </c>
      <c r="F59" s="1067">
        <v>7</v>
      </c>
    </row>
    <row r="60" spans="1:6" x14ac:dyDescent="0.25">
      <c r="A60" s="1067" t="s">
        <v>202</v>
      </c>
      <c r="B60" s="1067" t="s">
        <v>9</v>
      </c>
      <c r="C60" s="1067" t="s">
        <v>22</v>
      </c>
      <c r="D60" s="1067">
        <v>543</v>
      </c>
      <c r="E60" s="1067">
        <v>17</v>
      </c>
      <c r="F60" s="1067">
        <v>526</v>
      </c>
    </row>
    <row r="61" spans="1:6" x14ac:dyDescent="0.25">
      <c r="A61" s="1067" t="s">
        <v>202</v>
      </c>
      <c r="B61" s="1067" t="s">
        <v>9</v>
      </c>
      <c r="C61" s="1067" t="s">
        <v>23</v>
      </c>
      <c r="D61" s="1067">
        <v>2065</v>
      </c>
      <c r="E61" s="1067">
        <v>132</v>
      </c>
      <c r="F61" s="1067">
        <v>1933</v>
      </c>
    </row>
    <row r="62" spans="1:6" x14ac:dyDescent="0.25">
      <c r="A62" s="1067" t="s">
        <v>202</v>
      </c>
      <c r="B62" s="1067" t="s">
        <v>9</v>
      </c>
      <c r="C62" s="1067" t="s">
        <v>21</v>
      </c>
      <c r="D62" s="1067">
        <v>262</v>
      </c>
      <c r="E62" s="1067">
        <v>14</v>
      </c>
      <c r="F62" s="1067">
        <v>248</v>
      </c>
    </row>
    <row r="63" spans="1:6" x14ac:dyDescent="0.25">
      <c r="A63" s="1067" t="s">
        <v>202</v>
      </c>
      <c r="B63" s="1067" t="s">
        <v>3</v>
      </c>
      <c r="C63" s="1067" t="s">
        <v>98</v>
      </c>
      <c r="D63" s="1067">
        <v>194</v>
      </c>
      <c r="E63" s="1067">
        <v>176</v>
      </c>
      <c r="F63" s="1067">
        <v>18</v>
      </c>
    </row>
    <row r="64" spans="1:6" x14ac:dyDescent="0.25">
      <c r="A64" s="1067" t="s">
        <v>202</v>
      </c>
      <c r="B64" s="1067" t="s">
        <v>3</v>
      </c>
      <c r="C64" s="1067" t="s">
        <v>210</v>
      </c>
      <c r="D64" s="1067">
        <v>3</v>
      </c>
      <c r="E64" s="1067">
        <v>2</v>
      </c>
      <c r="F64" s="1067">
        <v>1</v>
      </c>
    </row>
    <row r="65" spans="1:6" x14ac:dyDescent="0.25">
      <c r="A65" s="1067" t="s">
        <v>202</v>
      </c>
      <c r="B65" s="1067" t="s">
        <v>3</v>
      </c>
      <c r="C65" s="1067" t="s">
        <v>83</v>
      </c>
      <c r="D65" s="1067">
        <v>74</v>
      </c>
      <c r="E65" s="1067">
        <v>57</v>
      </c>
      <c r="F65" s="1067">
        <v>17</v>
      </c>
    </row>
    <row r="66" spans="1:6" x14ac:dyDescent="0.25">
      <c r="A66" s="1067" t="s">
        <v>202</v>
      </c>
      <c r="B66" s="1067" t="s">
        <v>3</v>
      </c>
      <c r="C66" s="1067" t="s">
        <v>81</v>
      </c>
      <c r="D66" s="1067">
        <v>40</v>
      </c>
      <c r="E66" s="1067">
        <v>15</v>
      </c>
      <c r="F66" s="1067">
        <v>25</v>
      </c>
    </row>
    <row r="67" spans="1:6" x14ac:dyDescent="0.25">
      <c r="A67" s="1067" t="s">
        <v>202</v>
      </c>
      <c r="B67" s="1067" t="s">
        <v>3</v>
      </c>
      <c r="C67" s="1067" t="s">
        <v>317</v>
      </c>
      <c r="D67" s="1067">
        <v>316</v>
      </c>
      <c r="E67" s="1067">
        <v>101</v>
      </c>
      <c r="F67" s="1067">
        <v>215</v>
      </c>
    </row>
    <row r="68" spans="1:6" x14ac:dyDescent="0.25">
      <c r="A68" s="1067" t="s">
        <v>202</v>
      </c>
      <c r="B68" s="1067" t="s">
        <v>3</v>
      </c>
      <c r="C68" s="1067" t="s">
        <v>87</v>
      </c>
      <c r="D68" s="1067">
        <v>34</v>
      </c>
      <c r="E68" s="1067">
        <v>18</v>
      </c>
      <c r="F68" s="1067">
        <v>16</v>
      </c>
    </row>
    <row r="69" spans="1:6" x14ac:dyDescent="0.25">
      <c r="A69" s="1067" t="s">
        <v>202</v>
      </c>
      <c r="B69" s="1067" t="s">
        <v>3</v>
      </c>
      <c r="C69" s="1067" t="s">
        <v>85</v>
      </c>
      <c r="D69" s="1067">
        <v>167</v>
      </c>
      <c r="E69" s="1067">
        <v>94</v>
      </c>
      <c r="F69" s="1067">
        <v>73</v>
      </c>
    </row>
    <row r="70" spans="1:6" x14ac:dyDescent="0.25">
      <c r="A70" s="1067" t="s">
        <v>202</v>
      </c>
      <c r="B70" s="1067" t="s">
        <v>315</v>
      </c>
      <c r="C70" s="1067" t="s">
        <v>22</v>
      </c>
      <c r="D70" s="1067">
        <v>46</v>
      </c>
      <c r="E70" s="1067">
        <v>6</v>
      </c>
      <c r="F70" s="1067">
        <v>40</v>
      </c>
    </row>
    <row r="71" spans="1:6" x14ac:dyDescent="0.25">
      <c r="A71" s="1067" t="s">
        <v>202</v>
      </c>
      <c r="B71" s="1067" t="s">
        <v>315</v>
      </c>
      <c r="C71" s="1067" t="s">
        <v>23</v>
      </c>
      <c r="D71" s="1067">
        <v>260</v>
      </c>
      <c r="E71" s="1067">
        <v>48</v>
      </c>
      <c r="F71" s="1067">
        <v>212</v>
      </c>
    </row>
    <row r="72" spans="1:6" x14ac:dyDescent="0.25">
      <c r="A72" s="1067" t="s">
        <v>202</v>
      </c>
      <c r="B72" s="1067" t="s">
        <v>315</v>
      </c>
      <c r="C72" s="1067" t="s">
        <v>1215</v>
      </c>
      <c r="D72" s="1067">
        <v>36</v>
      </c>
      <c r="E72" s="1067">
        <v>2</v>
      </c>
      <c r="F72" s="1067">
        <v>34</v>
      </c>
    </row>
    <row r="73" spans="1:6" x14ac:dyDescent="0.25">
      <c r="A73" s="1067" t="s">
        <v>202</v>
      </c>
      <c r="B73" s="1067" t="s">
        <v>316</v>
      </c>
      <c r="C73" s="1067" t="s">
        <v>18</v>
      </c>
      <c r="D73" s="1067">
        <v>35</v>
      </c>
      <c r="E73" s="1067">
        <v>0</v>
      </c>
      <c r="F73" s="1067">
        <v>35</v>
      </c>
    </row>
    <row r="74" spans="1:6" x14ac:dyDescent="0.25">
      <c r="A74" s="1067" t="s">
        <v>202</v>
      </c>
      <c r="B74" s="1067" t="s">
        <v>316</v>
      </c>
      <c r="C74" s="1067" t="s">
        <v>209</v>
      </c>
      <c r="D74" s="1067">
        <v>4</v>
      </c>
      <c r="E74" s="1067">
        <v>0</v>
      </c>
      <c r="F74" s="1067">
        <v>4</v>
      </c>
    </row>
    <row r="75" spans="1:6" x14ac:dyDescent="0.25">
      <c r="A75" s="1067" t="s">
        <v>202</v>
      </c>
      <c r="B75" s="1067" t="s">
        <v>316</v>
      </c>
      <c r="C75" s="1067" t="s">
        <v>22</v>
      </c>
      <c r="D75" s="1067">
        <v>600</v>
      </c>
      <c r="E75" s="1067">
        <v>27</v>
      </c>
      <c r="F75" s="1067">
        <v>573</v>
      </c>
    </row>
    <row r="76" spans="1:6" x14ac:dyDescent="0.25">
      <c r="A76" s="1067" t="s">
        <v>202</v>
      </c>
      <c r="B76" s="1067" t="s">
        <v>316</v>
      </c>
      <c r="C76" s="1067" t="s">
        <v>23</v>
      </c>
      <c r="D76" s="1067">
        <v>2258</v>
      </c>
      <c r="E76" s="1067">
        <v>113</v>
      </c>
      <c r="F76" s="1067">
        <v>2145</v>
      </c>
    </row>
    <row r="77" spans="1:6" x14ac:dyDescent="0.25">
      <c r="A77" s="1067" t="s">
        <v>202</v>
      </c>
      <c r="B77" s="1067" t="s">
        <v>316</v>
      </c>
      <c r="C77" s="1067" t="s">
        <v>19</v>
      </c>
      <c r="D77" s="1067">
        <v>90</v>
      </c>
      <c r="E77" s="1067">
        <v>3</v>
      </c>
      <c r="F77" s="1067">
        <v>87</v>
      </c>
    </row>
    <row r="78" spans="1:6" x14ac:dyDescent="0.25">
      <c r="A78" s="1067" t="s">
        <v>202</v>
      </c>
      <c r="B78" s="1067" t="s">
        <v>316</v>
      </c>
      <c r="C78" s="1067" t="s">
        <v>20</v>
      </c>
      <c r="D78" s="1067">
        <v>126</v>
      </c>
      <c r="E78" s="1067">
        <v>2</v>
      </c>
      <c r="F78" s="1067">
        <v>124</v>
      </c>
    </row>
    <row r="79" spans="1:6" x14ac:dyDescent="0.25">
      <c r="A79" s="1067" t="s">
        <v>202</v>
      </c>
      <c r="B79" s="1067" t="s">
        <v>316</v>
      </c>
      <c r="C79" s="1067" t="s">
        <v>21</v>
      </c>
      <c r="D79" s="1067">
        <v>577</v>
      </c>
      <c r="E79" s="1067">
        <v>22</v>
      </c>
      <c r="F79" s="1067">
        <v>555</v>
      </c>
    </row>
    <row r="80" spans="1:6" x14ac:dyDescent="0.25">
      <c r="A80" s="1067" t="s">
        <v>273</v>
      </c>
      <c r="B80" s="1067" t="s">
        <v>2</v>
      </c>
      <c r="C80" s="1067" t="s">
        <v>22</v>
      </c>
      <c r="D80" s="1067">
        <v>31</v>
      </c>
      <c r="E80" s="1067">
        <v>26</v>
      </c>
      <c r="F80" s="1067">
        <v>5</v>
      </c>
    </row>
    <row r="81" spans="1:6" x14ac:dyDescent="0.25">
      <c r="A81" s="1067" t="s">
        <v>273</v>
      </c>
      <c r="B81" s="1067" t="s">
        <v>2</v>
      </c>
      <c r="C81" s="1067" t="s">
        <v>23</v>
      </c>
      <c r="D81" s="1067">
        <v>80</v>
      </c>
      <c r="E81" s="1067">
        <v>67</v>
      </c>
      <c r="F81" s="1067">
        <v>13</v>
      </c>
    </row>
    <row r="82" spans="1:6" x14ac:dyDescent="0.25">
      <c r="A82" s="1067" t="s">
        <v>273</v>
      </c>
      <c r="B82" s="1067" t="s">
        <v>2</v>
      </c>
      <c r="C82" s="1067" t="s">
        <v>19</v>
      </c>
      <c r="D82" s="1067">
        <v>5</v>
      </c>
      <c r="E82" s="1067">
        <v>4</v>
      </c>
      <c r="F82" s="1067">
        <v>1</v>
      </c>
    </row>
    <row r="83" spans="1:6" x14ac:dyDescent="0.25">
      <c r="A83" s="1067" t="s">
        <v>273</v>
      </c>
      <c r="B83" s="1067" t="s">
        <v>2</v>
      </c>
      <c r="C83" s="1067" t="s">
        <v>20</v>
      </c>
      <c r="D83" s="1067">
        <v>8</v>
      </c>
      <c r="E83" s="1067">
        <v>7</v>
      </c>
      <c r="F83" s="1067">
        <v>1</v>
      </c>
    </row>
    <row r="84" spans="1:6" x14ac:dyDescent="0.25">
      <c r="A84" s="1067" t="s">
        <v>273</v>
      </c>
      <c r="B84" s="1067" t="s">
        <v>2</v>
      </c>
      <c r="C84" s="1067" t="s">
        <v>21</v>
      </c>
      <c r="D84" s="1067">
        <v>41</v>
      </c>
      <c r="E84" s="1067">
        <v>35</v>
      </c>
      <c r="F84" s="1067">
        <v>6</v>
      </c>
    </row>
    <row r="85" spans="1:6" x14ac:dyDescent="0.25">
      <c r="A85" s="1067" t="s">
        <v>273</v>
      </c>
      <c r="B85" s="1067" t="s">
        <v>9</v>
      </c>
      <c r="C85" s="1067" t="s">
        <v>22</v>
      </c>
      <c r="D85" s="1067">
        <v>549</v>
      </c>
      <c r="E85" s="1067">
        <v>15</v>
      </c>
      <c r="F85" s="1067">
        <v>534</v>
      </c>
    </row>
    <row r="86" spans="1:6" x14ac:dyDescent="0.25">
      <c r="A86" s="1067" t="s">
        <v>273</v>
      </c>
      <c r="B86" s="1067" t="s">
        <v>9</v>
      </c>
      <c r="C86" s="1067" t="s">
        <v>23</v>
      </c>
      <c r="D86" s="1067">
        <v>2061</v>
      </c>
      <c r="E86" s="1067">
        <v>127</v>
      </c>
      <c r="F86" s="1067">
        <v>1934</v>
      </c>
    </row>
    <row r="87" spans="1:6" x14ac:dyDescent="0.25">
      <c r="A87" s="1067" t="s">
        <v>273</v>
      </c>
      <c r="B87" s="1067" t="s">
        <v>9</v>
      </c>
      <c r="C87" s="1067" t="s">
        <v>21</v>
      </c>
      <c r="D87" s="1067">
        <v>260</v>
      </c>
      <c r="E87" s="1067">
        <v>16</v>
      </c>
      <c r="F87" s="1067">
        <v>244</v>
      </c>
    </row>
    <row r="88" spans="1:6" x14ac:dyDescent="0.25">
      <c r="A88" s="1067" t="s">
        <v>273</v>
      </c>
      <c r="B88" s="1067" t="s">
        <v>3</v>
      </c>
      <c r="C88" s="1067" t="s">
        <v>98</v>
      </c>
      <c r="D88" s="1067">
        <v>170</v>
      </c>
      <c r="E88" s="1067">
        <v>159</v>
      </c>
      <c r="F88" s="1067">
        <v>11</v>
      </c>
    </row>
    <row r="89" spans="1:6" x14ac:dyDescent="0.25">
      <c r="A89" s="1067" t="s">
        <v>273</v>
      </c>
      <c r="B89" s="1067" t="s">
        <v>3</v>
      </c>
      <c r="C89" s="1067" t="s">
        <v>210</v>
      </c>
      <c r="D89" s="1067">
        <v>3</v>
      </c>
      <c r="E89" s="1067">
        <v>2</v>
      </c>
      <c r="F89" s="1067">
        <v>1</v>
      </c>
    </row>
    <row r="90" spans="1:6" x14ac:dyDescent="0.25">
      <c r="A90" s="1067" t="s">
        <v>273</v>
      </c>
      <c r="B90" s="1067" t="s">
        <v>3</v>
      </c>
      <c r="C90" s="1067" t="s">
        <v>83</v>
      </c>
      <c r="D90" s="1067">
        <v>78</v>
      </c>
      <c r="E90" s="1067">
        <v>58</v>
      </c>
      <c r="F90" s="1067">
        <v>20</v>
      </c>
    </row>
    <row r="91" spans="1:6" x14ac:dyDescent="0.25">
      <c r="A91" s="1067" t="s">
        <v>273</v>
      </c>
      <c r="B91" s="1067" t="s">
        <v>3</v>
      </c>
      <c r="C91" s="1067" t="s">
        <v>81</v>
      </c>
      <c r="D91" s="1067">
        <v>42</v>
      </c>
      <c r="E91" s="1067">
        <v>17</v>
      </c>
      <c r="F91" s="1067">
        <v>25</v>
      </c>
    </row>
    <row r="92" spans="1:6" x14ac:dyDescent="0.25">
      <c r="A92" s="1067" t="s">
        <v>273</v>
      </c>
      <c r="B92" s="1067" t="s">
        <v>3</v>
      </c>
      <c r="C92" s="1067" t="s">
        <v>317</v>
      </c>
      <c r="D92" s="1067">
        <v>346</v>
      </c>
      <c r="E92" s="1067">
        <v>113</v>
      </c>
      <c r="F92" s="1067">
        <v>233</v>
      </c>
    </row>
    <row r="93" spans="1:6" x14ac:dyDescent="0.25">
      <c r="A93" s="1067" t="s">
        <v>273</v>
      </c>
      <c r="B93" s="1067" t="s">
        <v>3</v>
      </c>
      <c r="C93" s="1067" t="s">
        <v>87</v>
      </c>
      <c r="D93" s="1067">
        <v>34</v>
      </c>
      <c r="E93" s="1067">
        <v>19</v>
      </c>
      <c r="F93" s="1067">
        <v>15</v>
      </c>
    </row>
    <row r="94" spans="1:6" x14ac:dyDescent="0.25">
      <c r="A94" s="1067" t="s">
        <v>273</v>
      </c>
      <c r="B94" s="1067" t="s">
        <v>3</v>
      </c>
      <c r="C94" s="1067" t="s">
        <v>85</v>
      </c>
      <c r="D94" s="1067">
        <v>165</v>
      </c>
      <c r="E94" s="1067">
        <v>98</v>
      </c>
      <c r="F94" s="1067">
        <v>67</v>
      </c>
    </row>
    <row r="95" spans="1:6" x14ac:dyDescent="0.25">
      <c r="A95" s="1067" t="s">
        <v>273</v>
      </c>
      <c r="B95" s="1067" t="s">
        <v>315</v>
      </c>
      <c r="C95" s="1067" t="s">
        <v>22</v>
      </c>
      <c r="D95" s="1067">
        <v>46</v>
      </c>
      <c r="E95" s="1067">
        <v>4</v>
      </c>
      <c r="F95" s="1067">
        <v>38</v>
      </c>
    </row>
    <row r="96" spans="1:6" x14ac:dyDescent="0.25">
      <c r="A96" s="1067" t="s">
        <v>273</v>
      </c>
      <c r="B96" s="1067" t="s">
        <v>315</v>
      </c>
      <c r="C96" s="1067" t="s">
        <v>23</v>
      </c>
      <c r="D96" s="1067">
        <v>260</v>
      </c>
      <c r="E96" s="1067">
        <v>40</v>
      </c>
      <c r="F96" s="1067">
        <v>198</v>
      </c>
    </row>
    <row r="97" spans="1:6" x14ac:dyDescent="0.25">
      <c r="A97" s="1067" t="s">
        <v>273</v>
      </c>
      <c r="B97" s="1067" t="s">
        <v>315</v>
      </c>
      <c r="C97" s="1067" t="s">
        <v>1215</v>
      </c>
      <c r="D97" s="1067">
        <v>36</v>
      </c>
      <c r="E97" s="1067">
        <v>4</v>
      </c>
      <c r="F97" s="1067">
        <v>32</v>
      </c>
    </row>
    <row r="98" spans="1:6" x14ac:dyDescent="0.25">
      <c r="A98" s="1067" t="s">
        <v>273</v>
      </c>
      <c r="B98" s="1067" t="s">
        <v>316</v>
      </c>
      <c r="C98" s="1067" t="s">
        <v>18</v>
      </c>
      <c r="D98" s="1067">
        <v>34</v>
      </c>
      <c r="E98" s="1067">
        <v>0</v>
      </c>
      <c r="F98" s="1067">
        <v>34</v>
      </c>
    </row>
    <row r="99" spans="1:6" x14ac:dyDescent="0.25">
      <c r="A99" s="1067" t="s">
        <v>273</v>
      </c>
      <c r="B99" s="1067" t="s">
        <v>316</v>
      </c>
      <c r="C99" s="1067" t="s">
        <v>209</v>
      </c>
      <c r="D99" s="1067">
        <v>4</v>
      </c>
      <c r="E99" s="1067">
        <v>0</v>
      </c>
      <c r="F99" s="1067">
        <v>4</v>
      </c>
    </row>
    <row r="100" spans="1:6" x14ac:dyDescent="0.25">
      <c r="A100" s="1067" t="s">
        <v>273</v>
      </c>
      <c r="B100" s="1067" t="s">
        <v>316</v>
      </c>
      <c r="C100" s="1067" t="s">
        <v>22</v>
      </c>
      <c r="D100" s="1067">
        <v>635</v>
      </c>
      <c r="E100" s="1067">
        <v>29</v>
      </c>
      <c r="F100" s="1067">
        <v>606</v>
      </c>
    </row>
    <row r="101" spans="1:6" x14ac:dyDescent="0.25">
      <c r="A101" s="1067" t="s">
        <v>273</v>
      </c>
      <c r="B101" s="1067" t="s">
        <v>316</v>
      </c>
      <c r="C101" s="1067" t="s">
        <v>23</v>
      </c>
      <c r="D101" s="1067">
        <v>2161</v>
      </c>
      <c r="E101" s="1067">
        <v>122</v>
      </c>
      <c r="F101" s="1067">
        <v>2039</v>
      </c>
    </row>
    <row r="102" spans="1:6" x14ac:dyDescent="0.25">
      <c r="A102" s="1067" t="s">
        <v>273</v>
      </c>
      <c r="B102" s="1067" t="s">
        <v>316</v>
      </c>
      <c r="C102" s="1067" t="s">
        <v>19</v>
      </c>
      <c r="D102" s="1067">
        <v>70</v>
      </c>
      <c r="E102" s="1067">
        <v>2</v>
      </c>
      <c r="F102" s="1067">
        <v>68</v>
      </c>
    </row>
    <row r="103" spans="1:6" x14ac:dyDescent="0.25">
      <c r="A103" s="1067" t="s">
        <v>273</v>
      </c>
      <c r="B103" s="1067" t="s">
        <v>316</v>
      </c>
      <c r="C103" s="1067" t="s">
        <v>20</v>
      </c>
      <c r="D103" s="1067">
        <v>151</v>
      </c>
      <c r="E103" s="1067">
        <v>2</v>
      </c>
      <c r="F103" s="1067">
        <v>149</v>
      </c>
    </row>
    <row r="104" spans="1:6" x14ac:dyDescent="0.25">
      <c r="A104" s="1067" t="s">
        <v>273</v>
      </c>
      <c r="B104" s="1067" t="s">
        <v>316</v>
      </c>
      <c r="C104" s="1067" t="s">
        <v>21</v>
      </c>
      <c r="D104" s="1067">
        <v>590</v>
      </c>
      <c r="E104" s="1067">
        <v>23</v>
      </c>
      <c r="F104" s="1067">
        <v>567</v>
      </c>
    </row>
    <row r="105" spans="1:6" x14ac:dyDescent="0.25">
      <c r="A105" s="1067" t="s">
        <v>255</v>
      </c>
      <c r="B105" s="1067" t="s">
        <v>2</v>
      </c>
      <c r="C105" s="1067" t="s">
        <v>22</v>
      </c>
      <c r="D105" s="1067">
        <v>27</v>
      </c>
      <c r="E105" s="1067">
        <v>23</v>
      </c>
      <c r="F105" s="1067">
        <v>4</v>
      </c>
    </row>
    <row r="106" spans="1:6" x14ac:dyDescent="0.25">
      <c r="A106" s="1067" t="s">
        <v>255</v>
      </c>
      <c r="B106" s="1067" t="s">
        <v>2</v>
      </c>
      <c r="C106" s="1067" t="s">
        <v>23</v>
      </c>
      <c r="D106" s="1067">
        <v>106</v>
      </c>
      <c r="E106" s="1067">
        <v>88</v>
      </c>
      <c r="F106" s="1067">
        <v>18</v>
      </c>
    </row>
    <row r="107" spans="1:6" x14ac:dyDescent="0.25">
      <c r="A107" s="1067" t="s">
        <v>255</v>
      </c>
      <c r="B107" s="1067" t="s">
        <v>2</v>
      </c>
      <c r="C107" s="1067" t="s">
        <v>19</v>
      </c>
      <c r="D107" s="1067">
        <v>5</v>
      </c>
      <c r="E107" s="1067">
        <v>4</v>
      </c>
      <c r="F107" s="1067">
        <v>1</v>
      </c>
    </row>
    <row r="108" spans="1:6" x14ac:dyDescent="0.25">
      <c r="A108" s="1067" t="s">
        <v>255</v>
      </c>
      <c r="B108" s="1067" t="s">
        <v>2</v>
      </c>
      <c r="C108" s="1067" t="s">
        <v>20</v>
      </c>
      <c r="D108" s="1067">
        <v>8</v>
      </c>
      <c r="E108" s="1067">
        <v>7</v>
      </c>
      <c r="F108" s="1067">
        <v>1</v>
      </c>
    </row>
    <row r="109" spans="1:6" x14ac:dyDescent="0.25">
      <c r="A109" s="1067" t="s">
        <v>255</v>
      </c>
      <c r="B109" s="1067" t="s">
        <v>2</v>
      </c>
      <c r="C109" s="1067" t="s">
        <v>21</v>
      </c>
      <c r="D109" s="1067">
        <v>43</v>
      </c>
      <c r="E109" s="1067">
        <v>36</v>
      </c>
      <c r="F109" s="1067">
        <v>7</v>
      </c>
    </row>
    <row r="110" spans="1:6" x14ac:dyDescent="0.25">
      <c r="A110" s="1067" t="s">
        <v>255</v>
      </c>
      <c r="B110" s="1067" t="s">
        <v>9</v>
      </c>
      <c r="C110" s="1067" t="s">
        <v>22</v>
      </c>
      <c r="D110" s="1067">
        <v>525</v>
      </c>
      <c r="E110" s="1067">
        <v>19</v>
      </c>
      <c r="F110" s="1067">
        <v>506</v>
      </c>
    </row>
    <row r="111" spans="1:6" x14ac:dyDescent="0.25">
      <c r="A111" s="1067" t="s">
        <v>255</v>
      </c>
      <c r="B111" s="1067" t="s">
        <v>9</v>
      </c>
      <c r="C111" s="1067" t="s">
        <v>23</v>
      </c>
      <c r="D111" s="1067">
        <v>2077</v>
      </c>
      <c r="E111" s="1067">
        <v>138</v>
      </c>
      <c r="F111" s="1067">
        <v>1939</v>
      </c>
    </row>
    <row r="112" spans="1:6" x14ac:dyDescent="0.25">
      <c r="A112" s="1067" t="s">
        <v>255</v>
      </c>
      <c r="B112" s="1067" t="s">
        <v>9</v>
      </c>
      <c r="C112" s="1067" t="s">
        <v>21</v>
      </c>
      <c r="D112" s="1067">
        <v>261</v>
      </c>
      <c r="E112" s="1067">
        <v>14</v>
      </c>
      <c r="F112" s="1067">
        <v>247</v>
      </c>
    </row>
    <row r="113" spans="1:6" x14ac:dyDescent="0.25">
      <c r="A113" s="1067" t="s">
        <v>255</v>
      </c>
      <c r="B113" s="1067" t="s">
        <v>3</v>
      </c>
      <c r="C113" s="1067" t="s">
        <v>98</v>
      </c>
      <c r="D113" s="1067">
        <v>164</v>
      </c>
      <c r="E113" s="1067">
        <v>155</v>
      </c>
      <c r="F113" s="1067">
        <v>9</v>
      </c>
    </row>
    <row r="114" spans="1:6" x14ac:dyDescent="0.25">
      <c r="A114" s="1067" t="s">
        <v>255</v>
      </c>
      <c r="B114" s="1067" t="s">
        <v>3</v>
      </c>
      <c r="C114" s="1067" t="s">
        <v>210</v>
      </c>
      <c r="D114" s="1067">
        <v>2</v>
      </c>
      <c r="E114" s="1067">
        <v>1</v>
      </c>
      <c r="F114" s="1067">
        <v>1</v>
      </c>
    </row>
    <row r="115" spans="1:6" x14ac:dyDescent="0.25">
      <c r="A115" s="1067" t="s">
        <v>255</v>
      </c>
      <c r="B115" s="1067" t="s">
        <v>3</v>
      </c>
      <c r="C115" s="1067" t="s">
        <v>83</v>
      </c>
      <c r="D115" s="1067">
        <v>79</v>
      </c>
      <c r="E115" s="1067">
        <v>57</v>
      </c>
      <c r="F115" s="1067">
        <v>22</v>
      </c>
    </row>
    <row r="116" spans="1:6" x14ac:dyDescent="0.25">
      <c r="A116" s="1067" t="s">
        <v>255</v>
      </c>
      <c r="B116" s="1067" t="s">
        <v>3</v>
      </c>
      <c r="C116" s="1067" t="s">
        <v>81</v>
      </c>
      <c r="D116" s="1067">
        <v>50</v>
      </c>
      <c r="E116" s="1067">
        <v>17</v>
      </c>
      <c r="F116" s="1067">
        <v>33</v>
      </c>
    </row>
    <row r="117" spans="1:6" x14ac:dyDescent="0.25">
      <c r="A117" s="1067" t="s">
        <v>255</v>
      </c>
      <c r="B117" s="1067" t="s">
        <v>3</v>
      </c>
      <c r="C117" s="1067" t="s">
        <v>317</v>
      </c>
      <c r="D117" s="1067">
        <v>366</v>
      </c>
      <c r="E117" s="1067">
        <v>139</v>
      </c>
      <c r="F117" s="1067">
        <v>227</v>
      </c>
    </row>
    <row r="118" spans="1:6" x14ac:dyDescent="0.25">
      <c r="A118" s="1067" t="s">
        <v>255</v>
      </c>
      <c r="B118" s="1067" t="s">
        <v>3</v>
      </c>
      <c r="C118" s="1067" t="s">
        <v>87</v>
      </c>
      <c r="D118" s="1067">
        <v>32</v>
      </c>
      <c r="E118" s="1067">
        <v>19</v>
      </c>
      <c r="F118" s="1067">
        <v>13</v>
      </c>
    </row>
    <row r="119" spans="1:6" x14ac:dyDescent="0.25">
      <c r="A119" s="1067" t="s">
        <v>255</v>
      </c>
      <c r="B119" s="1067" t="s">
        <v>3</v>
      </c>
      <c r="C119" s="1067" t="s">
        <v>318</v>
      </c>
      <c r="D119" s="1067">
        <v>153</v>
      </c>
      <c r="E119" s="1067">
        <v>88</v>
      </c>
      <c r="F119" s="1067">
        <v>65</v>
      </c>
    </row>
    <row r="120" spans="1:6" x14ac:dyDescent="0.25">
      <c r="A120" s="1067" t="s">
        <v>255</v>
      </c>
      <c r="B120" s="1067" t="s">
        <v>315</v>
      </c>
      <c r="C120" s="1067" t="s">
        <v>22</v>
      </c>
      <c r="D120" s="1067">
        <v>39</v>
      </c>
      <c r="E120" s="1067">
        <v>3</v>
      </c>
      <c r="F120" s="1067">
        <v>36</v>
      </c>
    </row>
    <row r="121" spans="1:6" x14ac:dyDescent="0.25">
      <c r="A121" s="1067" t="s">
        <v>255</v>
      </c>
      <c r="B121" s="1067" t="s">
        <v>315</v>
      </c>
      <c r="C121" s="1067" t="s">
        <v>23</v>
      </c>
      <c r="D121" s="1067">
        <v>256</v>
      </c>
      <c r="E121" s="1067">
        <v>47</v>
      </c>
      <c r="F121" s="1067">
        <v>209</v>
      </c>
    </row>
    <row r="122" spans="1:6" x14ac:dyDescent="0.25">
      <c r="A122" s="1067" t="s">
        <v>255</v>
      </c>
      <c r="B122" s="1067" t="s">
        <v>315</v>
      </c>
      <c r="C122" s="1067" t="s">
        <v>21</v>
      </c>
      <c r="D122" s="1067">
        <v>37</v>
      </c>
      <c r="E122" s="1067">
        <v>5</v>
      </c>
      <c r="F122" s="1067">
        <v>32</v>
      </c>
    </row>
    <row r="123" spans="1:6" x14ac:dyDescent="0.25">
      <c r="A123" s="1067" t="s">
        <v>255</v>
      </c>
      <c r="B123" s="1067" t="s">
        <v>316</v>
      </c>
      <c r="C123" s="1067" t="s">
        <v>18</v>
      </c>
      <c r="D123" s="1067">
        <v>34</v>
      </c>
      <c r="E123" s="1067"/>
      <c r="F123" s="1067">
        <v>34</v>
      </c>
    </row>
    <row r="124" spans="1:6" x14ac:dyDescent="0.25">
      <c r="A124" s="1067" t="s">
        <v>255</v>
      </c>
      <c r="B124" s="1067" t="s">
        <v>316</v>
      </c>
      <c r="C124" s="1067" t="s">
        <v>209</v>
      </c>
      <c r="D124" s="1067">
        <v>4</v>
      </c>
      <c r="E124" s="1067"/>
      <c r="F124" s="1067">
        <v>4</v>
      </c>
    </row>
    <row r="125" spans="1:6" x14ac:dyDescent="0.25">
      <c r="A125" s="1067" t="s">
        <v>255</v>
      </c>
      <c r="B125" s="1067" t="s">
        <v>316</v>
      </c>
      <c r="C125" s="1067" t="s">
        <v>22</v>
      </c>
      <c r="D125" s="1067">
        <v>689</v>
      </c>
      <c r="E125" s="1067">
        <v>26</v>
      </c>
      <c r="F125" s="1067">
        <v>663</v>
      </c>
    </row>
    <row r="126" spans="1:6" x14ac:dyDescent="0.25">
      <c r="A126" s="1067" t="s">
        <v>255</v>
      </c>
      <c r="B126" s="1067" t="s">
        <v>316</v>
      </c>
      <c r="C126" s="1067" t="s">
        <v>23</v>
      </c>
      <c r="D126" s="1067">
        <v>1989</v>
      </c>
      <c r="E126" s="1067">
        <v>114</v>
      </c>
      <c r="F126" s="1067">
        <v>1875</v>
      </c>
    </row>
    <row r="127" spans="1:6" x14ac:dyDescent="0.25">
      <c r="A127" s="1067" t="s">
        <v>255</v>
      </c>
      <c r="B127" s="1067" t="s">
        <v>316</v>
      </c>
      <c r="C127" s="1067" t="s">
        <v>19</v>
      </c>
      <c r="D127" s="1067">
        <v>74</v>
      </c>
      <c r="E127" s="1067">
        <v>2</v>
      </c>
      <c r="F127" s="1067">
        <v>72</v>
      </c>
    </row>
    <row r="128" spans="1:6" x14ac:dyDescent="0.25">
      <c r="A128" s="1067" t="s">
        <v>255</v>
      </c>
      <c r="B128" s="1067" t="s">
        <v>316</v>
      </c>
      <c r="C128" s="1067" t="s">
        <v>20</v>
      </c>
      <c r="D128" s="1067">
        <v>153</v>
      </c>
      <c r="E128" s="1067">
        <v>2</v>
      </c>
      <c r="F128" s="1067">
        <v>151</v>
      </c>
    </row>
    <row r="129" spans="1:6" x14ac:dyDescent="0.25">
      <c r="A129" s="1067" t="s">
        <v>255</v>
      </c>
      <c r="B129" s="1067" t="s">
        <v>316</v>
      </c>
      <c r="C129" s="1067" t="s">
        <v>21</v>
      </c>
      <c r="D129" s="1067">
        <v>603</v>
      </c>
      <c r="E129" s="1067">
        <v>31</v>
      </c>
      <c r="F129" s="1067">
        <v>572</v>
      </c>
    </row>
    <row r="130" spans="1:6" x14ac:dyDescent="0.25">
      <c r="A130" s="1067" t="s">
        <v>254</v>
      </c>
      <c r="B130" s="1067" t="s">
        <v>2</v>
      </c>
      <c r="C130" s="1067" t="s">
        <v>18</v>
      </c>
      <c r="D130" s="1067">
        <v>1</v>
      </c>
      <c r="E130" s="1067">
        <v>1</v>
      </c>
      <c r="F130" s="1067"/>
    </row>
    <row r="131" spans="1:6" x14ac:dyDescent="0.25">
      <c r="A131" s="1067" t="s">
        <v>254</v>
      </c>
      <c r="B131" s="1067" t="s">
        <v>2</v>
      </c>
      <c r="C131" s="1067" t="s">
        <v>22</v>
      </c>
      <c r="D131" s="1067">
        <v>27</v>
      </c>
      <c r="E131" s="1067">
        <v>21</v>
      </c>
      <c r="F131" s="1067">
        <v>6</v>
      </c>
    </row>
    <row r="132" spans="1:6" x14ac:dyDescent="0.25">
      <c r="A132" s="1067" t="s">
        <v>254</v>
      </c>
      <c r="B132" s="1067" t="s">
        <v>2</v>
      </c>
      <c r="C132" s="1067" t="s">
        <v>23</v>
      </c>
      <c r="D132" s="1067">
        <v>124</v>
      </c>
      <c r="E132" s="1067">
        <v>103</v>
      </c>
      <c r="F132" s="1067">
        <v>21</v>
      </c>
    </row>
    <row r="133" spans="1:6" x14ac:dyDescent="0.25">
      <c r="A133" s="1067" t="s">
        <v>254</v>
      </c>
      <c r="B133" s="1067" t="s">
        <v>2</v>
      </c>
      <c r="C133" s="1067" t="s">
        <v>19</v>
      </c>
      <c r="D133" s="1067">
        <v>4</v>
      </c>
      <c r="E133" s="1067">
        <v>3</v>
      </c>
      <c r="F133" s="1067">
        <v>1</v>
      </c>
    </row>
    <row r="134" spans="1:6" x14ac:dyDescent="0.25">
      <c r="A134" s="1067" t="s">
        <v>254</v>
      </c>
      <c r="B134" s="1067" t="s">
        <v>2</v>
      </c>
      <c r="C134" s="1067" t="s">
        <v>20</v>
      </c>
      <c r="D134" s="1067">
        <v>9</v>
      </c>
      <c r="E134" s="1067">
        <v>8</v>
      </c>
      <c r="F134" s="1067">
        <v>1</v>
      </c>
    </row>
    <row r="135" spans="1:6" x14ac:dyDescent="0.25">
      <c r="A135" s="1067" t="s">
        <v>254</v>
      </c>
      <c r="B135" s="1067" t="s">
        <v>2</v>
      </c>
      <c r="C135" s="1067" t="s">
        <v>21</v>
      </c>
      <c r="D135" s="1067">
        <v>42</v>
      </c>
      <c r="E135" s="1067">
        <v>36</v>
      </c>
      <c r="F135" s="1067">
        <v>6</v>
      </c>
    </row>
    <row r="136" spans="1:6" x14ac:dyDescent="0.25">
      <c r="A136" s="1067" t="s">
        <v>254</v>
      </c>
      <c r="B136" s="1067" t="s">
        <v>9</v>
      </c>
      <c r="C136" s="1067" t="s">
        <v>22</v>
      </c>
      <c r="D136" s="1067">
        <v>533</v>
      </c>
      <c r="E136" s="1067">
        <v>20</v>
      </c>
      <c r="F136" s="1067">
        <v>513</v>
      </c>
    </row>
    <row r="137" spans="1:6" x14ac:dyDescent="0.25">
      <c r="A137" s="1067" t="s">
        <v>254</v>
      </c>
      <c r="B137" s="1067" t="s">
        <v>9</v>
      </c>
      <c r="C137" s="1067" t="s">
        <v>23</v>
      </c>
      <c r="D137" s="1067">
        <v>2141</v>
      </c>
      <c r="E137" s="1067">
        <v>168</v>
      </c>
      <c r="F137" s="1067">
        <v>1973</v>
      </c>
    </row>
    <row r="138" spans="1:6" x14ac:dyDescent="0.25">
      <c r="A138" s="1067" t="s">
        <v>254</v>
      </c>
      <c r="B138" s="1067" t="s">
        <v>9</v>
      </c>
      <c r="C138" s="1067" t="s">
        <v>21</v>
      </c>
      <c r="D138" s="1067">
        <v>261</v>
      </c>
      <c r="E138" s="1067">
        <v>13</v>
      </c>
      <c r="F138" s="1067">
        <v>248</v>
      </c>
    </row>
    <row r="139" spans="1:6" x14ac:dyDescent="0.25">
      <c r="A139" s="1067" t="s">
        <v>254</v>
      </c>
      <c r="B139" s="1067" t="s">
        <v>852</v>
      </c>
      <c r="C139" s="1067" t="s">
        <v>1216</v>
      </c>
      <c r="D139" s="1067">
        <v>18</v>
      </c>
      <c r="E139" s="1067">
        <v>1</v>
      </c>
      <c r="F139" s="1067">
        <v>17</v>
      </c>
    </row>
    <row r="140" spans="1:6" x14ac:dyDescent="0.25">
      <c r="A140" s="1067" t="s">
        <v>254</v>
      </c>
      <c r="B140" s="1067" t="s">
        <v>3</v>
      </c>
      <c r="C140" s="1067" t="s">
        <v>98</v>
      </c>
      <c r="D140" s="1067">
        <v>170</v>
      </c>
      <c r="E140" s="1067">
        <v>159</v>
      </c>
      <c r="F140" s="1067">
        <v>11</v>
      </c>
    </row>
    <row r="141" spans="1:6" x14ac:dyDescent="0.25">
      <c r="A141" s="1067" t="s">
        <v>254</v>
      </c>
      <c r="B141" s="1067" t="s">
        <v>3</v>
      </c>
      <c r="C141" s="1067" t="s">
        <v>210</v>
      </c>
      <c r="D141" s="1067">
        <v>3</v>
      </c>
      <c r="E141" s="1067">
        <v>2</v>
      </c>
      <c r="F141" s="1067">
        <v>1</v>
      </c>
    </row>
    <row r="142" spans="1:6" x14ac:dyDescent="0.25">
      <c r="A142" s="1067" t="s">
        <v>254</v>
      </c>
      <c r="B142" s="1067" t="s">
        <v>3</v>
      </c>
      <c r="C142" s="1067" t="s">
        <v>83</v>
      </c>
      <c r="D142" s="1067">
        <v>84</v>
      </c>
      <c r="E142" s="1067">
        <v>58</v>
      </c>
      <c r="F142" s="1067">
        <v>26</v>
      </c>
    </row>
    <row r="143" spans="1:6" x14ac:dyDescent="0.25">
      <c r="A143" s="1067" t="s">
        <v>254</v>
      </c>
      <c r="B143" s="1067" t="s">
        <v>3</v>
      </c>
      <c r="C143" s="1067" t="s">
        <v>81</v>
      </c>
      <c r="D143" s="1067">
        <v>49</v>
      </c>
      <c r="E143" s="1067">
        <v>15</v>
      </c>
      <c r="F143" s="1067">
        <v>34</v>
      </c>
    </row>
    <row r="144" spans="1:6" x14ac:dyDescent="0.25">
      <c r="A144" s="1067" t="s">
        <v>254</v>
      </c>
      <c r="B144" s="1067" t="s">
        <v>3</v>
      </c>
      <c r="C144" s="1067" t="s">
        <v>317</v>
      </c>
      <c r="D144" s="1067">
        <v>388</v>
      </c>
      <c r="E144" s="1067">
        <v>146</v>
      </c>
      <c r="F144" s="1067">
        <v>242</v>
      </c>
    </row>
    <row r="145" spans="1:6" x14ac:dyDescent="0.25">
      <c r="A145" s="1067" t="s">
        <v>254</v>
      </c>
      <c r="B145" s="1067" t="s">
        <v>3</v>
      </c>
      <c r="C145" s="1067" t="s">
        <v>87</v>
      </c>
      <c r="D145" s="1067">
        <v>34</v>
      </c>
      <c r="E145" s="1067">
        <v>21</v>
      </c>
      <c r="F145" s="1067">
        <v>13</v>
      </c>
    </row>
    <row r="146" spans="1:6" x14ac:dyDescent="0.25">
      <c r="A146" s="1067" t="s">
        <v>254</v>
      </c>
      <c r="B146" s="1067" t="s">
        <v>3</v>
      </c>
      <c r="C146" s="1067" t="s">
        <v>318</v>
      </c>
      <c r="D146" s="1067">
        <v>64</v>
      </c>
      <c r="E146" s="1067">
        <v>26</v>
      </c>
      <c r="F146" s="1067">
        <v>38</v>
      </c>
    </row>
    <row r="147" spans="1:6" x14ac:dyDescent="0.25">
      <c r="A147" s="1067" t="s">
        <v>254</v>
      </c>
      <c r="B147" s="1067" t="s">
        <v>315</v>
      </c>
      <c r="C147" s="1067" t="s">
        <v>22</v>
      </c>
      <c r="D147" s="1067">
        <v>40</v>
      </c>
      <c r="E147" s="1067">
        <v>3</v>
      </c>
      <c r="F147" s="1067">
        <v>37</v>
      </c>
    </row>
    <row r="148" spans="1:6" x14ac:dyDescent="0.25">
      <c r="A148" s="1067" t="s">
        <v>254</v>
      </c>
      <c r="B148" s="1067" t="s">
        <v>315</v>
      </c>
      <c r="C148" s="1067" t="s">
        <v>23</v>
      </c>
      <c r="D148" s="1067">
        <v>240</v>
      </c>
      <c r="E148" s="1067">
        <v>46</v>
      </c>
      <c r="F148" s="1067">
        <v>194</v>
      </c>
    </row>
    <row r="149" spans="1:6" x14ac:dyDescent="0.25">
      <c r="A149" s="1067" t="s">
        <v>254</v>
      </c>
      <c r="B149" s="1067" t="s">
        <v>315</v>
      </c>
      <c r="C149" s="1067" t="s">
        <v>21</v>
      </c>
      <c r="D149" s="1067">
        <v>37</v>
      </c>
      <c r="E149" s="1067">
        <v>5</v>
      </c>
      <c r="F149" s="1067">
        <v>32</v>
      </c>
    </row>
    <row r="150" spans="1:6" x14ac:dyDescent="0.25">
      <c r="A150" s="1067" t="s">
        <v>254</v>
      </c>
      <c r="B150" s="1067" t="s">
        <v>316</v>
      </c>
      <c r="C150" s="1067" t="s">
        <v>18</v>
      </c>
      <c r="D150" s="1067">
        <v>33</v>
      </c>
      <c r="E150" s="1067"/>
      <c r="F150" s="1067">
        <v>33</v>
      </c>
    </row>
    <row r="151" spans="1:6" x14ac:dyDescent="0.25">
      <c r="A151" s="1067" t="s">
        <v>254</v>
      </c>
      <c r="B151" s="1067" t="s">
        <v>316</v>
      </c>
      <c r="C151" s="1067" t="s">
        <v>209</v>
      </c>
      <c r="D151" s="1067">
        <v>4</v>
      </c>
      <c r="E151" s="1067"/>
      <c r="F151" s="1067">
        <v>4</v>
      </c>
    </row>
    <row r="152" spans="1:6" x14ac:dyDescent="0.25">
      <c r="A152" s="1067" t="s">
        <v>254</v>
      </c>
      <c r="B152" s="1067" t="s">
        <v>316</v>
      </c>
      <c r="C152" s="1067" t="s">
        <v>22</v>
      </c>
      <c r="D152" s="1067">
        <v>687</v>
      </c>
      <c r="E152" s="1067">
        <v>27</v>
      </c>
      <c r="F152" s="1067">
        <v>660</v>
      </c>
    </row>
    <row r="153" spans="1:6" x14ac:dyDescent="0.25">
      <c r="A153" s="1067" t="s">
        <v>254</v>
      </c>
      <c r="B153" s="1067" t="s">
        <v>316</v>
      </c>
      <c r="C153" s="1067" t="s">
        <v>23</v>
      </c>
      <c r="D153" s="1067">
        <v>2075</v>
      </c>
      <c r="E153" s="1067">
        <v>132</v>
      </c>
      <c r="F153" s="1067">
        <v>1943</v>
      </c>
    </row>
    <row r="154" spans="1:6" x14ac:dyDescent="0.25">
      <c r="A154" s="1067" t="s">
        <v>254</v>
      </c>
      <c r="B154" s="1067" t="s">
        <v>316</v>
      </c>
      <c r="C154" s="1067" t="s">
        <v>19</v>
      </c>
      <c r="D154" s="1067">
        <v>80</v>
      </c>
      <c r="E154" s="1067">
        <v>2</v>
      </c>
      <c r="F154" s="1067">
        <v>78</v>
      </c>
    </row>
    <row r="155" spans="1:6" x14ac:dyDescent="0.25">
      <c r="A155" s="1067" t="s">
        <v>254</v>
      </c>
      <c r="B155" s="1067" t="s">
        <v>316</v>
      </c>
      <c r="C155" s="1067" t="s">
        <v>20</v>
      </c>
      <c r="D155" s="1067">
        <v>147</v>
      </c>
      <c r="E155" s="1067">
        <v>2</v>
      </c>
      <c r="F155" s="1067">
        <v>145</v>
      </c>
    </row>
    <row r="156" spans="1:6" x14ac:dyDescent="0.25">
      <c r="A156" s="1067" t="s">
        <v>254</v>
      </c>
      <c r="B156" s="1067" t="s">
        <v>316</v>
      </c>
      <c r="C156" s="1067" t="s">
        <v>21</v>
      </c>
      <c r="D156" s="1067">
        <v>611</v>
      </c>
      <c r="E156" s="1067">
        <v>33</v>
      </c>
      <c r="F156" s="1067">
        <v>578</v>
      </c>
    </row>
    <row r="157" spans="1:6" x14ac:dyDescent="0.25">
      <c r="A157" s="1067" t="s">
        <v>851</v>
      </c>
      <c r="B157" s="1067" t="s">
        <v>2</v>
      </c>
      <c r="C157" s="1067" t="s">
        <v>18</v>
      </c>
      <c r="D157" s="1067">
        <v>1</v>
      </c>
      <c r="E157" s="1067">
        <v>1</v>
      </c>
      <c r="F157" s="1067"/>
    </row>
    <row r="158" spans="1:6" x14ac:dyDescent="0.25">
      <c r="A158" s="1067" t="s">
        <v>851</v>
      </c>
      <c r="B158" s="1067" t="s">
        <v>2</v>
      </c>
      <c r="C158" s="1067" t="s">
        <v>22</v>
      </c>
      <c r="D158" s="1067">
        <v>26</v>
      </c>
      <c r="E158" s="1067">
        <v>21</v>
      </c>
      <c r="F158" s="1067">
        <v>5</v>
      </c>
    </row>
    <row r="159" spans="1:6" x14ac:dyDescent="0.25">
      <c r="A159" s="1067" t="s">
        <v>851</v>
      </c>
      <c r="B159" s="1067" t="s">
        <v>2</v>
      </c>
      <c r="C159" s="1067" t="s">
        <v>23</v>
      </c>
      <c r="D159" s="1067">
        <v>104</v>
      </c>
      <c r="E159" s="1067">
        <v>86</v>
      </c>
      <c r="F159" s="1067">
        <v>18</v>
      </c>
    </row>
    <row r="160" spans="1:6" x14ac:dyDescent="0.25">
      <c r="A160" s="1067" t="s">
        <v>851</v>
      </c>
      <c r="B160" s="1067" t="s">
        <v>2</v>
      </c>
      <c r="C160" s="1067" t="s">
        <v>19</v>
      </c>
      <c r="D160" s="1067">
        <v>4</v>
      </c>
      <c r="E160" s="1067">
        <v>3</v>
      </c>
      <c r="F160" s="1067">
        <v>1</v>
      </c>
    </row>
    <row r="161" spans="1:6" x14ac:dyDescent="0.25">
      <c r="A161" s="1067" t="s">
        <v>851</v>
      </c>
      <c r="B161" s="1067" t="s">
        <v>2</v>
      </c>
      <c r="C161" s="1067" t="s">
        <v>20</v>
      </c>
      <c r="D161" s="1067">
        <v>8</v>
      </c>
      <c r="E161" s="1067">
        <v>7</v>
      </c>
      <c r="F161" s="1067">
        <v>1</v>
      </c>
    </row>
    <row r="162" spans="1:6" x14ac:dyDescent="0.25">
      <c r="A162" s="1067" t="s">
        <v>851</v>
      </c>
      <c r="B162" s="1067" t="s">
        <v>2</v>
      </c>
      <c r="C162" s="1067" t="s">
        <v>21</v>
      </c>
      <c r="D162" s="1067">
        <v>45</v>
      </c>
      <c r="E162" s="1067">
        <v>38</v>
      </c>
      <c r="F162" s="1067">
        <v>7</v>
      </c>
    </row>
    <row r="163" spans="1:6" x14ac:dyDescent="0.25">
      <c r="A163" s="1067" t="s">
        <v>851</v>
      </c>
      <c r="B163" s="1067" t="s">
        <v>9</v>
      </c>
      <c r="C163" s="1067" t="s">
        <v>22</v>
      </c>
      <c r="D163" s="1067">
        <v>520</v>
      </c>
      <c r="E163" s="1067">
        <v>20</v>
      </c>
      <c r="F163" s="1067">
        <v>500</v>
      </c>
    </row>
    <row r="164" spans="1:6" x14ac:dyDescent="0.25">
      <c r="A164" s="1067" t="s">
        <v>851</v>
      </c>
      <c r="B164" s="1067" t="s">
        <v>9</v>
      </c>
      <c r="C164" s="1067" t="s">
        <v>23</v>
      </c>
      <c r="D164" s="1067">
        <v>2155</v>
      </c>
      <c r="E164" s="1067">
        <v>175</v>
      </c>
      <c r="F164" s="1067">
        <v>1980</v>
      </c>
    </row>
    <row r="165" spans="1:6" x14ac:dyDescent="0.25">
      <c r="A165" s="1067" t="s">
        <v>851</v>
      </c>
      <c r="B165" s="1067" t="s">
        <v>9</v>
      </c>
      <c r="C165" s="1067" t="s">
        <v>21</v>
      </c>
      <c r="D165" s="1067">
        <v>262</v>
      </c>
      <c r="E165" s="1067">
        <v>13</v>
      </c>
      <c r="F165" s="1067">
        <v>249</v>
      </c>
    </row>
    <row r="166" spans="1:6" x14ac:dyDescent="0.25">
      <c r="A166" s="1067" t="s">
        <v>851</v>
      </c>
      <c r="B166" s="1067" t="s">
        <v>852</v>
      </c>
      <c r="C166" s="1067" t="s">
        <v>21</v>
      </c>
      <c r="D166" s="1067">
        <v>36</v>
      </c>
      <c r="E166" s="1067">
        <v>7</v>
      </c>
      <c r="F166" s="1067">
        <v>29</v>
      </c>
    </row>
    <row r="167" spans="1:6" x14ac:dyDescent="0.25">
      <c r="A167" s="1067" t="s">
        <v>851</v>
      </c>
      <c r="B167" s="1067" t="s">
        <v>3</v>
      </c>
      <c r="C167" s="1067" t="s">
        <v>98</v>
      </c>
      <c r="D167" s="1067">
        <v>183</v>
      </c>
      <c r="E167" s="1067">
        <v>172</v>
      </c>
      <c r="F167" s="1067">
        <v>11</v>
      </c>
    </row>
    <row r="168" spans="1:6" x14ac:dyDescent="0.25">
      <c r="A168" s="1067" t="s">
        <v>851</v>
      </c>
      <c r="B168" s="1067" t="s">
        <v>3</v>
      </c>
      <c r="C168" s="1067" t="s">
        <v>210</v>
      </c>
      <c r="D168" s="1067">
        <v>3</v>
      </c>
      <c r="E168" s="1067">
        <v>2</v>
      </c>
      <c r="F168" s="1067">
        <v>1</v>
      </c>
    </row>
    <row r="169" spans="1:6" x14ac:dyDescent="0.25">
      <c r="A169" s="1067" t="s">
        <v>851</v>
      </c>
      <c r="B169" s="1067" t="s">
        <v>3</v>
      </c>
      <c r="C169" s="1067" t="s">
        <v>83</v>
      </c>
      <c r="D169" s="1067">
        <v>90</v>
      </c>
      <c r="E169" s="1067">
        <v>61</v>
      </c>
      <c r="F169" s="1067">
        <v>29</v>
      </c>
    </row>
    <row r="170" spans="1:6" x14ac:dyDescent="0.25">
      <c r="A170" s="1067" t="s">
        <v>851</v>
      </c>
      <c r="B170" s="1067" t="s">
        <v>3</v>
      </c>
      <c r="C170" s="1067" t="s">
        <v>81</v>
      </c>
      <c r="D170" s="1067">
        <v>47</v>
      </c>
      <c r="E170" s="1067">
        <v>14</v>
      </c>
      <c r="F170" s="1067">
        <v>33</v>
      </c>
    </row>
    <row r="171" spans="1:6" x14ac:dyDescent="0.25">
      <c r="A171" s="1067" t="s">
        <v>851</v>
      </c>
      <c r="B171" s="1067" t="s">
        <v>3</v>
      </c>
      <c r="C171" s="1067" t="s">
        <v>317</v>
      </c>
      <c r="D171" s="1067">
        <v>400</v>
      </c>
      <c r="E171" s="1067">
        <v>152</v>
      </c>
      <c r="F171" s="1067">
        <v>248</v>
      </c>
    </row>
    <row r="172" spans="1:6" x14ac:dyDescent="0.25">
      <c r="A172" s="1067" t="s">
        <v>851</v>
      </c>
      <c r="B172" s="1067" t="s">
        <v>3</v>
      </c>
      <c r="C172" s="1067" t="s">
        <v>87</v>
      </c>
      <c r="D172" s="1067">
        <v>32</v>
      </c>
      <c r="E172" s="1067">
        <v>20</v>
      </c>
      <c r="F172" s="1067">
        <v>12</v>
      </c>
    </row>
    <row r="173" spans="1:6" x14ac:dyDescent="0.25">
      <c r="A173" s="1067" t="s">
        <v>851</v>
      </c>
      <c r="B173" s="1067" t="s">
        <v>3</v>
      </c>
      <c r="C173" s="1067" t="s">
        <v>318</v>
      </c>
      <c r="D173" s="1067">
        <v>63</v>
      </c>
      <c r="E173" s="1067">
        <v>26</v>
      </c>
      <c r="F173" s="1067">
        <v>37</v>
      </c>
    </row>
    <row r="174" spans="1:6" x14ac:dyDescent="0.25">
      <c r="A174" s="1067" t="s">
        <v>851</v>
      </c>
      <c r="B174" s="1067" t="s">
        <v>315</v>
      </c>
      <c r="C174" s="1067" t="s">
        <v>22</v>
      </c>
      <c r="D174" s="1067">
        <v>41</v>
      </c>
      <c r="E174" s="1067">
        <v>1</v>
      </c>
      <c r="F174" s="1067">
        <v>40</v>
      </c>
    </row>
    <row r="175" spans="1:6" x14ac:dyDescent="0.25">
      <c r="A175" s="1067" t="s">
        <v>851</v>
      </c>
      <c r="B175" s="1067" t="s">
        <v>315</v>
      </c>
      <c r="C175" s="1067" t="s">
        <v>23</v>
      </c>
      <c r="D175" s="1067">
        <v>237</v>
      </c>
      <c r="E175" s="1067">
        <v>48</v>
      </c>
      <c r="F175" s="1067">
        <v>189</v>
      </c>
    </row>
    <row r="176" spans="1:6" x14ac:dyDescent="0.25">
      <c r="A176" s="1067" t="s">
        <v>851</v>
      </c>
      <c r="B176" s="1067" t="s">
        <v>315</v>
      </c>
      <c r="C176" s="1067" t="s">
        <v>21</v>
      </c>
      <c r="D176" s="1067">
        <v>37</v>
      </c>
      <c r="E176" s="1067">
        <v>5</v>
      </c>
      <c r="F176" s="1067">
        <v>32</v>
      </c>
    </row>
    <row r="177" spans="1:6" x14ac:dyDescent="0.25">
      <c r="A177" s="1067" t="s">
        <v>851</v>
      </c>
      <c r="B177" s="1067" t="s">
        <v>316</v>
      </c>
      <c r="C177" s="1067" t="s">
        <v>18</v>
      </c>
      <c r="D177" s="1067">
        <v>31</v>
      </c>
      <c r="E177" s="1067"/>
      <c r="F177" s="1067">
        <v>31</v>
      </c>
    </row>
    <row r="178" spans="1:6" x14ac:dyDescent="0.25">
      <c r="A178" s="1067" t="s">
        <v>851</v>
      </c>
      <c r="B178" s="1067" t="s">
        <v>316</v>
      </c>
      <c r="C178" s="1067" t="s">
        <v>209</v>
      </c>
      <c r="D178" s="1067">
        <v>6</v>
      </c>
      <c r="E178" s="1067"/>
      <c r="F178" s="1067">
        <v>6</v>
      </c>
    </row>
    <row r="179" spans="1:6" x14ac:dyDescent="0.25">
      <c r="A179" s="1067" t="s">
        <v>851</v>
      </c>
      <c r="B179" s="1067" t="s">
        <v>316</v>
      </c>
      <c r="C179" s="1067" t="s">
        <v>22</v>
      </c>
      <c r="D179" s="1067">
        <v>688</v>
      </c>
      <c r="E179" s="1067">
        <v>31</v>
      </c>
      <c r="F179" s="1067">
        <v>657</v>
      </c>
    </row>
    <row r="180" spans="1:6" x14ac:dyDescent="0.25">
      <c r="A180" s="1067" t="s">
        <v>851</v>
      </c>
      <c r="B180" s="1067" t="s">
        <v>316</v>
      </c>
      <c r="C180" s="1067" t="s">
        <v>23</v>
      </c>
      <c r="D180" s="1067">
        <v>2070</v>
      </c>
      <c r="E180" s="1067">
        <v>154</v>
      </c>
      <c r="F180" s="1067">
        <v>1916</v>
      </c>
    </row>
    <row r="181" spans="1:6" x14ac:dyDescent="0.25">
      <c r="A181" s="1067" t="s">
        <v>851</v>
      </c>
      <c r="B181" s="1067" t="s">
        <v>316</v>
      </c>
      <c r="C181" s="1067" t="s">
        <v>19</v>
      </c>
      <c r="D181" s="1067">
        <v>80</v>
      </c>
      <c r="E181" s="1067">
        <v>2</v>
      </c>
      <c r="F181" s="1067">
        <v>78</v>
      </c>
    </row>
    <row r="182" spans="1:6" x14ac:dyDescent="0.25">
      <c r="A182" s="1067" t="s">
        <v>851</v>
      </c>
      <c r="B182" s="1067" t="s">
        <v>316</v>
      </c>
      <c r="C182" s="1067" t="s">
        <v>20</v>
      </c>
      <c r="D182" s="1067">
        <v>153</v>
      </c>
      <c r="E182" s="1067">
        <v>5</v>
      </c>
      <c r="F182" s="1067">
        <v>148</v>
      </c>
    </row>
    <row r="183" spans="1:6" x14ac:dyDescent="0.25">
      <c r="A183" s="1067" t="s">
        <v>851</v>
      </c>
      <c r="B183" s="1067" t="s">
        <v>316</v>
      </c>
      <c r="C183" s="1067" t="s">
        <v>21</v>
      </c>
      <c r="D183" s="1067">
        <v>608</v>
      </c>
      <c r="E183" s="1067">
        <v>30</v>
      </c>
      <c r="F183" s="1067">
        <v>578</v>
      </c>
    </row>
  </sheetData>
  <sheetProtection algorithmName="SHA-512" hashValue="lkqtVm/3P5p+9+zwTI4FyhtYqqDuS9JaCIGuyOAInEQo/fkvmMd9kU1oJNHOJSoxCSkc3jlkOr/gOltGLamqNg==" saltValue="QEnqSbg2sjwSpaDVpZ0g/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1"/>
  <sheetViews>
    <sheetView zoomScale="85" zoomScaleNormal="85" workbookViewId="0">
      <pane ySplit="4" topLeftCell="A5" activePane="bottomLeft" state="frozen"/>
      <selection pane="bottomLeft"/>
    </sheetView>
  </sheetViews>
  <sheetFormatPr defaultRowHeight="15" x14ac:dyDescent="0.25"/>
  <sheetData>
    <row r="1" spans="1:5" ht="15.75" x14ac:dyDescent="0.25">
      <c r="A1" s="981" t="s">
        <v>1219</v>
      </c>
    </row>
    <row r="2" spans="1:5" x14ac:dyDescent="0.25">
      <c r="A2" s="1139">
        <v>44071</v>
      </c>
      <c r="B2" s="1140"/>
    </row>
    <row r="4" spans="1:5" x14ac:dyDescent="0.25">
      <c r="A4" s="1066" t="s">
        <v>270</v>
      </c>
      <c r="B4" s="1066" t="s">
        <v>1086</v>
      </c>
      <c r="C4" s="1066" t="s">
        <v>26</v>
      </c>
      <c r="D4" s="1066" t="s">
        <v>92</v>
      </c>
      <c r="E4" s="1066" t="s">
        <v>93</v>
      </c>
    </row>
    <row r="5" spans="1:5" x14ac:dyDescent="0.25">
      <c r="A5" s="1067" t="s">
        <v>204</v>
      </c>
      <c r="B5" s="1067" t="s">
        <v>2</v>
      </c>
      <c r="C5" s="1067">
        <v>223</v>
      </c>
      <c r="D5" s="1067">
        <v>199</v>
      </c>
      <c r="E5" s="1067">
        <v>24</v>
      </c>
    </row>
    <row r="6" spans="1:5" x14ac:dyDescent="0.25">
      <c r="A6" s="1067" t="s">
        <v>204</v>
      </c>
      <c r="B6" s="1067" t="s">
        <v>9</v>
      </c>
      <c r="C6" s="1067">
        <v>2940</v>
      </c>
      <c r="D6" s="1067">
        <v>178</v>
      </c>
      <c r="E6" s="1067">
        <v>2762</v>
      </c>
    </row>
    <row r="7" spans="1:5" x14ac:dyDescent="0.25">
      <c r="A7" s="1067" t="s">
        <v>204</v>
      </c>
      <c r="B7" s="1067" t="s">
        <v>3</v>
      </c>
      <c r="C7" s="1067">
        <v>961</v>
      </c>
      <c r="D7" s="1067">
        <v>545</v>
      </c>
      <c r="E7" s="1067">
        <v>416</v>
      </c>
    </row>
    <row r="8" spans="1:5" x14ac:dyDescent="0.25">
      <c r="A8" s="1067" t="s">
        <v>204</v>
      </c>
      <c r="B8" s="1067" t="s">
        <v>315</v>
      </c>
      <c r="C8" s="1067">
        <v>359</v>
      </c>
      <c r="D8" s="1067">
        <v>52</v>
      </c>
      <c r="E8" s="1067">
        <v>307</v>
      </c>
    </row>
    <row r="9" spans="1:5" x14ac:dyDescent="0.25">
      <c r="A9" s="1067" t="s">
        <v>204</v>
      </c>
      <c r="B9" s="1067" t="s">
        <v>316</v>
      </c>
      <c r="C9" s="1067">
        <v>4001</v>
      </c>
      <c r="D9" s="1067">
        <v>159</v>
      </c>
      <c r="E9" s="1067">
        <v>3842</v>
      </c>
    </row>
    <row r="10" spans="1:5" x14ac:dyDescent="0.25">
      <c r="A10" s="1067" t="s">
        <v>203</v>
      </c>
      <c r="B10" s="1067" t="s">
        <v>2</v>
      </c>
      <c r="C10" s="1067">
        <v>230</v>
      </c>
      <c r="D10" s="1067">
        <v>192</v>
      </c>
      <c r="E10" s="1067">
        <v>38</v>
      </c>
    </row>
    <row r="11" spans="1:5" x14ac:dyDescent="0.25">
      <c r="A11" s="1067" t="s">
        <v>203</v>
      </c>
      <c r="B11" s="1067" t="s">
        <v>9</v>
      </c>
      <c r="C11" s="1067">
        <v>2950</v>
      </c>
      <c r="D11" s="1067">
        <v>172</v>
      </c>
      <c r="E11" s="1067">
        <v>2778</v>
      </c>
    </row>
    <row r="12" spans="1:5" x14ac:dyDescent="0.25">
      <c r="A12" s="1067" t="s">
        <v>203</v>
      </c>
      <c r="B12" s="1067" t="s">
        <v>3</v>
      </c>
      <c r="C12" s="1067">
        <v>867</v>
      </c>
      <c r="D12" s="1067">
        <v>480</v>
      </c>
      <c r="E12" s="1067">
        <v>387</v>
      </c>
    </row>
    <row r="13" spans="1:5" x14ac:dyDescent="0.25">
      <c r="A13" s="1067" t="s">
        <v>203</v>
      </c>
      <c r="B13" s="1067" t="s">
        <v>315</v>
      </c>
      <c r="C13" s="1067">
        <v>378</v>
      </c>
      <c r="D13" s="1067">
        <v>56</v>
      </c>
      <c r="E13" s="1067">
        <v>322</v>
      </c>
    </row>
    <row r="14" spans="1:5" x14ac:dyDescent="0.25">
      <c r="A14" s="1067" t="s">
        <v>203</v>
      </c>
      <c r="B14" s="1067" t="s">
        <v>316</v>
      </c>
      <c r="C14" s="1067">
        <v>3856</v>
      </c>
      <c r="D14" s="1067">
        <v>164</v>
      </c>
      <c r="E14" s="1067">
        <v>3692</v>
      </c>
    </row>
    <row r="15" spans="1:5" x14ac:dyDescent="0.25">
      <c r="A15" s="1067" t="s">
        <v>202</v>
      </c>
      <c r="B15" s="1067" t="s">
        <v>2</v>
      </c>
      <c r="C15" s="1067">
        <v>203</v>
      </c>
      <c r="D15" s="1067">
        <v>171</v>
      </c>
      <c r="E15" s="1067">
        <v>32</v>
      </c>
    </row>
    <row r="16" spans="1:5" x14ac:dyDescent="0.25">
      <c r="A16" s="1067" t="s">
        <v>202</v>
      </c>
      <c r="B16" s="1067" t="s">
        <v>9</v>
      </c>
      <c r="C16" s="1067">
        <v>2870</v>
      </c>
      <c r="D16" s="1067">
        <v>163</v>
      </c>
      <c r="E16" s="1067">
        <v>2707</v>
      </c>
    </row>
    <row r="17" spans="1:5" x14ac:dyDescent="0.25">
      <c r="A17" s="1067" t="s">
        <v>202</v>
      </c>
      <c r="B17" s="1067" t="s">
        <v>3</v>
      </c>
      <c r="C17" s="1067">
        <v>828</v>
      </c>
      <c r="D17" s="1067">
        <v>463</v>
      </c>
      <c r="E17" s="1067">
        <v>365</v>
      </c>
    </row>
    <row r="18" spans="1:5" x14ac:dyDescent="0.25">
      <c r="A18" s="1067" t="s">
        <v>202</v>
      </c>
      <c r="B18" s="1067" t="s">
        <v>315</v>
      </c>
      <c r="C18" s="1067">
        <v>342</v>
      </c>
      <c r="D18" s="1067">
        <v>56</v>
      </c>
      <c r="E18" s="1067">
        <v>286</v>
      </c>
    </row>
    <row r="19" spans="1:5" x14ac:dyDescent="0.25">
      <c r="A19" s="1067" t="s">
        <v>202</v>
      </c>
      <c r="B19" s="1067" t="s">
        <v>316</v>
      </c>
      <c r="C19" s="1067">
        <v>3690</v>
      </c>
      <c r="D19" s="1067">
        <v>167</v>
      </c>
      <c r="E19" s="1067">
        <v>3523</v>
      </c>
    </row>
    <row r="20" spans="1:5" x14ac:dyDescent="0.25">
      <c r="A20" s="1067" t="s">
        <v>273</v>
      </c>
      <c r="B20" s="1067" t="s">
        <v>2</v>
      </c>
      <c r="C20" s="1067">
        <v>165</v>
      </c>
      <c r="D20" s="1067">
        <v>139</v>
      </c>
      <c r="E20" s="1067">
        <v>26</v>
      </c>
    </row>
    <row r="21" spans="1:5" x14ac:dyDescent="0.25">
      <c r="A21" s="1067" t="s">
        <v>273</v>
      </c>
      <c r="B21" s="1067" t="s">
        <v>9</v>
      </c>
      <c r="C21" s="1067">
        <v>2870</v>
      </c>
      <c r="D21" s="1067">
        <v>158</v>
      </c>
      <c r="E21" s="1067">
        <v>2712</v>
      </c>
    </row>
    <row r="22" spans="1:5" x14ac:dyDescent="0.25">
      <c r="A22" s="1067" t="s">
        <v>273</v>
      </c>
      <c r="B22" s="1067" t="s">
        <v>3</v>
      </c>
      <c r="C22" s="1067">
        <v>838</v>
      </c>
      <c r="D22" s="1067">
        <v>466</v>
      </c>
      <c r="E22" s="1067">
        <v>372</v>
      </c>
    </row>
    <row r="23" spans="1:5" x14ac:dyDescent="0.25">
      <c r="A23" s="1067" t="s">
        <v>273</v>
      </c>
      <c r="B23" s="1067" t="s">
        <v>315</v>
      </c>
      <c r="C23" s="1067">
        <v>316</v>
      </c>
      <c r="D23" s="1067">
        <v>48</v>
      </c>
      <c r="E23" s="1067">
        <v>268</v>
      </c>
    </row>
    <row r="24" spans="1:5" x14ac:dyDescent="0.25">
      <c r="A24" s="1067" t="s">
        <v>273</v>
      </c>
      <c r="B24" s="1067" t="s">
        <v>316</v>
      </c>
      <c r="C24" s="1067">
        <v>3645</v>
      </c>
      <c r="D24" s="1067">
        <v>178</v>
      </c>
      <c r="E24" s="1067">
        <v>3467</v>
      </c>
    </row>
    <row r="25" spans="1:5" x14ac:dyDescent="0.25">
      <c r="A25" s="1067" t="s">
        <v>255</v>
      </c>
      <c r="B25" s="1067" t="s">
        <v>2</v>
      </c>
      <c r="C25" s="1067">
        <v>189</v>
      </c>
      <c r="D25" s="1067">
        <v>158</v>
      </c>
      <c r="E25" s="1067">
        <v>31</v>
      </c>
    </row>
    <row r="26" spans="1:5" x14ac:dyDescent="0.25">
      <c r="A26" s="1067" t="s">
        <v>255</v>
      </c>
      <c r="B26" s="1067" t="s">
        <v>9</v>
      </c>
      <c r="C26" s="1067">
        <v>2863</v>
      </c>
      <c r="D26" s="1067">
        <v>171</v>
      </c>
      <c r="E26" s="1067">
        <v>2692</v>
      </c>
    </row>
    <row r="27" spans="1:5" x14ac:dyDescent="0.25">
      <c r="A27" s="1067" t="s">
        <v>255</v>
      </c>
      <c r="B27" s="1067" t="s">
        <v>3</v>
      </c>
      <c r="C27" s="1067">
        <v>846</v>
      </c>
      <c r="D27" s="1067">
        <v>476</v>
      </c>
      <c r="E27" s="1067">
        <v>370</v>
      </c>
    </row>
    <row r="28" spans="1:5" x14ac:dyDescent="0.25">
      <c r="A28" s="1067" t="s">
        <v>255</v>
      </c>
      <c r="B28" s="1067" t="s">
        <v>315</v>
      </c>
      <c r="C28" s="1067">
        <v>332</v>
      </c>
      <c r="D28" s="1067">
        <v>55</v>
      </c>
      <c r="E28" s="1067">
        <v>277</v>
      </c>
    </row>
    <row r="29" spans="1:5" x14ac:dyDescent="0.25">
      <c r="A29" s="1067" t="s">
        <v>255</v>
      </c>
      <c r="B29" s="1067" t="s">
        <v>316</v>
      </c>
      <c r="C29" s="1067">
        <v>3546</v>
      </c>
      <c r="D29" s="1067">
        <v>175</v>
      </c>
      <c r="E29" s="1067">
        <v>3371</v>
      </c>
    </row>
    <row r="30" spans="1:5" x14ac:dyDescent="0.25">
      <c r="A30" s="1067" t="s">
        <v>254</v>
      </c>
      <c r="B30" s="1067" t="s">
        <v>2</v>
      </c>
      <c r="C30" s="1067">
        <v>207</v>
      </c>
      <c r="D30" s="1067">
        <v>172</v>
      </c>
      <c r="E30" s="1067">
        <v>35</v>
      </c>
    </row>
    <row r="31" spans="1:5" x14ac:dyDescent="0.25">
      <c r="A31" s="1067" t="s">
        <v>254</v>
      </c>
      <c r="B31" s="1067" t="s">
        <v>9</v>
      </c>
      <c r="C31" s="1067">
        <v>2935</v>
      </c>
      <c r="D31" s="1067">
        <v>201</v>
      </c>
      <c r="E31" s="1067">
        <v>2734</v>
      </c>
    </row>
    <row r="32" spans="1:5" x14ac:dyDescent="0.25">
      <c r="A32" s="1067" t="s">
        <v>254</v>
      </c>
      <c r="B32" s="1067" t="s">
        <v>852</v>
      </c>
      <c r="C32" s="1067">
        <v>18</v>
      </c>
      <c r="D32" s="1067">
        <v>1</v>
      </c>
      <c r="E32" s="1067">
        <v>17</v>
      </c>
    </row>
    <row r="33" spans="1:5" x14ac:dyDescent="0.25">
      <c r="A33" s="1067" t="s">
        <v>254</v>
      </c>
      <c r="B33" s="1067" t="s">
        <v>3</v>
      </c>
      <c r="C33" s="1067">
        <v>792</v>
      </c>
      <c r="D33" s="1067">
        <v>427</v>
      </c>
      <c r="E33" s="1067">
        <v>365</v>
      </c>
    </row>
    <row r="34" spans="1:5" x14ac:dyDescent="0.25">
      <c r="A34" s="1067" t="s">
        <v>254</v>
      </c>
      <c r="B34" s="1067" t="s">
        <v>315</v>
      </c>
      <c r="C34" s="1067">
        <v>317</v>
      </c>
      <c r="D34" s="1067">
        <v>54</v>
      </c>
      <c r="E34" s="1067">
        <v>263</v>
      </c>
    </row>
    <row r="35" spans="1:5" x14ac:dyDescent="0.25">
      <c r="A35" s="1067" t="s">
        <v>254</v>
      </c>
      <c r="B35" s="1067" t="s">
        <v>316</v>
      </c>
      <c r="C35" s="1067">
        <v>3637</v>
      </c>
      <c r="D35" s="1067">
        <v>196</v>
      </c>
      <c r="E35" s="1067">
        <v>3441</v>
      </c>
    </row>
    <row r="36" spans="1:5" x14ac:dyDescent="0.25">
      <c r="A36" s="1067" t="s">
        <v>851</v>
      </c>
      <c r="B36" s="1067" t="s">
        <v>2</v>
      </c>
      <c r="C36" s="1067">
        <v>188</v>
      </c>
      <c r="D36" s="1067">
        <v>156</v>
      </c>
      <c r="E36" s="1067">
        <v>32</v>
      </c>
    </row>
    <row r="37" spans="1:5" x14ac:dyDescent="0.25">
      <c r="A37" s="1067" t="s">
        <v>851</v>
      </c>
      <c r="B37" s="1067" t="s">
        <v>9</v>
      </c>
      <c r="C37" s="1067">
        <v>2937</v>
      </c>
      <c r="D37" s="1067">
        <v>208</v>
      </c>
      <c r="E37" s="1067">
        <v>2729</v>
      </c>
    </row>
    <row r="38" spans="1:5" x14ac:dyDescent="0.25">
      <c r="A38" s="1067" t="s">
        <v>851</v>
      </c>
      <c r="B38" s="1067" t="s">
        <v>852</v>
      </c>
      <c r="C38" s="1067">
        <v>36</v>
      </c>
      <c r="D38" s="1067">
        <v>7</v>
      </c>
      <c r="E38" s="1067">
        <v>29</v>
      </c>
    </row>
    <row r="39" spans="1:5" x14ac:dyDescent="0.25">
      <c r="A39" s="1067" t="s">
        <v>851</v>
      </c>
      <c r="B39" s="1067" t="s">
        <v>3</v>
      </c>
      <c r="C39" s="1067">
        <v>818</v>
      </c>
      <c r="D39" s="1067">
        <v>447</v>
      </c>
      <c r="E39" s="1067">
        <v>371</v>
      </c>
    </row>
    <row r="40" spans="1:5" x14ac:dyDescent="0.25">
      <c r="A40" s="1067" t="s">
        <v>851</v>
      </c>
      <c r="B40" s="1067" t="s">
        <v>315</v>
      </c>
      <c r="C40" s="1067">
        <v>315</v>
      </c>
      <c r="D40" s="1067">
        <v>54</v>
      </c>
      <c r="E40" s="1067">
        <v>261</v>
      </c>
    </row>
    <row r="41" spans="1:5" x14ac:dyDescent="0.25">
      <c r="A41" s="1067" t="s">
        <v>851</v>
      </c>
      <c r="B41" s="1067" t="s">
        <v>316</v>
      </c>
      <c r="C41" s="1067">
        <v>3636</v>
      </c>
      <c r="D41" s="1067">
        <v>222</v>
      </c>
      <c r="E41" s="1067">
        <v>3414</v>
      </c>
    </row>
  </sheetData>
  <sheetProtection algorithmName="SHA-512" hashValue="yVeTdm/tAuwlpgQbZ1Km4+qc42LEUEOdUY1J5UGjqAWOoEcTYSF30hHXn7KR5B19tGlDuktD6weQRrVfWcONgA==" saltValue="FpKZkEEoL/mbpa7H+BdQEQ=="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6"/>
  <sheetViews>
    <sheetView showGridLines="0" workbookViewId="0">
      <pane ySplit="2" topLeftCell="A3" activePane="bottomLeft" state="frozen"/>
      <selection pane="bottomLeft" sqref="A1:C1"/>
    </sheetView>
  </sheetViews>
  <sheetFormatPr defaultRowHeight="15" x14ac:dyDescent="0.25"/>
  <sheetData>
    <row r="1" spans="1:8" ht="15.75" x14ac:dyDescent="0.25">
      <c r="A1" s="1077" t="s">
        <v>590</v>
      </c>
      <c r="B1" s="1077"/>
      <c r="C1" s="1077"/>
    </row>
    <row r="2" spans="1:8" ht="15.75" x14ac:dyDescent="0.25">
      <c r="A2" s="772" t="s">
        <v>578</v>
      </c>
      <c r="B2" s="774"/>
      <c r="C2" s="774"/>
    </row>
    <row r="4" spans="1:8" ht="15.75" x14ac:dyDescent="0.25">
      <c r="A4" s="1087" t="s">
        <v>592</v>
      </c>
      <c r="B4" s="1087"/>
      <c r="C4" s="1087"/>
      <c r="D4" s="1087"/>
      <c r="E4" s="1087"/>
      <c r="F4" s="1087"/>
      <c r="G4" s="1087"/>
      <c r="H4" s="1087"/>
    </row>
    <row r="5" spans="1:8" x14ac:dyDescent="0.25">
      <c r="A5" s="944" t="s">
        <v>798</v>
      </c>
    </row>
    <row r="6" spans="1:8" x14ac:dyDescent="0.25">
      <c r="A6" s="944" t="s">
        <v>720</v>
      </c>
    </row>
  </sheetData>
  <sheetProtection algorithmName="SHA-512" hashValue="q4xR6DBS4y9so8C4eFYjsQFyX1OEZtnYawOkqlOF5x0351uiAlJEoM1icX/P5BaSmbO0OCCaovXxQI1f4KaJ8Q==" saltValue="5PPzjQBFKZOoH5nAgYB5kw=="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0"/>
  <sheetViews>
    <sheetView zoomScale="85" zoomScaleNormal="85" workbookViewId="0">
      <pane ySplit="4" topLeftCell="A5" activePane="bottomLeft" state="frozen"/>
      <selection pane="bottomLeft"/>
    </sheetView>
  </sheetViews>
  <sheetFormatPr defaultRowHeight="15" x14ac:dyDescent="0.25"/>
  <sheetData>
    <row r="1" spans="1:6" ht="15.75" x14ac:dyDescent="0.25">
      <c r="A1" s="981" t="s">
        <v>1220</v>
      </c>
    </row>
    <row r="2" spans="1:6" x14ac:dyDescent="0.25">
      <c r="A2" s="1139">
        <v>44071</v>
      </c>
      <c r="B2" s="1140"/>
    </row>
    <row r="4" spans="1:6" x14ac:dyDescent="0.25">
      <c r="A4" s="1066" t="s">
        <v>270</v>
      </c>
      <c r="B4" s="1066" t="s">
        <v>1086</v>
      </c>
      <c r="C4" s="1066" t="s">
        <v>1217</v>
      </c>
      <c r="D4" s="1066" t="s">
        <v>26</v>
      </c>
      <c r="E4" s="1066" t="s">
        <v>92</v>
      </c>
      <c r="F4" s="1066" t="s">
        <v>93</v>
      </c>
    </row>
    <row r="5" spans="1:6" x14ac:dyDescent="0.25">
      <c r="A5" s="1067" t="s">
        <v>204</v>
      </c>
      <c r="B5" s="1067" t="s">
        <v>2</v>
      </c>
      <c r="C5" s="1067" t="s">
        <v>22</v>
      </c>
      <c r="D5" s="1067">
        <v>51.01</v>
      </c>
      <c r="E5" s="1067">
        <v>45.01</v>
      </c>
      <c r="F5" s="1067">
        <v>6</v>
      </c>
    </row>
    <row r="6" spans="1:6" x14ac:dyDescent="0.25">
      <c r="A6" s="1067" t="s">
        <v>204</v>
      </c>
      <c r="B6" s="1067" t="s">
        <v>2</v>
      </c>
      <c r="C6" s="1067" t="s">
        <v>23</v>
      </c>
      <c r="D6" s="1067">
        <v>94.39</v>
      </c>
      <c r="E6" s="1067">
        <v>85.39</v>
      </c>
      <c r="F6" s="1067">
        <v>9</v>
      </c>
    </row>
    <row r="7" spans="1:6" x14ac:dyDescent="0.25">
      <c r="A7" s="1067" t="s">
        <v>204</v>
      </c>
      <c r="B7" s="1067" t="s">
        <v>2</v>
      </c>
      <c r="C7" s="1067" t="s">
        <v>19</v>
      </c>
      <c r="D7" s="1067">
        <v>5</v>
      </c>
      <c r="E7" s="1067">
        <v>4</v>
      </c>
      <c r="F7" s="1067">
        <v>1</v>
      </c>
    </row>
    <row r="8" spans="1:6" x14ac:dyDescent="0.25">
      <c r="A8" s="1067" t="s">
        <v>204</v>
      </c>
      <c r="B8" s="1067" t="s">
        <v>2</v>
      </c>
      <c r="C8" s="1067" t="s">
        <v>20</v>
      </c>
      <c r="D8" s="1067">
        <v>11</v>
      </c>
      <c r="E8" s="1067">
        <v>9</v>
      </c>
      <c r="F8" s="1067">
        <v>2</v>
      </c>
    </row>
    <row r="9" spans="1:6" x14ac:dyDescent="0.25">
      <c r="A9" s="1067" t="s">
        <v>204</v>
      </c>
      <c r="B9" s="1067" t="s">
        <v>2</v>
      </c>
      <c r="C9" s="1067" t="s">
        <v>21</v>
      </c>
      <c r="D9" s="1067">
        <v>51.56</v>
      </c>
      <c r="E9" s="1067">
        <v>45.56</v>
      </c>
      <c r="F9" s="1067">
        <v>6</v>
      </c>
    </row>
    <row r="10" spans="1:6" x14ac:dyDescent="0.25">
      <c r="A10" s="1067" t="s">
        <v>204</v>
      </c>
      <c r="B10" s="1067" t="s">
        <v>9</v>
      </c>
      <c r="C10" s="1067" t="s">
        <v>22</v>
      </c>
      <c r="D10" s="1067">
        <v>489.46</v>
      </c>
      <c r="E10" s="1067">
        <v>17.760000000000002</v>
      </c>
      <c r="F10" s="1067">
        <v>471.7</v>
      </c>
    </row>
    <row r="11" spans="1:6" x14ac:dyDescent="0.25">
      <c r="A11" s="1067" t="s">
        <v>204</v>
      </c>
      <c r="B11" s="1067" t="s">
        <v>9</v>
      </c>
      <c r="C11" s="1067" t="s">
        <v>23</v>
      </c>
      <c r="D11" s="1067">
        <v>1913.55</v>
      </c>
      <c r="E11" s="1067">
        <v>132.88999999999999</v>
      </c>
      <c r="F11" s="1067">
        <v>1780.66</v>
      </c>
    </row>
    <row r="12" spans="1:6" x14ac:dyDescent="0.25">
      <c r="A12" s="1067" t="s">
        <v>204</v>
      </c>
      <c r="B12" s="1067" t="s">
        <v>9</v>
      </c>
      <c r="C12" s="1067" t="s">
        <v>21</v>
      </c>
      <c r="D12" s="1067">
        <v>262.12</v>
      </c>
      <c r="E12" s="1067">
        <v>10</v>
      </c>
      <c r="F12" s="1067">
        <v>252.12</v>
      </c>
    </row>
    <row r="13" spans="1:6" x14ac:dyDescent="0.25">
      <c r="A13" s="1067" t="s">
        <v>204</v>
      </c>
      <c r="B13" s="1067" t="s">
        <v>3</v>
      </c>
      <c r="C13" s="1067" t="s">
        <v>98</v>
      </c>
      <c r="D13" s="1067">
        <v>223.6</v>
      </c>
      <c r="E13" s="1067">
        <v>197.5</v>
      </c>
      <c r="F13" s="1067">
        <v>26.1</v>
      </c>
    </row>
    <row r="14" spans="1:6" x14ac:dyDescent="0.25">
      <c r="A14" s="1067" t="s">
        <v>204</v>
      </c>
      <c r="B14" s="1067" t="s">
        <v>3</v>
      </c>
      <c r="C14" s="1067" t="s">
        <v>210</v>
      </c>
      <c r="D14" s="1067"/>
      <c r="E14" s="1067"/>
      <c r="F14" s="1067"/>
    </row>
    <row r="15" spans="1:6" x14ac:dyDescent="0.25">
      <c r="A15" s="1067" t="s">
        <v>204</v>
      </c>
      <c r="B15" s="1067" t="s">
        <v>3</v>
      </c>
      <c r="C15" s="1067" t="s">
        <v>83</v>
      </c>
      <c r="D15" s="1067">
        <v>42.3</v>
      </c>
      <c r="E15" s="1067">
        <v>25.7</v>
      </c>
      <c r="F15" s="1067">
        <v>16.600000000000001</v>
      </c>
    </row>
    <row r="16" spans="1:6" x14ac:dyDescent="0.25">
      <c r="A16" s="1067" t="s">
        <v>204</v>
      </c>
      <c r="B16" s="1067" t="s">
        <v>3</v>
      </c>
      <c r="C16" s="1067" t="s">
        <v>81</v>
      </c>
      <c r="D16" s="1067">
        <v>69.7</v>
      </c>
      <c r="E16" s="1067">
        <v>31.7</v>
      </c>
      <c r="F16" s="1067">
        <v>38</v>
      </c>
    </row>
    <row r="17" spans="1:6" x14ac:dyDescent="0.25">
      <c r="A17" s="1067" t="s">
        <v>204</v>
      </c>
      <c r="B17" s="1067" t="s">
        <v>3</v>
      </c>
      <c r="C17" s="1067" t="s">
        <v>317</v>
      </c>
      <c r="D17" s="1067">
        <v>256.39999999999998</v>
      </c>
      <c r="E17" s="1067">
        <v>39.200000000000003</v>
      </c>
      <c r="F17" s="1067">
        <v>217.2</v>
      </c>
    </row>
    <row r="18" spans="1:6" x14ac:dyDescent="0.25">
      <c r="A18" s="1067" t="s">
        <v>204</v>
      </c>
      <c r="B18" s="1067" t="s">
        <v>3</v>
      </c>
      <c r="C18" s="1067" t="s">
        <v>87</v>
      </c>
      <c r="D18" s="1067">
        <v>19.8</v>
      </c>
      <c r="E18" s="1067">
        <v>6.8</v>
      </c>
      <c r="F18" s="1067">
        <v>13</v>
      </c>
    </row>
    <row r="19" spans="1:6" x14ac:dyDescent="0.25">
      <c r="A19" s="1067" t="s">
        <v>204</v>
      </c>
      <c r="B19" s="1067" t="s">
        <v>3</v>
      </c>
      <c r="C19" s="1067" t="s">
        <v>318</v>
      </c>
      <c r="D19" s="1067">
        <v>199.5</v>
      </c>
      <c r="E19" s="1067">
        <v>119.8</v>
      </c>
      <c r="F19" s="1067">
        <v>79.7</v>
      </c>
    </row>
    <row r="20" spans="1:6" x14ac:dyDescent="0.25">
      <c r="A20" s="1067" t="s">
        <v>204</v>
      </c>
      <c r="B20" s="1067" t="s">
        <v>316</v>
      </c>
      <c r="C20" s="1067" t="s">
        <v>18</v>
      </c>
      <c r="D20" s="1067">
        <v>28</v>
      </c>
      <c r="E20" s="1067"/>
      <c r="F20" s="1067">
        <v>28</v>
      </c>
    </row>
    <row r="21" spans="1:6" x14ac:dyDescent="0.25">
      <c r="A21" s="1067" t="s">
        <v>204</v>
      </c>
      <c r="B21" s="1067" t="s">
        <v>316</v>
      </c>
      <c r="C21" s="1067" t="s">
        <v>209</v>
      </c>
      <c r="D21" s="1067">
        <v>9</v>
      </c>
      <c r="E21" s="1067"/>
      <c r="F21" s="1067">
        <v>9</v>
      </c>
    </row>
    <row r="22" spans="1:6" x14ac:dyDescent="0.25">
      <c r="A22" s="1067" t="s">
        <v>204</v>
      </c>
      <c r="B22" s="1067" t="s">
        <v>316</v>
      </c>
      <c r="C22" s="1067" t="s">
        <v>22</v>
      </c>
      <c r="D22" s="1067">
        <v>660</v>
      </c>
      <c r="E22" s="1067">
        <v>26</v>
      </c>
      <c r="F22" s="1067">
        <v>634</v>
      </c>
    </row>
    <row r="23" spans="1:6" x14ac:dyDescent="0.25">
      <c r="A23" s="1067" t="s">
        <v>204</v>
      </c>
      <c r="B23" s="1067" t="s">
        <v>316</v>
      </c>
      <c r="C23" s="1067" t="s">
        <v>23</v>
      </c>
      <c r="D23" s="1067">
        <v>2373.7600000000002</v>
      </c>
      <c r="E23" s="1067">
        <v>106</v>
      </c>
      <c r="F23" s="1067">
        <v>2267.7600000000002</v>
      </c>
    </row>
    <row r="24" spans="1:6" x14ac:dyDescent="0.25">
      <c r="A24" s="1067" t="s">
        <v>204</v>
      </c>
      <c r="B24" s="1067" t="s">
        <v>316</v>
      </c>
      <c r="C24" s="1067" t="s">
        <v>19</v>
      </c>
      <c r="D24" s="1067">
        <v>115</v>
      </c>
      <c r="E24" s="1067">
        <v>3</v>
      </c>
      <c r="F24" s="1067">
        <v>112</v>
      </c>
    </row>
    <row r="25" spans="1:6" x14ac:dyDescent="0.25">
      <c r="A25" s="1067" t="s">
        <v>204</v>
      </c>
      <c r="B25" s="1067" t="s">
        <v>316</v>
      </c>
      <c r="C25" s="1067" t="s">
        <v>20</v>
      </c>
      <c r="D25" s="1067">
        <v>136</v>
      </c>
      <c r="E25" s="1067">
        <v>2</v>
      </c>
      <c r="F25" s="1067">
        <v>134</v>
      </c>
    </row>
    <row r="26" spans="1:6" x14ac:dyDescent="0.25">
      <c r="A26" s="1067" t="s">
        <v>204</v>
      </c>
      <c r="B26" s="1067" t="s">
        <v>316</v>
      </c>
      <c r="C26" s="1067" t="s">
        <v>21</v>
      </c>
      <c r="D26" s="1067">
        <v>679</v>
      </c>
      <c r="E26" s="1067">
        <v>22</v>
      </c>
      <c r="F26" s="1067">
        <v>657</v>
      </c>
    </row>
    <row r="27" spans="1:6" x14ac:dyDescent="0.25">
      <c r="A27" s="1067" t="s">
        <v>203</v>
      </c>
      <c r="B27" s="1067" t="s">
        <v>2</v>
      </c>
      <c r="C27" s="1067" t="s">
        <v>22</v>
      </c>
      <c r="D27" s="1067">
        <v>50.79</v>
      </c>
      <c r="E27" s="1067">
        <v>42.79</v>
      </c>
      <c r="F27" s="1067">
        <v>8</v>
      </c>
    </row>
    <row r="28" spans="1:6" x14ac:dyDescent="0.25">
      <c r="A28" s="1067" t="s">
        <v>203</v>
      </c>
      <c r="B28" s="1067" t="s">
        <v>2</v>
      </c>
      <c r="C28" s="1067" t="s">
        <v>23</v>
      </c>
      <c r="D28" s="1067">
        <v>102.69</v>
      </c>
      <c r="E28" s="1067">
        <v>81.69</v>
      </c>
      <c r="F28" s="1067">
        <v>21</v>
      </c>
    </row>
    <row r="29" spans="1:6" x14ac:dyDescent="0.25">
      <c r="A29" s="1067" t="s">
        <v>203</v>
      </c>
      <c r="B29" s="1067" t="s">
        <v>2</v>
      </c>
      <c r="C29" s="1067" t="s">
        <v>19</v>
      </c>
      <c r="D29" s="1067">
        <v>5</v>
      </c>
      <c r="E29" s="1067">
        <v>4</v>
      </c>
      <c r="F29" s="1067">
        <v>1</v>
      </c>
    </row>
    <row r="30" spans="1:6" x14ac:dyDescent="0.25">
      <c r="A30" s="1067" t="s">
        <v>203</v>
      </c>
      <c r="B30" s="1067" t="s">
        <v>2</v>
      </c>
      <c r="C30" s="1067" t="s">
        <v>20</v>
      </c>
      <c r="D30" s="1067">
        <v>12.85</v>
      </c>
      <c r="E30" s="1067">
        <v>10.85</v>
      </c>
      <c r="F30" s="1067">
        <v>2</v>
      </c>
    </row>
    <row r="31" spans="1:6" x14ac:dyDescent="0.25">
      <c r="A31" s="1067" t="s">
        <v>203</v>
      </c>
      <c r="B31" s="1067" t="s">
        <v>2</v>
      </c>
      <c r="C31" s="1067" t="s">
        <v>21</v>
      </c>
      <c r="D31" s="1067">
        <v>49.46</v>
      </c>
      <c r="E31" s="1067">
        <v>43.46</v>
      </c>
      <c r="F31" s="1067">
        <v>6</v>
      </c>
    </row>
    <row r="32" spans="1:6" x14ac:dyDescent="0.25">
      <c r="A32" s="1067" t="s">
        <v>203</v>
      </c>
      <c r="B32" s="1067" t="s">
        <v>9</v>
      </c>
      <c r="C32" s="1067" t="s">
        <v>22</v>
      </c>
      <c r="D32" s="1067">
        <v>498</v>
      </c>
      <c r="E32" s="1067">
        <v>16.5</v>
      </c>
      <c r="F32" s="1067">
        <v>481.5</v>
      </c>
    </row>
    <row r="33" spans="1:6" x14ac:dyDescent="0.25">
      <c r="A33" s="1067" t="s">
        <v>203</v>
      </c>
      <c r="B33" s="1067" t="s">
        <v>9</v>
      </c>
      <c r="C33" s="1067" t="s">
        <v>23</v>
      </c>
      <c r="D33" s="1067">
        <v>1906.75</v>
      </c>
      <c r="E33" s="1067">
        <v>128.25</v>
      </c>
      <c r="F33" s="1067">
        <v>1778.5</v>
      </c>
    </row>
    <row r="34" spans="1:6" x14ac:dyDescent="0.25">
      <c r="A34" s="1067" t="s">
        <v>203</v>
      </c>
      <c r="B34" s="1067" t="s">
        <v>9</v>
      </c>
      <c r="C34" s="1067" t="s">
        <v>21</v>
      </c>
      <c r="D34" s="1067">
        <v>263.75</v>
      </c>
      <c r="E34" s="1067">
        <v>12</v>
      </c>
      <c r="F34" s="1067">
        <v>251.75</v>
      </c>
    </row>
    <row r="35" spans="1:6" x14ac:dyDescent="0.25">
      <c r="A35" s="1067" t="s">
        <v>203</v>
      </c>
      <c r="B35" s="1067" t="s">
        <v>3</v>
      </c>
      <c r="C35" s="1067" t="s">
        <v>98</v>
      </c>
      <c r="D35" s="1067">
        <v>151.38999999999999</v>
      </c>
      <c r="E35" s="1067">
        <v>135.18</v>
      </c>
      <c r="F35" s="1067">
        <v>16.21</v>
      </c>
    </row>
    <row r="36" spans="1:6" x14ac:dyDescent="0.25">
      <c r="A36" s="1067" t="s">
        <v>203</v>
      </c>
      <c r="B36" s="1067" t="s">
        <v>3</v>
      </c>
      <c r="C36" s="1067" t="s">
        <v>210</v>
      </c>
      <c r="D36" s="1067">
        <v>2</v>
      </c>
      <c r="E36" s="1067">
        <v>2</v>
      </c>
      <c r="F36" s="1067">
        <v>0</v>
      </c>
    </row>
    <row r="37" spans="1:6" x14ac:dyDescent="0.25">
      <c r="A37" s="1067" t="s">
        <v>203</v>
      </c>
      <c r="B37" s="1067" t="s">
        <v>3</v>
      </c>
      <c r="C37" s="1067" t="s">
        <v>83</v>
      </c>
      <c r="D37" s="1067">
        <v>55.47</v>
      </c>
      <c r="E37" s="1067">
        <v>36.869999999999997</v>
      </c>
      <c r="F37" s="1067">
        <v>18.600000000000001</v>
      </c>
    </row>
    <row r="38" spans="1:6" x14ac:dyDescent="0.25">
      <c r="A38" s="1067" t="s">
        <v>203</v>
      </c>
      <c r="B38" s="1067" t="s">
        <v>3</v>
      </c>
      <c r="C38" s="1067" t="s">
        <v>81</v>
      </c>
      <c r="D38" s="1067">
        <v>45.99</v>
      </c>
      <c r="E38" s="1067">
        <v>22.99</v>
      </c>
      <c r="F38" s="1067">
        <v>23</v>
      </c>
    </row>
    <row r="39" spans="1:6" x14ac:dyDescent="0.25">
      <c r="A39" s="1067" t="s">
        <v>203</v>
      </c>
      <c r="B39" s="1067" t="s">
        <v>3</v>
      </c>
      <c r="C39" s="1067" t="s">
        <v>317</v>
      </c>
      <c r="D39" s="1067">
        <v>325.23</v>
      </c>
      <c r="E39" s="1067">
        <v>94.63</v>
      </c>
      <c r="F39" s="1067">
        <v>230.6</v>
      </c>
    </row>
    <row r="40" spans="1:6" x14ac:dyDescent="0.25">
      <c r="A40" s="1067" t="s">
        <v>203</v>
      </c>
      <c r="B40" s="1067" t="s">
        <v>3</v>
      </c>
      <c r="C40" s="1067" t="s">
        <v>87</v>
      </c>
      <c r="D40" s="1067">
        <v>36.9</v>
      </c>
      <c r="E40" s="1067">
        <v>19.899999999999999</v>
      </c>
      <c r="F40" s="1067">
        <v>17</v>
      </c>
    </row>
    <row r="41" spans="1:6" x14ac:dyDescent="0.25">
      <c r="A41" s="1067" t="s">
        <v>203</v>
      </c>
      <c r="B41" s="1067" t="s">
        <v>3</v>
      </c>
      <c r="C41" s="1067" t="s">
        <v>318</v>
      </c>
      <c r="D41" s="1067">
        <v>128.97999999999999</v>
      </c>
      <c r="E41" s="1067">
        <v>65.05</v>
      </c>
      <c r="F41" s="1067">
        <v>63.93</v>
      </c>
    </row>
    <row r="42" spans="1:6" x14ac:dyDescent="0.25">
      <c r="A42" s="1067" t="s">
        <v>203</v>
      </c>
      <c r="B42" s="1067" t="s">
        <v>316</v>
      </c>
      <c r="C42" s="1067" t="s">
        <v>18</v>
      </c>
      <c r="D42" s="1067">
        <v>33</v>
      </c>
      <c r="E42" s="1067"/>
      <c r="F42" s="1067">
        <v>33</v>
      </c>
    </row>
    <row r="43" spans="1:6" x14ac:dyDescent="0.25">
      <c r="A43" s="1067" t="s">
        <v>203</v>
      </c>
      <c r="B43" s="1067" t="s">
        <v>316</v>
      </c>
      <c r="C43" s="1067" t="s">
        <v>209</v>
      </c>
      <c r="D43" s="1067">
        <v>7</v>
      </c>
      <c r="E43" s="1067"/>
      <c r="F43" s="1067">
        <v>7</v>
      </c>
    </row>
    <row r="44" spans="1:6" x14ac:dyDescent="0.25">
      <c r="A44" s="1067" t="s">
        <v>203</v>
      </c>
      <c r="B44" s="1067" t="s">
        <v>316</v>
      </c>
      <c r="C44" s="1067" t="s">
        <v>22</v>
      </c>
      <c r="D44" s="1067">
        <v>634</v>
      </c>
      <c r="E44" s="1067">
        <v>24</v>
      </c>
      <c r="F44" s="1067">
        <v>610</v>
      </c>
    </row>
    <row r="45" spans="1:6" x14ac:dyDescent="0.25">
      <c r="A45" s="1067" t="s">
        <v>203</v>
      </c>
      <c r="B45" s="1067" t="s">
        <v>316</v>
      </c>
      <c r="C45" s="1067" t="s">
        <v>23</v>
      </c>
      <c r="D45" s="1067">
        <v>2285</v>
      </c>
      <c r="E45" s="1067">
        <v>109</v>
      </c>
      <c r="F45" s="1067">
        <v>2176</v>
      </c>
    </row>
    <row r="46" spans="1:6" x14ac:dyDescent="0.25">
      <c r="A46" s="1067" t="s">
        <v>203</v>
      </c>
      <c r="B46" s="1067" t="s">
        <v>316</v>
      </c>
      <c r="C46" s="1067" t="s">
        <v>19</v>
      </c>
      <c r="D46" s="1067">
        <v>103</v>
      </c>
      <c r="E46" s="1067">
        <v>3</v>
      </c>
      <c r="F46" s="1067">
        <v>100</v>
      </c>
    </row>
    <row r="47" spans="1:6" x14ac:dyDescent="0.25">
      <c r="A47" s="1067" t="s">
        <v>203</v>
      </c>
      <c r="B47" s="1067" t="s">
        <v>316</v>
      </c>
      <c r="C47" s="1067" t="s">
        <v>20</v>
      </c>
      <c r="D47" s="1067">
        <v>130</v>
      </c>
      <c r="E47" s="1067">
        <v>1</v>
      </c>
      <c r="F47" s="1067">
        <v>129</v>
      </c>
    </row>
    <row r="48" spans="1:6" x14ac:dyDescent="0.25">
      <c r="A48" s="1067" t="s">
        <v>203</v>
      </c>
      <c r="B48" s="1067" t="s">
        <v>316</v>
      </c>
      <c r="C48" s="1067" t="s">
        <v>21</v>
      </c>
      <c r="D48" s="1067">
        <v>664</v>
      </c>
      <c r="E48" s="1067">
        <v>27</v>
      </c>
      <c r="F48" s="1067">
        <v>637</v>
      </c>
    </row>
    <row r="49" spans="1:6" x14ac:dyDescent="0.25">
      <c r="A49" s="1067" t="s">
        <v>202</v>
      </c>
      <c r="B49" s="1067" t="s">
        <v>2</v>
      </c>
      <c r="C49" s="1067" t="s">
        <v>22</v>
      </c>
      <c r="D49" s="1067">
        <v>43</v>
      </c>
      <c r="E49" s="1067">
        <v>38</v>
      </c>
      <c r="F49" s="1067">
        <v>5</v>
      </c>
    </row>
    <row r="50" spans="1:6" x14ac:dyDescent="0.25">
      <c r="A50" s="1067" t="s">
        <v>202</v>
      </c>
      <c r="B50" s="1067" t="s">
        <v>2</v>
      </c>
      <c r="C50" s="1067" t="s">
        <v>23</v>
      </c>
      <c r="D50" s="1067">
        <v>89.02</v>
      </c>
      <c r="E50" s="1067">
        <v>71.02</v>
      </c>
      <c r="F50" s="1067">
        <v>18</v>
      </c>
    </row>
    <row r="51" spans="1:6" x14ac:dyDescent="0.25">
      <c r="A51" s="1067" t="s">
        <v>202</v>
      </c>
      <c r="B51" s="1067" t="s">
        <v>2</v>
      </c>
      <c r="C51" s="1067" t="s">
        <v>19</v>
      </c>
      <c r="D51" s="1067">
        <v>6</v>
      </c>
      <c r="E51" s="1067">
        <v>4</v>
      </c>
      <c r="F51" s="1067">
        <v>2</v>
      </c>
    </row>
    <row r="52" spans="1:6" x14ac:dyDescent="0.25">
      <c r="A52" s="1067" t="s">
        <v>202</v>
      </c>
      <c r="B52" s="1067" t="s">
        <v>2</v>
      </c>
      <c r="C52" s="1067" t="s">
        <v>20</v>
      </c>
      <c r="D52" s="1067">
        <v>6.83</v>
      </c>
      <c r="E52" s="1067">
        <v>6.83</v>
      </c>
      <c r="F52" s="1067"/>
    </row>
    <row r="53" spans="1:6" x14ac:dyDescent="0.25">
      <c r="A53" s="1067" t="s">
        <v>202</v>
      </c>
      <c r="B53" s="1067" t="s">
        <v>2</v>
      </c>
      <c r="C53" s="1067" t="s">
        <v>21</v>
      </c>
      <c r="D53" s="1067">
        <v>50.31</v>
      </c>
      <c r="E53" s="1067">
        <v>43.31</v>
      </c>
      <c r="F53" s="1067">
        <v>7</v>
      </c>
    </row>
    <row r="54" spans="1:6" x14ac:dyDescent="0.25">
      <c r="A54" s="1067" t="s">
        <v>202</v>
      </c>
      <c r="B54" s="1067" t="s">
        <v>9</v>
      </c>
      <c r="C54" s="1067" t="s">
        <v>22</v>
      </c>
      <c r="D54" s="1067">
        <v>486.18</v>
      </c>
      <c r="E54" s="1067">
        <v>16.75</v>
      </c>
      <c r="F54" s="1067">
        <v>469.43</v>
      </c>
    </row>
    <row r="55" spans="1:6" x14ac:dyDescent="0.25">
      <c r="A55" s="1067" t="s">
        <v>202</v>
      </c>
      <c r="B55" s="1067" t="s">
        <v>9</v>
      </c>
      <c r="C55" s="1067" t="s">
        <v>23</v>
      </c>
      <c r="D55" s="1067">
        <v>1792.83</v>
      </c>
      <c r="E55" s="1067">
        <v>116.4</v>
      </c>
      <c r="F55" s="1067">
        <v>1676.43</v>
      </c>
    </row>
    <row r="56" spans="1:6" x14ac:dyDescent="0.25">
      <c r="A56" s="1067" t="s">
        <v>202</v>
      </c>
      <c r="B56" s="1067" t="s">
        <v>9</v>
      </c>
      <c r="C56" s="1067" t="s">
        <v>21</v>
      </c>
      <c r="D56" s="1067">
        <v>247.75</v>
      </c>
      <c r="E56" s="1067">
        <v>14</v>
      </c>
      <c r="F56" s="1067">
        <v>233.75</v>
      </c>
    </row>
    <row r="57" spans="1:6" x14ac:dyDescent="0.25">
      <c r="A57" s="1067" t="s">
        <v>202</v>
      </c>
      <c r="B57" s="1067" t="s">
        <v>3</v>
      </c>
      <c r="C57" s="1067" t="s">
        <v>98</v>
      </c>
      <c r="D57" s="1067">
        <v>145.72999999999999</v>
      </c>
      <c r="E57" s="1067">
        <v>128.96</v>
      </c>
      <c r="F57" s="1067">
        <v>16.77</v>
      </c>
    </row>
    <row r="58" spans="1:6" x14ac:dyDescent="0.25">
      <c r="A58" s="1067" t="s">
        <v>202</v>
      </c>
      <c r="B58" s="1067" t="s">
        <v>3</v>
      </c>
      <c r="C58" s="1067" t="s">
        <v>210</v>
      </c>
      <c r="D58" s="1067">
        <v>3</v>
      </c>
      <c r="E58" s="1067">
        <v>2</v>
      </c>
      <c r="F58" s="1067">
        <v>1</v>
      </c>
    </row>
    <row r="59" spans="1:6" x14ac:dyDescent="0.25">
      <c r="A59" s="1067" t="s">
        <v>202</v>
      </c>
      <c r="B59" s="1067" t="s">
        <v>3</v>
      </c>
      <c r="C59" s="1067" t="s">
        <v>83</v>
      </c>
      <c r="D59" s="1067">
        <v>70.709999999999994</v>
      </c>
      <c r="E59" s="1067">
        <v>53.71</v>
      </c>
      <c r="F59" s="1067">
        <v>17</v>
      </c>
    </row>
    <row r="60" spans="1:6" x14ac:dyDescent="0.25">
      <c r="A60" s="1067" t="s">
        <v>202</v>
      </c>
      <c r="B60" s="1067" t="s">
        <v>3</v>
      </c>
      <c r="C60" s="1067" t="s">
        <v>81</v>
      </c>
      <c r="D60" s="1067">
        <v>40</v>
      </c>
      <c r="E60" s="1067">
        <v>15</v>
      </c>
      <c r="F60" s="1067">
        <v>25</v>
      </c>
    </row>
    <row r="61" spans="1:6" x14ac:dyDescent="0.25">
      <c r="A61" s="1067" t="s">
        <v>202</v>
      </c>
      <c r="B61" s="1067" t="s">
        <v>3</v>
      </c>
      <c r="C61" s="1067" t="s">
        <v>317</v>
      </c>
      <c r="D61" s="1067">
        <v>303.61</v>
      </c>
      <c r="E61" s="1067">
        <v>95.92</v>
      </c>
      <c r="F61" s="1067">
        <v>207.69</v>
      </c>
    </row>
    <row r="62" spans="1:6" x14ac:dyDescent="0.25">
      <c r="A62" s="1067" t="s">
        <v>202</v>
      </c>
      <c r="B62" s="1067" t="s">
        <v>3</v>
      </c>
      <c r="C62" s="1067" t="s">
        <v>87</v>
      </c>
      <c r="D62" s="1067">
        <v>33.31</v>
      </c>
      <c r="E62" s="1067">
        <v>17.309999999999999</v>
      </c>
      <c r="F62" s="1067">
        <v>16</v>
      </c>
    </row>
    <row r="63" spans="1:6" x14ac:dyDescent="0.25">
      <c r="A63" s="1067" t="s">
        <v>202</v>
      </c>
      <c r="B63" s="1067" t="s">
        <v>3</v>
      </c>
      <c r="C63" s="1067" t="s">
        <v>318</v>
      </c>
      <c r="D63" s="1067">
        <v>122.2</v>
      </c>
      <c r="E63" s="1067">
        <v>57.2</v>
      </c>
      <c r="F63" s="1067">
        <v>65</v>
      </c>
    </row>
    <row r="64" spans="1:6" x14ac:dyDescent="0.25">
      <c r="A64" s="1067" t="s">
        <v>202</v>
      </c>
      <c r="B64" s="1067" t="s">
        <v>316</v>
      </c>
      <c r="C64" s="1067" t="s">
        <v>18</v>
      </c>
      <c r="D64" s="1067">
        <v>35</v>
      </c>
      <c r="E64" s="1067">
        <v>0</v>
      </c>
      <c r="F64" s="1067">
        <v>35</v>
      </c>
    </row>
    <row r="65" spans="1:6" x14ac:dyDescent="0.25">
      <c r="A65" s="1067" t="s">
        <v>202</v>
      </c>
      <c r="B65" s="1067" t="s">
        <v>316</v>
      </c>
      <c r="C65" s="1067" t="s">
        <v>209</v>
      </c>
      <c r="D65" s="1067">
        <v>4</v>
      </c>
      <c r="E65" s="1067">
        <v>0</v>
      </c>
      <c r="F65" s="1067">
        <v>4</v>
      </c>
    </row>
    <row r="66" spans="1:6" x14ac:dyDescent="0.25">
      <c r="A66" s="1067" t="s">
        <v>202</v>
      </c>
      <c r="B66" s="1067" t="s">
        <v>316</v>
      </c>
      <c r="C66" s="1067" t="s">
        <v>22</v>
      </c>
      <c r="D66" s="1067">
        <v>598.35</v>
      </c>
      <c r="E66" s="1067">
        <v>27</v>
      </c>
      <c r="F66" s="1067">
        <v>571.35</v>
      </c>
    </row>
    <row r="67" spans="1:6" x14ac:dyDescent="0.25">
      <c r="A67" s="1067" t="s">
        <v>202</v>
      </c>
      <c r="B67" s="1067" t="s">
        <v>316</v>
      </c>
      <c r="C67" s="1067" t="s">
        <v>23</v>
      </c>
      <c r="D67" s="1067">
        <v>2250.79</v>
      </c>
      <c r="E67" s="1067">
        <v>112.89</v>
      </c>
      <c r="F67" s="1067">
        <v>2137.9</v>
      </c>
    </row>
    <row r="68" spans="1:6" x14ac:dyDescent="0.25">
      <c r="A68" s="1067" t="s">
        <v>202</v>
      </c>
      <c r="B68" s="1067" t="s">
        <v>316</v>
      </c>
      <c r="C68" s="1067" t="s">
        <v>19</v>
      </c>
      <c r="D68" s="1067">
        <v>90</v>
      </c>
      <c r="E68" s="1067">
        <v>3</v>
      </c>
      <c r="F68" s="1067">
        <v>87</v>
      </c>
    </row>
    <row r="69" spans="1:6" x14ac:dyDescent="0.25">
      <c r="A69" s="1067" t="s">
        <v>202</v>
      </c>
      <c r="B69" s="1067" t="s">
        <v>316</v>
      </c>
      <c r="C69" s="1067" t="s">
        <v>20</v>
      </c>
      <c r="D69" s="1067">
        <v>126</v>
      </c>
      <c r="E69" s="1067">
        <v>2</v>
      </c>
      <c r="F69" s="1067">
        <v>124</v>
      </c>
    </row>
    <row r="70" spans="1:6" x14ac:dyDescent="0.25">
      <c r="A70" s="1067" t="s">
        <v>202</v>
      </c>
      <c r="B70" s="1067" t="s">
        <v>316</v>
      </c>
      <c r="C70" s="1067" t="s">
        <v>21</v>
      </c>
      <c r="D70" s="1067">
        <v>585.32000000000005</v>
      </c>
      <c r="E70" s="1067">
        <v>22</v>
      </c>
      <c r="F70" s="1067">
        <v>563.32000000000005</v>
      </c>
    </row>
    <row r="71" spans="1:6" x14ac:dyDescent="0.25">
      <c r="A71" s="1067" t="s">
        <v>255</v>
      </c>
      <c r="B71" s="1067" t="s">
        <v>2</v>
      </c>
      <c r="C71" s="1067" t="s">
        <v>22</v>
      </c>
      <c r="D71" s="1067">
        <v>26.79</v>
      </c>
      <c r="E71" s="1067">
        <v>22.79</v>
      </c>
      <c r="F71" s="1067">
        <v>4</v>
      </c>
    </row>
    <row r="72" spans="1:6" x14ac:dyDescent="0.25">
      <c r="A72" s="1067" t="s">
        <v>255</v>
      </c>
      <c r="B72" s="1067" t="s">
        <v>2</v>
      </c>
      <c r="C72" s="1067" t="s">
        <v>23</v>
      </c>
      <c r="D72" s="1067">
        <v>100.83</v>
      </c>
      <c r="E72" s="1067">
        <v>83.33</v>
      </c>
      <c r="F72" s="1067">
        <v>17.5</v>
      </c>
    </row>
    <row r="73" spans="1:6" x14ac:dyDescent="0.25">
      <c r="A73" s="1067" t="s">
        <v>255</v>
      </c>
      <c r="B73" s="1067" t="s">
        <v>2</v>
      </c>
      <c r="C73" s="1067" t="s">
        <v>19</v>
      </c>
      <c r="D73" s="1067">
        <v>5</v>
      </c>
      <c r="E73" s="1067">
        <v>4</v>
      </c>
      <c r="F73" s="1067">
        <v>1</v>
      </c>
    </row>
    <row r="74" spans="1:6" x14ac:dyDescent="0.25">
      <c r="A74" s="1067" t="s">
        <v>255</v>
      </c>
      <c r="B74" s="1067" t="s">
        <v>2</v>
      </c>
      <c r="C74" s="1067" t="s">
        <v>20</v>
      </c>
      <c r="D74" s="1067">
        <v>8</v>
      </c>
      <c r="E74" s="1067">
        <v>7</v>
      </c>
      <c r="F74" s="1067">
        <v>1</v>
      </c>
    </row>
    <row r="75" spans="1:6" x14ac:dyDescent="0.25">
      <c r="A75" s="1067" t="s">
        <v>255</v>
      </c>
      <c r="B75" s="1067" t="s">
        <v>2</v>
      </c>
      <c r="C75" s="1067" t="s">
        <v>21</v>
      </c>
      <c r="D75" s="1067">
        <v>43</v>
      </c>
      <c r="E75" s="1067">
        <v>36</v>
      </c>
      <c r="F75" s="1067">
        <v>7</v>
      </c>
    </row>
    <row r="76" spans="1:6" x14ac:dyDescent="0.25">
      <c r="A76" s="1067" t="s">
        <v>255</v>
      </c>
      <c r="B76" s="1067" t="s">
        <v>9</v>
      </c>
      <c r="C76" s="1067" t="s">
        <v>22</v>
      </c>
      <c r="D76" s="1067">
        <v>477.18</v>
      </c>
      <c r="E76" s="1067">
        <v>18.25</v>
      </c>
      <c r="F76" s="1067">
        <v>458.93</v>
      </c>
    </row>
    <row r="77" spans="1:6" x14ac:dyDescent="0.25">
      <c r="A77" s="1067" t="s">
        <v>255</v>
      </c>
      <c r="B77" s="1067" t="s">
        <v>9</v>
      </c>
      <c r="C77" s="1067" t="s">
        <v>23</v>
      </c>
      <c r="D77" s="1067">
        <v>1821.55</v>
      </c>
      <c r="E77" s="1067">
        <v>121.65</v>
      </c>
      <c r="F77" s="1067">
        <v>1699.9</v>
      </c>
    </row>
    <row r="78" spans="1:6" x14ac:dyDescent="0.25">
      <c r="A78" s="1067" t="s">
        <v>255</v>
      </c>
      <c r="B78" s="1067" t="s">
        <v>9</v>
      </c>
      <c r="C78" s="1067" t="s">
        <v>21</v>
      </c>
      <c r="D78" s="1067">
        <v>246.25</v>
      </c>
      <c r="E78" s="1067">
        <v>13.75</v>
      </c>
      <c r="F78" s="1067">
        <v>232.5</v>
      </c>
    </row>
    <row r="79" spans="1:6" x14ac:dyDescent="0.25">
      <c r="A79" s="1067" t="s">
        <v>255</v>
      </c>
      <c r="B79" s="1067" t="s">
        <v>3</v>
      </c>
      <c r="C79" s="1067" t="s">
        <v>98</v>
      </c>
      <c r="D79" s="1067">
        <v>135.37</v>
      </c>
      <c r="E79" s="1067">
        <v>126.82</v>
      </c>
      <c r="F79" s="1067">
        <v>8.5500000000000007</v>
      </c>
    </row>
    <row r="80" spans="1:6" x14ac:dyDescent="0.25">
      <c r="A80" s="1067" t="s">
        <v>255</v>
      </c>
      <c r="B80" s="1067" t="s">
        <v>3</v>
      </c>
      <c r="C80" s="1067" t="s">
        <v>210</v>
      </c>
      <c r="D80" s="1067">
        <v>2</v>
      </c>
      <c r="E80" s="1067">
        <v>1</v>
      </c>
      <c r="F80" s="1067">
        <v>1</v>
      </c>
    </row>
    <row r="81" spans="1:6" x14ac:dyDescent="0.25">
      <c r="A81" s="1067" t="s">
        <v>255</v>
      </c>
      <c r="B81" s="1067" t="s">
        <v>3</v>
      </c>
      <c r="C81" s="1067" t="s">
        <v>83</v>
      </c>
      <c r="D81" s="1067">
        <v>75.81</v>
      </c>
      <c r="E81" s="1067">
        <v>53.98</v>
      </c>
      <c r="F81" s="1067">
        <v>21.83</v>
      </c>
    </row>
    <row r="82" spans="1:6" x14ac:dyDescent="0.25">
      <c r="A82" s="1067" t="s">
        <v>255</v>
      </c>
      <c r="B82" s="1067" t="s">
        <v>3</v>
      </c>
      <c r="C82" s="1067" t="s">
        <v>81</v>
      </c>
      <c r="D82" s="1067">
        <v>49.71</v>
      </c>
      <c r="E82" s="1067">
        <v>16.71</v>
      </c>
      <c r="F82" s="1067">
        <v>33</v>
      </c>
    </row>
    <row r="83" spans="1:6" x14ac:dyDescent="0.25">
      <c r="A83" s="1067" t="s">
        <v>255</v>
      </c>
      <c r="B83" s="1067" t="s">
        <v>3</v>
      </c>
      <c r="C83" s="1067" t="s">
        <v>317</v>
      </c>
      <c r="D83" s="1067">
        <v>354.57</v>
      </c>
      <c r="E83" s="1067">
        <v>133.04</v>
      </c>
      <c r="F83" s="1067">
        <v>221.53</v>
      </c>
    </row>
    <row r="84" spans="1:6" x14ac:dyDescent="0.25">
      <c r="A84" s="1067" t="s">
        <v>255</v>
      </c>
      <c r="B84" s="1067" t="s">
        <v>3</v>
      </c>
      <c r="C84" s="1067" t="s">
        <v>87</v>
      </c>
      <c r="D84" s="1067">
        <v>30.86</v>
      </c>
      <c r="E84" s="1067">
        <v>18.36</v>
      </c>
      <c r="F84" s="1067">
        <v>12.5</v>
      </c>
    </row>
    <row r="85" spans="1:6" x14ac:dyDescent="0.25">
      <c r="A85" s="1067" t="s">
        <v>255</v>
      </c>
      <c r="B85" s="1067" t="s">
        <v>3</v>
      </c>
      <c r="C85" s="1067" t="s">
        <v>318</v>
      </c>
      <c r="D85" s="1067">
        <v>110.41</v>
      </c>
      <c r="E85" s="1067">
        <v>52.13</v>
      </c>
      <c r="F85" s="1067">
        <v>58.28</v>
      </c>
    </row>
    <row r="86" spans="1:6" x14ac:dyDescent="0.25">
      <c r="A86" s="1067" t="s">
        <v>255</v>
      </c>
      <c r="B86" s="1067" t="s">
        <v>316</v>
      </c>
      <c r="C86" s="1067" t="s">
        <v>18</v>
      </c>
      <c r="D86" s="1067">
        <v>34</v>
      </c>
      <c r="E86" s="1067"/>
      <c r="F86" s="1067">
        <v>34</v>
      </c>
    </row>
    <row r="87" spans="1:6" x14ac:dyDescent="0.25">
      <c r="A87" s="1067" t="s">
        <v>255</v>
      </c>
      <c r="B87" s="1067" t="s">
        <v>316</v>
      </c>
      <c r="C87" s="1067" t="s">
        <v>209</v>
      </c>
      <c r="D87" s="1067">
        <v>4</v>
      </c>
      <c r="E87" s="1067"/>
      <c r="F87" s="1067">
        <v>4</v>
      </c>
    </row>
    <row r="88" spans="1:6" x14ac:dyDescent="0.25">
      <c r="A88" s="1067" t="s">
        <v>255</v>
      </c>
      <c r="B88" s="1067" t="s">
        <v>316</v>
      </c>
      <c r="C88" s="1067" t="s">
        <v>22</v>
      </c>
      <c r="D88" s="1067">
        <v>689</v>
      </c>
      <c r="E88" s="1067">
        <v>26</v>
      </c>
      <c r="F88" s="1067">
        <v>663</v>
      </c>
    </row>
    <row r="89" spans="1:6" x14ac:dyDescent="0.25">
      <c r="A89" s="1067" t="s">
        <v>255</v>
      </c>
      <c r="B89" s="1067" t="s">
        <v>316</v>
      </c>
      <c r="C89" s="1067" t="s">
        <v>23</v>
      </c>
      <c r="D89" s="1067">
        <v>1988.43</v>
      </c>
      <c r="E89" s="1067">
        <v>113.43</v>
      </c>
      <c r="F89" s="1067">
        <v>1875</v>
      </c>
    </row>
    <row r="90" spans="1:6" x14ac:dyDescent="0.25">
      <c r="A90" s="1067" t="s">
        <v>255</v>
      </c>
      <c r="B90" s="1067" t="s">
        <v>316</v>
      </c>
      <c r="C90" s="1067" t="s">
        <v>19</v>
      </c>
      <c r="D90" s="1067">
        <v>74</v>
      </c>
      <c r="E90" s="1067">
        <v>2</v>
      </c>
      <c r="F90" s="1067">
        <v>72</v>
      </c>
    </row>
    <row r="91" spans="1:6" x14ac:dyDescent="0.25">
      <c r="A91" s="1067" t="s">
        <v>255</v>
      </c>
      <c r="B91" s="1067" t="s">
        <v>316</v>
      </c>
      <c r="C91" s="1067" t="s">
        <v>20</v>
      </c>
      <c r="D91" s="1067">
        <v>153</v>
      </c>
      <c r="E91" s="1067">
        <v>2</v>
      </c>
      <c r="F91" s="1067">
        <v>151</v>
      </c>
    </row>
    <row r="92" spans="1:6" x14ac:dyDescent="0.25">
      <c r="A92" s="1067" t="s">
        <v>255</v>
      </c>
      <c r="B92" s="1067" t="s">
        <v>316</v>
      </c>
      <c r="C92" s="1067" t="s">
        <v>21</v>
      </c>
      <c r="D92" s="1067">
        <v>602</v>
      </c>
      <c r="E92" s="1067">
        <v>31</v>
      </c>
      <c r="F92" s="1067">
        <v>571</v>
      </c>
    </row>
    <row r="93" spans="1:6" x14ac:dyDescent="0.25">
      <c r="A93" s="1067" t="s">
        <v>254</v>
      </c>
      <c r="B93" s="1067" t="s">
        <v>2</v>
      </c>
      <c r="C93" s="1067" t="s">
        <v>18</v>
      </c>
      <c r="D93" s="1067">
        <v>1</v>
      </c>
      <c r="E93" s="1067">
        <v>1</v>
      </c>
      <c r="F93" s="1067"/>
    </row>
    <row r="94" spans="1:6" x14ac:dyDescent="0.25">
      <c r="A94" s="1067" t="s">
        <v>254</v>
      </c>
      <c r="B94" s="1067" t="s">
        <v>2</v>
      </c>
      <c r="C94" s="1067" t="s">
        <v>22</v>
      </c>
      <c r="D94" s="1067">
        <v>27</v>
      </c>
      <c r="E94" s="1067">
        <v>21</v>
      </c>
      <c r="F94" s="1067">
        <v>6</v>
      </c>
    </row>
    <row r="95" spans="1:6" x14ac:dyDescent="0.25">
      <c r="A95" s="1067" t="s">
        <v>254</v>
      </c>
      <c r="B95" s="1067" t="s">
        <v>2</v>
      </c>
      <c r="C95" s="1067" t="s">
        <v>23</v>
      </c>
      <c r="D95" s="1067">
        <v>119.33</v>
      </c>
      <c r="E95" s="1067">
        <v>98.33</v>
      </c>
      <c r="F95" s="1067">
        <v>21</v>
      </c>
    </row>
    <row r="96" spans="1:6" x14ac:dyDescent="0.25">
      <c r="A96" s="1067" t="s">
        <v>254</v>
      </c>
      <c r="B96" s="1067" t="s">
        <v>2</v>
      </c>
      <c r="C96" s="1067" t="s">
        <v>19</v>
      </c>
      <c r="D96" s="1067">
        <v>4</v>
      </c>
      <c r="E96" s="1067">
        <v>3</v>
      </c>
      <c r="F96" s="1067">
        <v>1</v>
      </c>
    </row>
    <row r="97" spans="1:6" x14ac:dyDescent="0.25">
      <c r="A97" s="1067" t="s">
        <v>254</v>
      </c>
      <c r="B97" s="1067" t="s">
        <v>2</v>
      </c>
      <c r="C97" s="1067" t="s">
        <v>20</v>
      </c>
      <c r="D97" s="1067">
        <v>9</v>
      </c>
      <c r="E97" s="1067">
        <v>8</v>
      </c>
      <c r="F97" s="1067">
        <v>1</v>
      </c>
    </row>
    <row r="98" spans="1:6" x14ac:dyDescent="0.25">
      <c r="A98" s="1067" t="s">
        <v>254</v>
      </c>
      <c r="B98" s="1067" t="s">
        <v>2</v>
      </c>
      <c r="C98" s="1067" t="s">
        <v>21</v>
      </c>
      <c r="D98" s="1067">
        <v>42</v>
      </c>
      <c r="E98" s="1067">
        <v>36</v>
      </c>
      <c r="F98" s="1067">
        <v>6</v>
      </c>
    </row>
    <row r="99" spans="1:6" x14ac:dyDescent="0.25">
      <c r="A99" s="1067" t="s">
        <v>254</v>
      </c>
      <c r="B99" s="1067" t="s">
        <v>9</v>
      </c>
      <c r="C99" s="1067" t="s">
        <v>22</v>
      </c>
      <c r="D99" s="1067">
        <v>478.93</v>
      </c>
      <c r="E99" s="1067">
        <v>19</v>
      </c>
      <c r="F99" s="1067">
        <v>459.93</v>
      </c>
    </row>
    <row r="100" spans="1:6" x14ac:dyDescent="0.25">
      <c r="A100" s="1067" t="s">
        <v>254</v>
      </c>
      <c r="B100" s="1067" t="s">
        <v>9</v>
      </c>
      <c r="C100" s="1067" t="s">
        <v>23</v>
      </c>
      <c r="D100" s="1067">
        <v>1863.8</v>
      </c>
      <c r="E100" s="1067">
        <v>148.4</v>
      </c>
      <c r="F100" s="1067">
        <v>1715.4</v>
      </c>
    </row>
    <row r="101" spans="1:6" x14ac:dyDescent="0.25">
      <c r="A101" s="1067" t="s">
        <v>254</v>
      </c>
      <c r="B101" s="1067" t="s">
        <v>9</v>
      </c>
      <c r="C101" s="1067" t="s">
        <v>21</v>
      </c>
      <c r="D101" s="1067">
        <v>241.25</v>
      </c>
      <c r="E101" s="1067">
        <v>12.5</v>
      </c>
      <c r="F101" s="1067">
        <v>228.75</v>
      </c>
    </row>
    <row r="102" spans="1:6" x14ac:dyDescent="0.25">
      <c r="A102" s="1067" t="s">
        <v>254</v>
      </c>
      <c r="B102" s="1067" t="s">
        <v>852</v>
      </c>
      <c r="C102" s="1067" t="s">
        <v>1216</v>
      </c>
      <c r="D102" s="1067">
        <v>18</v>
      </c>
      <c r="E102" s="1067">
        <v>1</v>
      </c>
      <c r="F102" s="1067">
        <v>17</v>
      </c>
    </row>
    <row r="103" spans="1:6" x14ac:dyDescent="0.25">
      <c r="A103" s="1067" t="s">
        <v>254</v>
      </c>
      <c r="B103" s="1067" t="s">
        <v>3</v>
      </c>
      <c r="C103" s="1067" t="s">
        <v>98</v>
      </c>
      <c r="D103" s="1067">
        <v>144.99</v>
      </c>
      <c r="E103" s="1067">
        <v>134.44</v>
      </c>
      <c r="F103" s="1067">
        <v>10.55</v>
      </c>
    </row>
    <row r="104" spans="1:6" x14ac:dyDescent="0.25">
      <c r="A104" s="1067" t="s">
        <v>254</v>
      </c>
      <c r="B104" s="1067" t="s">
        <v>3</v>
      </c>
      <c r="C104" s="1067" t="s">
        <v>210</v>
      </c>
      <c r="D104" s="1067">
        <v>3</v>
      </c>
      <c r="E104" s="1067">
        <v>2</v>
      </c>
      <c r="F104" s="1067">
        <v>1</v>
      </c>
    </row>
    <row r="105" spans="1:6" x14ac:dyDescent="0.25">
      <c r="A105" s="1067" t="s">
        <v>254</v>
      </c>
      <c r="B105" s="1067" t="s">
        <v>3</v>
      </c>
      <c r="C105" s="1067" t="s">
        <v>83</v>
      </c>
      <c r="D105" s="1067">
        <v>80.400000000000006</v>
      </c>
      <c r="E105" s="1067">
        <v>55.4</v>
      </c>
      <c r="F105" s="1067">
        <v>25</v>
      </c>
    </row>
    <row r="106" spans="1:6" x14ac:dyDescent="0.25">
      <c r="A106" s="1067" t="s">
        <v>254</v>
      </c>
      <c r="B106" s="1067" t="s">
        <v>3</v>
      </c>
      <c r="C106" s="1067" t="s">
        <v>81</v>
      </c>
      <c r="D106" s="1067">
        <v>49</v>
      </c>
      <c r="E106" s="1067">
        <v>15</v>
      </c>
      <c r="F106" s="1067">
        <v>34</v>
      </c>
    </row>
    <row r="107" spans="1:6" x14ac:dyDescent="0.25">
      <c r="A107" s="1067" t="s">
        <v>254</v>
      </c>
      <c r="B107" s="1067" t="s">
        <v>3</v>
      </c>
      <c r="C107" s="1067" t="s">
        <v>317</v>
      </c>
      <c r="D107" s="1067">
        <v>375.56</v>
      </c>
      <c r="E107" s="1067">
        <v>139.56</v>
      </c>
      <c r="F107" s="1067">
        <v>236</v>
      </c>
    </row>
    <row r="108" spans="1:6" x14ac:dyDescent="0.25">
      <c r="A108" s="1067" t="s">
        <v>254</v>
      </c>
      <c r="B108" s="1067" t="s">
        <v>3</v>
      </c>
      <c r="C108" s="1067" t="s">
        <v>87</v>
      </c>
      <c r="D108" s="1067">
        <v>34</v>
      </c>
      <c r="E108" s="1067">
        <v>21</v>
      </c>
      <c r="F108" s="1067">
        <v>13</v>
      </c>
    </row>
    <row r="109" spans="1:6" x14ac:dyDescent="0.25">
      <c r="A109" s="1067" t="s">
        <v>254</v>
      </c>
      <c r="B109" s="1067" t="s">
        <v>3</v>
      </c>
      <c r="C109" s="1067" t="s">
        <v>318</v>
      </c>
      <c r="D109" s="1067">
        <v>58.61</v>
      </c>
      <c r="E109" s="1067">
        <v>21.26</v>
      </c>
      <c r="F109" s="1067">
        <v>37.35</v>
      </c>
    </row>
    <row r="110" spans="1:6" x14ac:dyDescent="0.25">
      <c r="A110" s="1067" t="s">
        <v>254</v>
      </c>
      <c r="B110" s="1067" t="s">
        <v>316</v>
      </c>
      <c r="C110" s="1067" t="s">
        <v>18</v>
      </c>
      <c r="D110" s="1067">
        <v>33</v>
      </c>
      <c r="E110" s="1067"/>
      <c r="F110" s="1067">
        <v>33</v>
      </c>
    </row>
    <row r="111" spans="1:6" x14ac:dyDescent="0.25">
      <c r="A111" s="1067" t="s">
        <v>254</v>
      </c>
      <c r="B111" s="1067" t="s">
        <v>316</v>
      </c>
      <c r="C111" s="1067" t="s">
        <v>209</v>
      </c>
      <c r="D111" s="1067">
        <v>4</v>
      </c>
      <c r="E111" s="1067"/>
      <c r="F111" s="1067">
        <v>4</v>
      </c>
    </row>
    <row r="112" spans="1:6" x14ac:dyDescent="0.25">
      <c r="A112" s="1067" t="s">
        <v>254</v>
      </c>
      <c r="B112" s="1067" t="s">
        <v>316</v>
      </c>
      <c r="C112" s="1067" t="s">
        <v>22</v>
      </c>
      <c r="D112" s="1067">
        <v>687</v>
      </c>
      <c r="E112" s="1067">
        <v>27</v>
      </c>
      <c r="F112" s="1067">
        <v>660</v>
      </c>
    </row>
    <row r="113" spans="1:6" x14ac:dyDescent="0.25">
      <c r="A113" s="1067" t="s">
        <v>254</v>
      </c>
      <c r="B113" s="1067" t="s">
        <v>316</v>
      </c>
      <c r="C113" s="1067" t="s">
        <v>23</v>
      </c>
      <c r="D113" s="1067">
        <v>2073.9299999999998</v>
      </c>
      <c r="E113" s="1067">
        <v>130.93</v>
      </c>
      <c r="F113" s="1067">
        <v>1943</v>
      </c>
    </row>
    <row r="114" spans="1:6" x14ac:dyDescent="0.25">
      <c r="A114" s="1067" t="s">
        <v>254</v>
      </c>
      <c r="B114" s="1067" t="s">
        <v>316</v>
      </c>
      <c r="C114" s="1067" t="s">
        <v>19</v>
      </c>
      <c r="D114" s="1067">
        <v>80</v>
      </c>
      <c r="E114" s="1067">
        <v>2</v>
      </c>
      <c r="F114" s="1067">
        <v>78</v>
      </c>
    </row>
    <row r="115" spans="1:6" x14ac:dyDescent="0.25">
      <c r="A115" s="1067" t="s">
        <v>254</v>
      </c>
      <c r="B115" s="1067" t="s">
        <v>316</v>
      </c>
      <c r="C115" s="1067" t="s">
        <v>20</v>
      </c>
      <c r="D115" s="1067">
        <v>147</v>
      </c>
      <c r="E115" s="1067">
        <v>2</v>
      </c>
      <c r="F115" s="1067">
        <v>145</v>
      </c>
    </row>
    <row r="116" spans="1:6" x14ac:dyDescent="0.25">
      <c r="A116" s="1067" t="s">
        <v>254</v>
      </c>
      <c r="B116" s="1067" t="s">
        <v>316</v>
      </c>
      <c r="C116" s="1067" t="s">
        <v>21</v>
      </c>
      <c r="D116" s="1067">
        <v>611</v>
      </c>
      <c r="E116" s="1067">
        <v>33</v>
      </c>
      <c r="F116" s="1067">
        <v>578</v>
      </c>
    </row>
    <row r="117" spans="1:6" x14ac:dyDescent="0.25">
      <c r="A117" s="1067" t="s">
        <v>851</v>
      </c>
      <c r="B117" s="1067" t="s">
        <v>2</v>
      </c>
      <c r="C117" s="1067" t="s">
        <v>18</v>
      </c>
      <c r="D117" s="1067">
        <v>1</v>
      </c>
      <c r="E117" s="1067">
        <v>1</v>
      </c>
      <c r="F117" s="1067"/>
    </row>
    <row r="118" spans="1:6" x14ac:dyDescent="0.25">
      <c r="A118" s="1067" t="s">
        <v>851</v>
      </c>
      <c r="B118" s="1067" t="s">
        <v>2</v>
      </c>
      <c r="C118" s="1067" t="s">
        <v>22</v>
      </c>
      <c r="D118" s="1067">
        <v>26</v>
      </c>
      <c r="E118" s="1067">
        <v>21</v>
      </c>
      <c r="F118" s="1067">
        <v>5</v>
      </c>
    </row>
    <row r="119" spans="1:6" x14ac:dyDescent="0.25">
      <c r="A119" s="1067" t="s">
        <v>851</v>
      </c>
      <c r="B119" s="1067" t="s">
        <v>2</v>
      </c>
      <c r="C119" s="1067" t="s">
        <v>23</v>
      </c>
      <c r="D119" s="1067">
        <v>99.83</v>
      </c>
      <c r="E119" s="1067">
        <v>81.83</v>
      </c>
      <c r="F119" s="1067">
        <v>18</v>
      </c>
    </row>
    <row r="120" spans="1:6" x14ac:dyDescent="0.25">
      <c r="A120" s="1067" t="s">
        <v>851</v>
      </c>
      <c r="B120" s="1067" t="s">
        <v>2</v>
      </c>
      <c r="C120" s="1067" t="s">
        <v>19</v>
      </c>
      <c r="D120" s="1067">
        <v>4</v>
      </c>
      <c r="E120" s="1067">
        <v>3</v>
      </c>
      <c r="F120" s="1067">
        <v>1</v>
      </c>
    </row>
    <row r="121" spans="1:6" x14ac:dyDescent="0.25">
      <c r="A121" s="1067" t="s">
        <v>851</v>
      </c>
      <c r="B121" s="1067" t="s">
        <v>2</v>
      </c>
      <c r="C121" s="1067" t="s">
        <v>20</v>
      </c>
      <c r="D121" s="1067">
        <v>8</v>
      </c>
      <c r="E121" s="1067">
        <v>7</v>
      </c>
      <c r="F121" s="1067">
        <v>1</v>
      </c>
    </row>
    <row r="122" spans="1:6" x14ac:dyDescent="0.25">
      <c r="A122" s="1067" t="s">
        <v>851</v>
      </c>
      <c r="B122" s="1067" t="s">
        <v>2</v>
      </c>
      <c r="C122" s="1067" t="s">
        <v>21</v>
      </c>
      <c r="D122" s="1067">
        <v>45</v>
      </c>
      <c r="E122" s="1067">
        <v>38</v>
      </c>
      <c r="F122" s="1067">
        <v>7</v>
      </c>
    </row>
    <row r="123" spans="1:6" x14ac:dyDescent="0.25">
      <c r="A123" s="1067" t="s">
        <v>851</v>
      </c>
      <c r="B123" s="1067" t="s">
        <v>9</v>
      </c>
      <c r="C123" s="1067" t="s">
        <v>22</v>
      </c>
      <c r="D123" s="1067">
        <v>459.93</v>
      </c>
      <c r="E123" s="1067">
        <v>17</v>
      </c>
      <c r="F123" s="1067">
        <v>442.93</v>
      </c>
    </row>
    <row r="124" spans="1:6" x14ac:dyDescent="0.25">
      <c r="A124" s="1067" t="s">
        <v>851</v>
      </c>
      <c r="B124" s="1067" t="s">
        <v>9</v>
      </c>
      <c r="C124" s="1067" t="s">
        <v>23</v>
      </c>
      <c r="D124" s="1067">
        <v>1855.3</v>
      </c>
      <c r="E124" s="1067">
        <v>153.15</v>
      </c>
      <c r="F124" s="1067">
        <v>1702.15</v>
      </c>
    </row>
    <row r="125" spans="1:6" x14ac:dyDescent="0.25">
      <c r="A125" s="1067" t="s">
        <v>851</v>
      </c>
      <c r="B125" s="1067" t="s">
        <v>9</v>
      </c>
      <c r="C125" s="1067" t="s">
        <v>21</v>
      </c>
      <c r="D125" s="1067">
        <v>236.5</v>
      </c>
      <c r="E125" s="1067">
        <v>11.75</v>
      </c>
      <c r="F125" s="1067">
        <v>224.75</v>
      </c>
    </row>
    <row r="126" spans="1:6" x14ac:dyDescent="0.25">
      <c r="A126" s="1067" t="s">
        <v>851</v>
      </c>
      <c r="B126" s="1067" t="s">
        <v>852</v>
      </c>
      <c r="C126" s="1067" t="s">
        <v>21</v>
      </c>
      <c r="D126" s="1067">
        <v>36</v>
      </c>
      <c r="E126" s="1067">
        <v>7</v>
      </c>
      <c r="F126" s="1067">
        <v>29</v>
      </c>
    </row>
    <row r="127" spans="1:6" x14ac:dyDescent="0.25">
      <c r="A127" s="1067" t="s">
        <v>851</v>
      </c>
      <c r="B127" s="1067" t="s">
        <v>3</v>
      </c>
      <c r="C127" s="1067" t="s">
        <v>98</v>
      </c>
      <c r="D127" s="1067">
        <v>155.34</v>
      </c>
      <c r="E127" s="1067">
        <v>144.79</v>
      </c>
      <c r="F127" s="1067">
        <v>10.55</v>
      </c>
    </row>
    <row r="128" spans="1:6" x14ac:dyDescent="0.25">
      <c r="A128" s="1067" t="s">
        <v>851</v>
      </c>
      <c r="B128" s="1067" t="s">
        <v>3</v>
      </c>
      <c r="C128" s="1067" t="s">
        <v>210</v>
      </c>
      <c r="D128" s="1067">
        <v>3</v>
      </c>
      <c r="E128" s="1067">
        <v>2</v>
      </c>
      <c r="F128" s="1067">
        <v>1</v>
      </c>
    </row>
    <row r="129" spans="1:6" x14ac:dyDescent="0.25">
      <c r="A129" s="1067" t="s">
        <v>851</v>
      </c>
      <c r="B129" s="1067" t="s">
        <v>3</v>
      </c>
      <c r="C129" s="1067" t="s">
        <v>83</v>
      </c>
      <c r="D129" s="1067">
        <v>88.61</v>
      </c>
      <c r="E129" s="1067">
        <v>59.61</v>
      </c>
      <c r="F129" s="1067">
        <v>29</v>
      </c>
    </row>
    <row r="130" spans="1:6" x14ac:dyDescent="0.25">
      <c r="A130" s="1067" t="s">
        <v>851</v>
      </c>
      <c r="B130" s="1067" t="s">
        <v>3</v>
      </c>
      <c r="C130" s="1067" t="s">
        <v>81</v>
      </c>
      <c r="D130" s="1067">
        <v>47</v>
      </c>
      <c r="E130" s="1067">
        <v>14</v>
      </c>
      <c r="F130" s="1067">
        <v>33</v>
      </c>
    </row>
    <row r="131" spans="1:6" x14ac:dyDescent="0.25">
      <c r="A131" s="1067" t="s">
        <v>851</v>
      </c>
      <c r="B131" s="1067" t="s">
        <v>3</v>
      </c>
      <c r="C131" s="1067" t="s">
        <v>317</v>
      </c>
      <c r="D131" s="1067">
        <v>382.5</v>
      </c>
      <c r="E131" s="1067">
        <v>142.84</v>
      </c>
      <c r="F131" s="1067">
        <v>239.66</v>
      </c>
    </row>
    <row r="132" spans="1:6" x14ac:dyDescent="0.25">
      <c r="A132" s="1067" t="s">
        <v>851</v>
      </c>
      <c r="B132" s="1067" t="s">
        <v>3</v>
      </c>
      <c r="C132" s="1067" t="s">
        <v>87</v>
      </c>
      <c r="D132" s="1067">
        <v>32</v>
      </c>
      <c r="E132" s="1067">
        <v>20</v>
      </c>
      <c r="F132" s="1067">
        <v>12</v>
      </c>
    </row>
    <row r="133" spans="1:6" x14ac:dyDescent="0.25">
      <c r="A133" s="1067" t="s">
        <v>851</v>
      </c>
      <c r="B133" s="1067" t="s">
        <v>3</v>
      </c>
      <c r="C133" s="1067" t="s">
        <v>318</v>
      </c>
      <c r="D133" s="1067">
        <v>56.95</v>
      </c>
      <c r="E133" s="1067">
        <v>20.6</v>
      </c>
      <c r="F133" s="1067">
        <v>36.35</v>
      </c>
    </row>
    <row r="134" spans="1:6" x14ac:dyDescent="0.25">
      <c r="A134" s="1067" t="s">
        <v>851</v>
      </c>
      <c r="B134" s="1067" t="s">
        <v>316</v>
      </c>
      <c r="C134" s="1067" t="s">
        <v>18</v>
      </c>
      <c r="D134" s="1067">
        <v>31</v>
      </c>
      <c r="E134" s="1067"/>
      <c r="F134" s="1067">
        <v>31</v>
      </c>
    </row>
    <row r="135" spans="1:6" x14ac:dyDescent="0.25">
      <c r="A135" s="1067" t="s">
        <v>851</v>
      </c>
      <c r="B135" s="1067" t="s">
        <v>316</v>
      </c>
      <c r="C135" s="1067" t="s">
        <v>209</v>
      </c>
      <c r="D135" s="1067">
        <v>6</v>
      </c>
      <c r="E135" s="1067"/>
      <c r="F135" s="1067">
        <v>6</v>
      </c>
    </row>
    <row r="136" spans="1:6" x14ac:dyDescent="0.25">
      <c r="A136" s="1067" t="s">
        <v>851</v>
      </c>
      <c r="B136" s="1067" t="s">
        <v>316</v>
      </c>
      <c r="C136" s="1067" t="s">
        <v>22</v>
      </c>
      <c r="D136" s="1067">
        <v>688</v>
      </c>
      <c r="E136" s="1067">
        <v>31</v>
      </c>
      <c r="F136" s="1067">
        <v>657</v>
      </c>
    </row>
    <row r="137" spans="1:6" x14ac:dyDescent="0.25">
      <c r="A137" s="1067" t="s">
        <v>851</v>
      </c>
      <c r="B137" s="1067" t="s">
        <v>316</v>
      </c>
      <c r="C137" s="1067" t="s">
        <v>23</v>
      </c>
      <c r="D137" s="1067">
        <v>2067.9299999999998</v>
      </c>
      <c r="E137" s="1067">
        <v>152.93</v>
      </c>
      <c r="F137" s="1067">
        <v>1915</v>
      </c>
    </row>
    <row r="138" spans="1:6" x14ac:dyDescent="0.25">
      <c r="A138" s="1067" t="s">
        <v>851</v>
      </c>
      <c r="B138" s="1067" t="s">
        <v>316</v>
      </c>
      <c r="C138" s="1067" t="s">
        <v>19</v>
      </c>
      <c r="D138" s="1067">
        <v>80</v>
      </c>
      <c r="E138" s="1067">
        <v>2</v>
      </c>
      <c r="F138" s="1067">
        <v>78</v>
      </c>
    </row>
    <row r="139" spans="1:6" x14ac:dyDescent="0.25">
      <c r="A139" s="1067" t="s">
        <v>851</v>
      </c>
      <c r="B139" s="1067" t="s">
        <v>316</v>
      </c>
      <c r="C139" s="1067" t="s">
        <v>20</v>
      </c>
      <c r="D139" s="1067">
        <v>153</v>
      </c>
      <c r="E139" s="1067">
        <v>5</v>
      </c>
      <c r="F139" s="1067">
        <v>148</v>
      </c>
    </row>
    <row r="140" spans="1:6" x14ac:dyDescent="0.25">
      <c r="A140" s="1067" t="s">
        <v>851</v>
      </c>
      <c r="B140" s="1067" t="s">
        <v>316</v>
      </c>
      <c r="C140" s="1067" t="s">
        <v>21</v>
      </c>
      <c r="D140" s="1067">
        <v>608</v>
      </c>
      <c r="E140" s="1067">
        <v>30</v>
      </c>
      <c r="F140" s="1067">
        <v>578</v>
      </c>
    </row>
  </sheetData>
  <sheetProtection algorithmName="SHA-512" hashValue="e0RtspMqB//5BgH+7NXfquVwFf38XpgbCfndGLiuWv2MdrtVJXr4wJMu30e+IaX4E9P3HhVchUdr26xrAsAOhQ==" saltValue="MpwXrJMUxfVA2uRTanpt1g=="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5"/>
  <sheetViews>
    <sheetView zoomScale="85" zoomScaleNormal="85" workbookViewId="0">
      <pane ySplit="4" topLeftCell="A86" activePane="bottomLeft" state="frozen"/>
      <selection pane="bottomLeft"/>
    </sheetView>
  </sheetViews>
  <sheetFormatPr defaultRowHeight="15" x14ac:dyDescent="0.25"/>
  <sheetData>
    <row r="1" spans="1:9" ht="15.75" x14ac:dyDescent="0.25">
      <c r="A1" s="981" t="s">
        <v>1227</v>
      </c>
    </row>
    <row r="2" spans="1:9" x14ac:dyDescent="0.25">
      <c r="A2" s="1139">
        <v>44071</v>
      </c>
      <c r="B2" s="1140"/>
    </row>
    <row r="4" spans="1:9" x14ac:dyDescent="0.25">
      <c r="A4" s="1066" t="s">
        <v>270</v>
      </c>
      <c r="B4" s="1066" t="s">
        <v>1226</v>
      </c>
      <c r="C4" s="1066" t="s">
        <v>26</v>
      </c>
      <c r="D4" s="1066" t="s">
        <v>316</v>
      </c>
      <c r="E4" s="1066" t="s">
        <v>9</v>
      </c>
      <c r="F4" s="1066" t="s">
        <v>2</v>
      </c>
      <c r="G4" s="1066" t="s">
        <v>3</v>
      </c>
      <c r="H4" s="1066" t="s">
        <v>315</v>
      </c>
      <c r="I4" s="1066" t="s">
        <v>852</v>
      </c>
    </row>
    <row r="5" spans="1:9" x14ac:dyDescent="0.25">
      <c r="A5" s="1067" t="s">
        <v>204</v>
      </c>
      <c r="B5" s="1067" t="s">
        <v>1221</v>
      </c>
      <c r="C5" s="1067">
        <v>853</v>
      </c>
      <c r="D5" s="1067">
        <v>302</v>
      </c>
      <c r="E5" s="1067">
        <v>438</v>
      </c>
      <c r="F5" s="1067">
        <v>12</v>
      </c>
      <c r="G5" s="1067">
        <v>69</v>
      </c>
      <c r="H5" s="1067">
        <v>32</v>
      </c>
      <c r="I5" s="1067"/>
    </row>
    <row r="6" spans="1:9" x14ac:dyDescent="0.25">
      <c r="A6" s="1067" t="s">
        <v>204</v>
      </c>
      <c r="B6" s="1067" t="s">
        <v>1222</v>
      </c>
      <c r="C6" s="1067">
        <v>2223</v>
      </c>
      <c r="D6" s="1067">
        <v>1254</v>
      </c>
      <c r="E6" s="1067">
        <v>691</v>
      </c>
      <c r="F6" s="1067">
        <v>46</v>
      </c>
      <c r="G6" s="1067">
        <v>174</v>
      </c>
      <c r="H6" s="1067">
        <v>58</v>
      </c>
      <c r="I6" s="1067"/>
    </row>
    <row r="7" spans="1:9" x14ac:dyDescent="0.25">
      <c r="A7" s="1067" t="s">
        <v>204</v>
      </c>
      <c r="B7" s="1067" t="s">
        <v>109</v>
      </c>
      <c r="C7" s="1067">
        <v>1667</v>
      </c>
      <c r="D7" s="1067">
        <v>888</v>
      </c>
      <c r="E7" s="1067">
        <v>540</v>
      </c>
      <c r="F7" s="1067">
        <v>34</v>
      </c>
      <c r="G7" s="1067">
        <v>142</v>
      </c>
      <c r="H7" s="1067">
        <v>63</v>
      </c>
      <c r="I7" s="1067"/>
    </row>
    <row r="8" spans="1:9" x14ac:dyDescent="0.25">
      <c r="A8" s="1067" t="s">
        <v>204</v>
      </c>
      <c r="B8" s="1067" t="s">
        <v>110</v>
      </c>
      <c r="C8" s="1067">
        <v>1943</v>
      </c>
      <c r="D8" s="1067">
        <v>1024</v>
      </c>
      <c r="E8" s="1067">
        <v>635</v>
      </c>
      <c r="F8" s="1067">
        <v>42</v>
      </c>
      <c r="G8" s="1067">
        <v>153</v>
      </c>
      <c r="H8" s="1067">
        <v>89</v>
      </c>
      <c r="I8" s="1067"/>
    </row>
    <row r="9" spans="1:9" x14ac:dyDescent="0.25">
      <c r="A9" s="1067" t="s">
        <v>204</v>
      </c>
      <c r="B9" s="1067" t="s">
        <v>111</v>
      </c>
      <c r="C9" s="1067">
        <v>1116</v>
      </c>
      <c r="D9" s="1067">
        <v>486</v>
      </c>
      <c r="E9" s="1067">
        <v>370</v>
      </c>
      <c r="F9" s="1067">
        <v>52</v>
      </c>
      <c r="G9" s="1067">
        <v>160</v>
      </c>
      <c r="H9" s="1067">
        <v>48</v>
      </c>
      <c r="I9" s="1067"/>
    </row>
    <row r="10" spans="1:9" x14ac:dyDescent="0.25">
      <c r="A10" s="1067" t="s">
        <v>204</v>
      </c>
      <c r="B10" s="1067" t="s">
        <v>1223</v>
      </c>
      <c r="C10" s="1067">
        <v>623</v>
      </c>
      <c r="D10" s="1067">
        <v>47</v>
      </c>
      <c r="E10" s="1067">
        <v>253</v>
      </c>
      <c r="F10" s="1067">
        <v>37</v>
      </c>
      <c r="G10" s="1067">
        <v>248</v>
      </c>
      <c r="H10" s="1067">
        <v>38</v>
      </c>
      <c r="I10" s="1067"/>
    </row>
    <row r="11" spans="1:9" x14ac:dyDescent="0.25">
      <c r="A11" s="1067" t="s">
        <v>204</v>
      </c>
      <c r="B11" s="1067" t="s">
        <v>1224</v>
      </c>
      <c r="C11" s="1067">
        <v>17</v>
      </c>
      <c r="D11" s="1067">
        <v>0</v>
      </c>
      <c r="E11" s="1067">
        <v>0</v>
      </c>
      <c r="F11" s="1067">
        <v>0</v>
      </c>
      <c r="G11" s="1067">
        <v>15</v>
      </c>
      <c r="H11" s="1067">
        <v>2</v>
      </c>
      <c r="I11" s="1067"/>
    </row>
    <row r="12" spans="1:9" x14ac:dyDescent="0.25">
      <c r="A12" s="1067" t="s">
        <v>204</v>
      </c>
      <c r="B12" s="1067" t="s">
        <v>321</v>
      </c>
      <c r="C12" s="1067">
        <v>42</v>
      </c>
      <c r="D12" s="1067">
        <v>0</v>
      </c>
      <c r="E12" s="1067">
        <v>13</v>
      </c>
      <c r="F12" s="1067">
        <v>0</v>
      </c>
      <c r="G12" s="1067">
        <v>0</v>
      </c>
      <c r="H12" s="1067">
        <v>29</v>
      </c>
      <c r="I12" s="1067"/>
    </row>
    <row r="13" spans="1:9" x14ac:dyDescent="0.25">
      <c r="A13" s="1067" t="s">
        <v>203</v>
      </c>
      <c r="B13" s="1067" t="s">
        <v>105</v>
      </c>
      <c r="C13" s="1067">
        <v>252</v>
      </c>
      <c r="D13" s="1067">
        <v>47</v>
      </c>
      <c r="E13" s="1067">
        <v>159</v>
      </c>
      <c r="F13" s="1067">
        <v>9</v>
      </c>
      <c r="G13" s="1067">
        <v>17</v>
      </c>
      <c r="H13" s="1067">
        <v>20</v>
      </c>
      <c r="I13" s="1067"/>
    </row>
    <row r="14" spans="1:9" x14ac:dyDescent="0.25">
      <c r="A14" s="1067" t="s">
        <v>203</v>
      </c>
      <c r="B14" s="1067" t="s">
        <v>106</v>
      </c>
      <c r="C14" s="1067">
        <v>547</v>
      </c>
      <c r="D14" s="1067">
        <v>179</v>
      </c>
      <c r="E14" s="1067">
        <v>287</v>
      </c>
      <c r="F14" s="1067">
        <v>17</v>
      </c>
      <c r="G14" s="1067">
        <v>41</v>
      </c>
      <c r="H14" s="1067">
        <v>23</v>
      </c>
      <c r="I14" s="1067"/>
    </row>
    <row r="15" spans="1:9" x14ac:dyDescent="0.25">
      <c r="A15" s="1067" t="s">
        <v>203</v>
      </c>
      <c r="B15" s="1067" t="s">
        <v>107</v>
      </c>
      <c r="C15" s="1067">
        <v>970</v>
      </c>
      <c r="D15" s="1067">
        <v>529</v>
      </c>
      <c r="E15" s="1067">
        <v>337</v>
      </c>
      <c r="F15" s="1067">
        <v>18</v>
      </c>
      <c r="G15" s="1067">
        <v>52</v>
      </c>
      <c r="H15" s="1067">
        <v>34</v>
      </c>
      <c r="I15" s="1067"/>
    </row>
    <row r="16" spans="1:9" x14ac:dyDescent="0.25">
      <c r="A16" s="1067" t="s">
        <v>203</v>
      </c>
      <c r="B16" s="1067" t="s">
        <v>108</v>
      </c>
      <c r="C16" s="1067">
        <v>1169</v>
      </c>
      <c r="D16" s="1067">
        <v>668</v>
      </c>
      <c r="E16" s="1067">
        <v>350</v>
      </c>
      <c r="F16" s="1067">
        <v>27</v>
      </c>
      <c r="G16" s="1067">
        <v>94</v>
      </c>
      <c r="H16" s="1067">
        <v>30</v>
      </c>
      <c r="I16" s="1067"/>
    </row>
    <row r="17" spans="1:9" x14ac:dyDescent="0.25">
      <c r="A17" s="1067" t="s">
        <v>203</v>
      </c>
      <c r="B17" s="1067" t="s">
        <v>109</v>
      </c>
      <c r="C17" s="1067">
        <v>1550</v>
      </c>
      <c r="D17" s="1067">
        <v>822</v>
      </c>
      <c r="E17" s="1067">
        <v>510</v>
      </c>
      <c r="F17" s="1067">
        <v>35</v>
      </c>
      <c r="G17" s="1067">
        <v>118</v>
      </c>
      <c r="H17" s="1067">
        <v>65</v>
      </c>
      <c r="I17" s="1067"/>
    </row>
    <row r="18" spans="1:9" x14ac:dyDescent="0.25">
      <c r="A18" s="1067" t="s">
        <v>203</v>
      </c>
      <c r="B18" s="1067" t="s">
        <v>110</v>
      </c>
      <c r="C18" s="1067">
        <v>1912</v>
      </c>
      <c r="D18" s="1067">
        <v>1006</v>
      </c>
      <c r="E18" s="1067">
        <v>627</v>
      </c>
      <c r="F18" s="1067">
        <v>41</v>
      </c>
      <c r="G18" s="1067">
        <v>149</v>
      </c>
      <c r="H18" s="1067">
        <v>89</v>
      </c>
      <c r="I18" s="1067"/>
    </row>
    <row r="19" spans="1:9" x14ac:dyDescent="0.25">
      <c r="A19" s="1067" t="s">
        <v>203</v>
      </c>
      <c r="B19" s="1067" t="s">
        <v>111</v>
      </c>
      <c r="C19" s="1067">
        <v>1201</v>
      </c>
      <c r="D19" s="1067">
        <v>554</v>
      </c>
      <c r="E19" s="1067">
        <v>398</v>
      </c>
      <c r="F19" s="1067">
        <v>48</v>
      </c>
      <c r="G19" s="1067">
        <v>148</v>
      </c>
      <c r="H19" s="1067">
        <v>53</v>
      </c>
      <c r="I19" s="1067"/>
    </row>
    <row r="20" spans="1:9" x14ac:dyDescent="0.25">
      <c r="A20" s="1067" t="s">
        <v>203</v>
      </c>
      <c r="B20" s="1067" t="s">
        <v>112</v>
      </c>
      <c r="C20" s="1067">
        <v>448</v>
      </c>
      <c r="D20" s="1067">
        <v>50</v>
      </c>
      <c r="E20" s="1067">
        <v>202</v>
      </c>
      <c r="F20" s="1067">
        <v>31</v>
      </c>
      <c r="G20" s="1067">
        <v>132</v>
      </c>
      <c r="H20" s="1067">
        <v>33</v>
      </c>
      <c r="I20" s="1067"/>
    </row>
    <row r="21" spans="1:9" x14ac:dyDescent="0.25">
      <c r="A21" s="1067" t="s">
        <v>203</v>
      </c>
      <c r="B21" s="1067" t="s">
        <v>113</v>
      </c>
      <c r="C21" s="1067">
        <v>178</v>
      </c>
      <c r="D21" s="1067">
        <v>1</v>
      </c>
      <c r="E21" s="1067">
        <v>71</v>
      </c>
      <c r="F21" s="1067">
        <v>4</v>
      </c>
      <c r="G21" s="1067">
        <v>93</v>
      </c>
      <c r="H21" s="1067">
        <v>9</v>
      </c>
      <c r="I21" s="1067"/>
    </row>
    <row r="22" spans="1:9" x14ac:dyDescent="0.25">
      <c r="A22" s="1067" t="s">
        <v>203</v>
      </c>
      <c r="B22" s="1067" t="s">
        <v>114</v>
      </c>
      <c r="C22" s="1067">
        <v>20</v>
      </c>
      <c r="D22" s="1067">
        <v>0</v>
      </c>
      <c r="E22" s="1067">
        <v>2</v>
      </c>
      <c r="F22" s="1067">
        <v>0</v>
      </c>
      <c r="G22" s="1067">
        <v>17</v>
      </c>
      <c r="H22" s="1067">
        <v>1</v>
      </c>
      <c r="I22" s="1067"/>
    </row>
    <row r="23" spans="1:9" x14ac:dyDescent="0.25">
      <c r="A23" s="1067" t="s">
        <v>203</v>
      </c>
      <c r="B23" s="1067" t="s">
        <v>115</v>
      </c>
      <c r="C23" s="1067">
        <v>6</v>
      </c>
      <c r="D23" s="1067">
        <v>0</v>
      </c>
      <c r="E23" s="1067">
        <v>0</v>
      </c>
      <c r="F23" s="1067">
        <v>0</v>
      </c>
      <c r="G23" s="1067">
        <v>6</v>
      </c>
      <c r="H23" s="1067">
        <v>0</v>
      </c>
      <c r="I23" s="1067"/>
    </row>
    <row r="24" spans="1:9" x14ac:dyDescent="0.25">
      <c r="A24" s="1067" t="s">
        <v>203</v>
      </c>
      <c r="B24" s="1067" t="s">
        <v>321</v>
      </c>
      <c r="C24" s="1067">
        <v>28</v>
      </c>
      <c r="D24" s="1067">
        <v>0</v>
      </c>
      <c r="E24" s="1067">
        <v>7</v>
      </c>
      <c r="F24" s="1067">
        <v>0</v>
      </c>
      <c r="G24" s="1067">
        <v>0</v>
      </c>
      <c r="H24" s="1067">
        <v>21</v>
      </c>
      <c r="I24" s="1067"/>
    </row>
    <row r="25" spans="1:9" x14ac:dyDescent="0.25">
      <c r="A25" s="1067" t="s">
        <v>202</v>
      </c>
      <c r="B25" s="1067" t="s">
        <v>105</v>
      </c>
      <c r="C25" s="1067">
        <v>258</v>
      </c>
      <c r="D25" s="1067">
        <v>38</v>
      </c>
      <c r="E25" s="1067">
        <v>180</v>
      </c>
      <c r="F25" s="1067">
        <v>5</v>
      </c>
      <c r="G25" s="1067">
        <v>20</v>
      </c>
      <c r="H25" s="1067">
        <v>15</v>
      </c>
      <c r="I25" s="1067"/>
    </row>
    <row r="26" spans="1:9" x14ac:dyDescent="0.25">
      <c r="A26" s="1067" t="s">
        <v>202</v>
      </c>
      <c r="B26" s="1067" t="s">
        <v>106</v>
      </c>
      <c r="C26" s="1067">
        <v>507</v>
      </c>
      <c r="D26" s="1067">
        <v>145</v>
      </c>
      <c r="E26" s="1067">
        <v>283</v>
      </c>
      <c r="F26" s="1067">
        <v>14</v>
      </c>
      <c r="G26" s="1067">
        <v>45</v>
      </c>
      <c r="H26" s="1067">
        <v>20</v>
      </c>
      <c r="I26" s="1067"/>
    </row>
    <row r="27" spans="1:9" x14ac:dyDescent="0.25">
      <c r="A27" s="1067" t="s">
        <v>202</v>
      </c>
      <c r="B27" s="1067" t="s">
        <v>107</v>
      </c>
      <c r="C27" s="1067">
        <v>879</v>
      </c>
      <c r="D27" s="1067">
        <v>438</v>
      </c>
      <c r="E27" s="1067">
        <v>335</v>
      </c>
      <c r="F27" s="1067">
        <v>15</v>
      </c>
      <c r="G27" s="1067">
        <v>64</v>
      </c>
      <c r="H27" s="1067">
        <v>27</v>
      </c>
      <c r="I27" s="1067"/>
    </row>
    <row r="28" spans="1:9" x14ac:dyDescent="0.25">
      <c r="A28" s="1067" t="s">
        <v>202</v>
      </c>
      <c r="B28" s="1067" t="s">
        <v>108</v>
      </c>
      <c r="C28" s="1067">
        <v>1145</v>
      </c>
      <c r="D28" s="1067">
        <v>667</v>
      </c>
      <c r="E28" s="1067">
        <v>352</v>
      </c>
      <c r="F28" s="1067">
        <v>23</v>
      </c>
      <c r="G28" s="1067">
        <v>73</v>
      </c>
      <c r="H28" s="1067">
        <v>30</v>
      </c>
      <c r="I28" s="1067"/>
    </row>
    <row r="29" spans="1:9" x14ac:dyDescent="0.25">
      <c r="A29" s="1067" t="s">
        <v>202</v>
      </c>
      <c r="B29" s="1067" t="s">
        <v>109</v>
      </c>
      <c r="C29" s="1067">
        <v>1387</v>
      </c>
      <c r="D29" s="1067">
        <v>752</v>
      </c>
      <c r="E29" s="1067">
        <v>456</v>
      </c>
      <c r="F29" s="1067">
        <v>29</v>
      </c>
      <c r="G29" s="1067">
        <v>102</v>
      </c>
      <c r="H29" s="1067">
        <v>48</v>
      </c>
      <c r="I29" s="1067"/>
    </row>
    <row r="30" spans="1:9" x14ac:dyDescent="0.25">
      <c r="A30" s="1067" t="s">
        <v>202</v>
      </c>
      <c r="B30" s="1067" t="s">
        <v>110</v>
      </c>
      <c r="C30" s="1067">
        <v>1813</v>
      </c>
      <c r="D30" s="1067">
        <v>978</v>
      </c>
      <c r="E30" s="1067">
        <v>576</v>
      </c>
      <c r="F30" s="1067">
        <v>39</v>
      </c>
      <c r="G30" s="1067">
        <v>144</v>
      </c>
      <c r="H30" s="1067">
        <v>76</v>
      </c>
      <c r="I30" s="1067"/>
    </row>
    <row r="31" spans="1:9" x14ac:dyDescent="0.25">
      <c r="A31" s="1067" t="s">
        <v>202</v>
      </c>
      <c r="B31" s="1067" t="s">
        <v>111</v>
      </c>
      <c r="C31" s="1067">
        <v>1287</v>
      </c>
      <c r="D31" s="1067">
        <v>618</v>
      </c>
      <c r="E31" s="1067">
        <v>432</v>
      </c>
      <c r="F31" s="1067">
        <v>42</v>
      </c>
      <c r="G31" s="1067">
        <v>139</v>
      </c>
      <c r="H31" s="1067">
        <v>56</v>
      </c>
      <c r="I31" s="1067"/>
    </row>
    <row r="32" spans="1:9" x14ac:dyDescent="0.25">
      <c r="A32" s="1067" t="s">
        <v>202</v>
      </c>
      <c r="B32" s="1067" t="s">
        <v>112</v>
      </c>
      <c r="C32" s="1067">
        <v>426</v>
      </c>
      <c r="D32" s="1067">
        <v>51</v>
      </c>
      <c r="E32" s="1067">
        <v>181</v>
      </c>
      <c r="F32" s="1067">
        <v>34</v>
      </c>
      <c r="G32" s="1067">
        <v>124</v>
      </c>
      <c r="H32" s="1067">
        <v>36</v>
      </c>
      <c r="I32" s="1067"/>
    </row>
    <row r="33" spans="1:9" x14ac:dyDescent="0.25">
      <c r="A33" s="1067" t="s">
        <v>202</v>
      </c>
      <c r="B33" s="1067" t="s">
        <v>113</v>
      </c>
      <c r="C33" s="1067">
        <v>179</v>
      </c>
      <c r="D33" s="1067">
        <v>2</v>
      </c>
      <c r="E33" s="1067">
        <v>62</v>
      </c>
      <c r="F33" s="1067">
        <v>2</v>
      </c>
      <c r="G33" s="1067">
        <v>99</v>
      </c>
      <c r="H33" s="1067">
        <v>14</v>
      </c>
      <c r="I33" s="1067"/>
    </row>
    <row r="34" spans="1:9" x14ac:dyDescent="0.25">
      <c r="A34" s="1067" t="s">
        <v>202</v>
      </c>
      <c r="B34" s="1067" t="s">
        <v>114</v>
      </c>
      <c r="C34" s="1067">
        <v>19</v>
      </c>
      <c r="D34" s="1067">
        <v>0</v>
      </c>
      <c r="E34" s="1067">
        <v>5</v>
      </c>
      <c r="F34" s="1067">
        <v>0</v>
      </c>
      <c r="G34" s="1067">
        <v>12</v>
      </c>
      <c r="H34" s="1067">
        <v>2</v>
      </c>
      <c r="I34" s="1067"/>
    </row>
    <row r="35" spans="1:9" x14ac:dyDescent="0.25">
      <c r="A35" s="1067" t="s">
        <v>202</v>
      </c>
      <c r="B35" s="1067" t="s">
        <v>115</v>
      </c>
      <c r="C35" s="1067">
        <v>6</v>
      </c>
      <c r="D35" s="1067">
        <v>0</v>
      </c>
      <c r="E35" s="1067">
        <v>0</v>
      </c>
      <c r="F35" s="1067">
        <v>0</v>
      </c>
      <c r="G35" s="1067">
        <v>6</v>
      </c>
      <c r="H35" s="1067">
        <v>0</v>
      </c>
      <c r="I35" s="1067"/>
    </row>
    <row r="36" spans="1:9" x14ac:dyDescent="0.25">
      <c r="A36" s="1067" t="s">
        <v>202</v>
      </c>
      <c r="B36" s="1067" t="s">
        <v>1225</v>
      </c>
      <c r="C36" s="1067">
        <v>12</v>
      </c>
      <c r="D36" s="1067">
        <v>0</v>
      </c>
      <c r="E36" s="1067">
        <v>0</v>
      </c>
      <c r="F36" s="1067">
        <v>0</v>
      </c>
      <c r="G36" s="1067">
        <v>0</v>
      </c>
      <c r="H36" s="1067">
        <v>12</v>
      </c>
      <c r="I36" s="1067"/>
    </row>
    <row r="37" spans="1:9" x14ac:dyDescent="0.25">
      <c r="A37" s="1067" t="s">
        <v>202</v>
      </c>
      <c r="B37" s="1067" t="s">
        <v>321</v>
      </c>
      <c r="C37" s="1067">
        <v>15</v>
      </c>
      <c r="D37" s="1067">
        <v>1</v>
      </c>
      <c r="E37" s="1067">
        <v>8</v>
      </c>
      <c r="F37" s="1067">
        <v>0</v>
      </c>
      <c r="G37" s="1067">
        <v>0</v>
      </c>
      <c r="H37" s="1067">
        <v>6</v>
      </c>
      <c r="I37" s="1067"/>
    </row>
    <row r="38" spans="1:9" x14ac:dyDescent="0.25">
      <c r="A38" s="1067" t="s">
        <v>273</v>
      </c>
      <c r="B38" s="1067" t="s">
        <v>105</v>
      </c>
      <c r="C38" s="1067">
        <v>253</v>
      </c>
      <c r="D38" s="1067">
        <v>51</v>
      </c>
      <c r="E38" s="1067">
        <v>174</v>
      </c>
      <c r="F38" s="1067">
        <v>1</v>
      </c>
      <c r="G38" s="1067">
        <v>17</v>
      </c>
      <c r="H38" s="1067">
        <v>10</v>
      </c>
      <c r="I38" s="1067"/>
    </row>
    <row r="39" spans="1:9" x14ac:dyDescent="0.25">
      <c r="A39" s="1067" t="s">
        <v>273</v>
      </c>
      <c r="B39" s="1067" t="s">
        <v>106</v>
      </c>
      <c r="C39" s="1067">
        <v>516</v>
      </c>
      <c r="D39" s="1067">
        <v>144</v>
      </c>
      <c r="E39" s="1067">
        <v>295</v>
      </c>
      <c r="F39" s="1067">
        <v>16</v>
      </c>
      <c r="G39" s="1067">
        <v>41</v>
      </c>
      <c r="H39" s="1067">
        <v>20</v>
      </c>
      <c r="I39" s="1067"/>
    </row>
    <row r="40" spans="1:9" x14ac:dyDescent="0.25">
      <c r="A40" s="1067" t="s">
        <v>273</v>
      </c>
      <c r="B40" s="1067" t="s">
        <v>107</v>
      </c>
      <c r="C40" s="1067">
        <v>845</v>
      </c>
      <c r="D40" s="1067">
        <v>398</v>
      </c>
      <c r="E40" s="1067">
        <v>337</v>
      </c>
      <c r="F40" s="1067">
        <v>13</v>
      </c>
      <c r="G40" s="1067">
        <v>71</v>
      </c>
      <c r="H40" s="1067">
        <v>26</v>
      </c>
      <c r="I40" s="1067"/>
    </row>
    <row r="41" spans="1:9" x14ac:dyDescent="0.25">
      <c r="A41" s="1067" t="s">
        <v>273</v>
      </c>
      <c r="B41" s="1067" t="s">
        <v>108</v>
      </c>
      <c r="C41" s="1067">
        <v>1177</v>
      </c>
      <c r="D41" s="1067">
        <v>661</v>
      </c>
      <c r="E41" s="1067">
        <v>387</v>
      </c>
      <c r="F41" s="1067">
        <v>21</v>
      </c>
      <c r="G41" s="1067">
        <v>73</v>
      </c>
      <c r="H41" s="1067">
        <v>35</v>
      </c>
      <c r="I41" s="1067"/>
    </row>
    <row r="42" spans="1:9" x14ac:dyDescent="0.25">
      <c r="A42" s="1067" t="s">
        <v>273</v>
      </c>
      <c r="B42" s="1067" t="s">
        <v>109</v>
      </c>
      <c r="C42" s="1067">
        <v>1247</v>
      </c>
      <c r="D42" s="1067">
        <v>689</v>
      </c>
      <c r="E42" s="1067">
        <v>392</v>
      </c>
      <c r="F42" s="1067">
        <v>20</v>
      </c>
      <c r="G42" s="1067">
        <v>111</v>
      </c>
      <c r="H42" s="1067">
        <v>35</v>
      </c>
      <c r="I42" s="1067"/>
    </row>
    <row r="43" spans="1:9" x14ac:dyDescent="0.25">
      <c r="A43" s="1067" t="s">
        <v>273</v>
      </c>
      <c r="B43" s="1067" t="s">
        <v>110</v>
      </c>
      <c r="C43" s="1067">
        <v>1766</v>
      </c>
      <c r="D43" s="1067">
        <v>968</v>
      </c>
      <c r="E43" s="1067">
        <v>555</v>
      </c>
      <c r="F43" s="1067">
        <v>29</v>
      </c>
      <c r="G43" s="1067">
        <v>144</v>
      </c>
      <c r="H43" s="1067">
        <v>70</v>
      </c>
      <c r="I43" s="1067"/>
    </row>
    <row r="44" spans="1:9" x14ac:dyDescent="0.25">
      <c r="A44" s="1067" t="s">
        <v>273</v>
      </c>
      <c r="B44" s="1067" t="s">
        <v>111</v>
      </c>
      <c r="C44" s="1067">
        <v>1354</v>
      </c>
      <c r="D44" s="1067">
        <v>658</v>
      </c>
      <c r="E44" s="1067">
        <v>460</v>
      </c>
      <c r="F44" s="1067">
        <v>36</v>
      </c>
      <c r="G44" s="1067">
        <v>135</v>
      </c>
      <c r="H44" s="1067">
        <v>65</v>
      </c>
      <c r="I44" s="1067"/>
    </row>
    <row r="45" spans="1:9" x14ac:dyDescent="0.25">
      <c r="A45" s="1067" t="s">
        <v>273</v>
      </c>
      <c r="B45" s="1067" t="s">
        <v>112</v>
      </c>
      <c r="C45" s="1067">
        <v>444</v>
      </c>
      <c r="D45" s="1067">
        <v>73</v>
      </c>
      <c r="E45" s="1067">
        <v>178</v>
      </c>
      <c r="F45" s="1067">
        <v>25</v>
      </c>
      <c r="G45" s="1067">
        <v>133</v>
      </c>
      <c r="H45" s="1067">
        <v>35</v>
      </c>
      <c r="I45" s="1067"/>
    </row>
    <row r="46" spans="1:9" x14ac:dyDescent="0.25">
      <c r="A46" s="1067" t="s">
        <v>273</v>
      </c>
      <c r="B46" s="1067" t="s">
        <v>113</v>
      </c>
      <c r="C46" s="1067">
        <v>188</v>
      </c>
      <c r="D46" s="1067">
        <v>3</v>
      </c>
      <c r="E46" s="1067">
        <v>73</v>
      </c>
      <c r="F46" s="1067">
        <v>4</v>
      </c>
      <c r="G46" s="1067">
        <v>91</v>
      </c>
      <c r="H46" s="1067">
        <v>17</v>
      </c>
      <c r="I46" s="1067"/>
    </row>
    <row r="47" spans="1:9" x14ac:dyDescent="0.25">
      <c r="A47" s="1067" t="s">
        <v>273</v>
      </c>
      <c r="B47" s="1067" t="s">
        <v>114</v>
      </c>
      <c r="C47" s="1067">
        <v>20</v>
      </c>
      <c r="D47" s="1067">
        <v>0</v>
      </c>
      <c r="E47" s="1067">
        <v>3</v>
      </c>
      <c r="F47" s="1067">
        <v>0</v>
      </c>
      <c r="G47" s="1067">
        <v>16</v>
      </c>
      <c r="H47" s="1067">
        <v>1</v>
      </c>
      <c r="I47" s="1067"/>
    </row>
    <row r="48" spans="1:9" x14ac:dyDescent="0.25">
      <c r="A48" s="1067" t="s">
        <v>273</v>
      </c>
      <c r="B48" s="1067" t="s">
        <v>115</v>
      </c>
      <c r="C48" s="1067">
        <v>6</v>
      </c>
      <c r="D48" s="1067">
        <v>0</v>
      </c>
      <c r="E48" s="1067">
        <v>0</v>
      </c>
      <c r="F48" s="1067">
        <v>0</v>
      </c>
      <c r="G48" s="1067">
        <v>5</v>
      </c>
      <c r="H48" s="1067">
        <v>1</v>
      </c>
      <c r="I48" s="1067"/>
    </row>
    <row r="49" spans="1:9" x14ac:dyDescent="0.25">
      <c r="A49" s="1067" t="s">
        <v>273</v>
      </c>
      <c r="B49" s="1067" t="s">
        <v>321</v>
      </c>
      <c r="C49" s="1067">
        <v>18</v>
      </c>
      <c r="D49" s="1067">
        <v>0</v>
      </c>
      <c r="E49" s="1067">
        <v>16</v>
      </c>
      <c r="F49" s="1067">
        <v>0</v>
      </c>
      <c r="G49" s="1067">
        <v>1</v>
      </c>
      <c r="H49" s="1067">
        <v>1</v>
      </c>
      <c r="I49" s="1067"/>
    </row>
    <row r="50" spans="1:9" x14ac:dyDescent="0.25">
      <c r="A50" s="1067" t="s">
        <v>255</v>
      </c>
      <c r="B50" s="1067" t="s">
        <v>105</v>
      </c>
      <c r="C50" s="1067">
        <v>188</v>
      </c>
      <c r="D50" s="1067">
        <v>24</v>
      </c>
      <c r="E50" s="1067">
        <v>135</v>
      </c>
      <c r="F50" s="1067">
        <v>5</v>
      </c>
      <c r="G50" s="1067">
        <v>14</v>
      </c>
      <c r="H50" s="1067">
        <v>10</v>
      </c>
      <c r="I50" s="1067"/>
    </row>
    <row r="51" spans="1:9" x14ac:dyDescent="0.25">
      <c r="A51" s="1067" t="s">
        <v>255</v>
      </c>
      <c r="B51" s="1067" t="s">
        <v>106</v>
      </c>
      <c r="C51" s="1067">
        <v>524</v>
      </c>
      <c r="D51" s="1067">
        <v>149</v>
      </c>
      <c r="E51" s="1067">
        <v>298</v>
      </c>
      <c r="F51" s="1067">
        <v>23</v>
      </c>
      <c r="G51" s="1067">
        <v>35</v>
      </c>
      <c r="H51" s="1067">
        <v>19</v>
      </c>
      <c r="I51" s="1067"/>
    </row>
    <row r="52" spans="1:9" x14ac:dyDescent="0.25">
      <c r="A52" s="1067" t="s">
        <v>255</v>
      </c>
      <c r="B52" s="1067" t="s">
        <v>107</v>
      </c>
      <c r="C52" s="1067">
        <v>815</v>
      </c>
      <c r="D52" s="1067">
        <v>320</v>
      </c>
      <c r="E52" s="1067">
        <v>366</v>
      </c>
      <c r="F52" s="1067">
        <v>26</v>
      </c>
      <c r="G52" s="1067">
        <v>71</v>
      </c>
      <c r="H52" s="1067">
        <v>32</v>
      </c>
      <c r="I52" s="1067"/>
    </row>
    <row r="53" spans="1:9" x14ac:dyDescent="0.25">
      <c r="A53" s="1067" t="s">
        <v>255</v>
      </c>
      <c r="B53" s="1067" t="s">
        <v>108</v>
      </c>
      <c r="C53" s="1067">
        <v>1107</v>
      </c>
      <c r="D53" s="1067">
        <v>605</v>
      </c>
      <c r="E53" s="1067">
        <v>375</v>
      </c>
      <c r="F53" s="1067">
        <v>22</v>
      </c>
      <c r="G53" s="1067">
        <v>70</v>
      </c>
      <c r="H53" s="1067">
        <v>35</v>
      </c>
      <c r="I53" s="1067"/>
    </row>
    <row r="54" spans="1:9" x14ac:dyDescent="0.25">
      <c r="A54" s="1067" t="s">
        <v>255</v>
      </c>
      <c r="B54" s="1067" t="s">
        <v>109</v>
      </c>
      <c r="C54" s="1067">
        <v>1180</v>
      </c>
      <c r="D54" s="1067">
        <v>661</v>
      </c>
      <c r="E54" s="1067">
        <v>359</v>
      </c>
      <c r="F54" s="1067">
        <v>21</v>
      </c>
      <c r="G54" s="1067">
        <v>103</v>
      </c>
      <c r="H54" s="1067">
        <v>36</v>
      </c>
      <c r="I54" s="1067"/>
    </row>
    <row r="55" spans="1:9" x14ac:dyDescent="0.25">
      <c r="A55" s="1067" t="s">
        <v>255</v>
      </c>
      <c r="B55" s="1067" t="s">
        <v>110</v>
      </c>
      <c r="C55" s="1067">
        <v>1602</v>
      </c>
      <c r="D55" s="1067">
        <v>880</v>
      </c>
      <c r="E55" s="1067">
        <v>494</v>
      </c>
      <c r="F55" s="1067">
        <v>27</v>
      </c>
      <c r="G55" s="1067">
        <v>139</v>
      </c>
      <c r="H55" s="1067">
        <v>62</v>
      </c>
      <c r="I55" s="1067"/>
    </row>
    <row r="56" spans="1:9" x14ac:dyDescent="0.25">
      <c r="A56" s="1067" t="s">
        <v>255</v>
      </c>
      <c r="B56" s="1067" t="s">
        <v>111</v>
      </c>
      <c r="C56" s="1067">
        <v>1527</v>
      </c>
      <c r="D56" s="1067">
        <v>775</v>
      </c>
      <c r="E56" s="1067">
        <v>499</v>
      </c>
      <c r="F56" s="1067">
        <v>33</v>
      </c>
      <c r="G56" s="1067">
        <v>140</v>
      </c>
      <c r="H56" s="1067">
        <v>80</v>
      </c>
      <c r="I56" s="1067"/>
    </row>
    <row r="57" spans="1:9" x14ac:dyDescent="0.25">
      <c r="A57" s="1067" t="s">
        <v>255</v>
      </c>
      <c r="B57" s="1067" t="s">
        <v>112</v>
      </c>
      <c r="C57" s="1067">
        <v>562</v>
      </c>
      <c r="D57" s="1067">
        <v>124</v>
      </c>
      <c r="E57" s="1067">
        <v>237</v>
      </c>
      <c r="F57" s="1067">
        <v>29</v>
      </c>
      <c r="G57" s="1067">
        <v>141</v>
      </c>
      <c r="H57" s="1067">
        <v>31</v>
      </c>
      <c r="I57" s="1067"/>
    </row>
    <row r="58" spans="1:9" x14ac:dyDescent="0.25">
      <c r="A58" s="1067" t="s">
        <v>255</v>
      </c>
      <c r="B58" s="1067" t="s">
        <v>113</v>
      </c>
      <c r="C58" s="1067">
        <v>207</v>
      </c>
      <c r="D58" s="1067">
        <v>7</v>
      </c>
      <c r="E58" s="1067">
        <v>84</v>
      </c>
      <c r="F58" s="1067">
        <v>3</v>
      </c>
      <c r="G58" s="1067">
        <v>93</v>
      </c>
      <c r="H58" s="1067">
        <v>20</v>
      </c>
      <c r="I58" s="1067"/>
    </row>
    <row r="59" spans="1:9" x14ac:dyDescent="0.25">
      <c r="A59" s="1067" t="s">
        <v>255</v>
      </c>
      <c r="B59" s="1067" t="s">
        <v>114</v>
      </c>
      <c r="C59" s="1067">
        <v>50</v>
      </c>
      <c r="D59" s="1067">
        <v>1</v>
      </c>
      <c r="E59" s="1067">
        <v>12</v>
      </c>
      <c r="F59" s="1067"/>
      <c r="G59" s="1067">
        <v>32</v>
      </c>
      <c r="H59" s="1067">
        <v>5</v>
      </c>
      <c r="I59" s="1067"/>
    </row>
    <row r="60" spans="1:9" x14ac:dyDescent="0.25">
      <c r="A60" s="1067" t="s">
        <v>255</v>
      </c>
      <c r="B60" s="1067" t="s">
        <v>115</v>
      </c>
      <c r="C60" s="1067">
        <v>9</v>
      </c>
      <c r="D60" s="1067"/>
      <c r="E60" s="1067">
        <v>1</v>
      </c>
      <c r="F60" s="1067"/>
      <c r="G60" s="1067">
        <v>8</v>
      </c>
      <c r="H60" s="1067"/>
      <c r="I60" s="1067"/>
    </row>
    <row r="61" spans="1:9" x14ac:dyDescent="0.25">
      <c r="A61" s="1067" t="s">
        <v>255</v>
      </c>
      <c r="B61" s="1067" t="s">
        <v>321</v>
      </c>
      <c r="C61" s="1067">
        <v>5</v>
      </c>
      <c r="D61" s="1067"/>
      <c r="E61" s="1067">
        <v>3</v>
      </c>
      <c r="F61" s="1067"/>
      <c r="G61" s="1067"/>
      <c r="H61" s="1067">
        <v>2</v>
      </c>
      <c r="I61" s="1067"/>
    </row>
    <row r="62" spans="1:9" x14ac:dyDescent="0.25">
      <c r="A62" s="1067" t="s">
        <v>254</v>
      </c>
      <c r="B62" s="1067" t="s">
        <v>105</v>
      </c>
      <c r="C62" s="1067">
        <v>230</v>
      </c>
      <c r="D62" s="1067">
        <v>47</v>
      </c>
      <c r="E62" s="1067">
        <v>140</v>
      </c>
      <c r="F62" s="1067">
        <v>12</v>
      </c>
      <c r="G62" s="1067">
        <v>18</v>
      </c>
      <c r="H62" s="1067">
        <v>13</v>
      </c>
      <c r="I62" s="1067"/>
    </row>
    <row r="63" spans="1:9" x14ac:dyDescent="0.25">
      <c r="A63" s="1067" t="s">
        <v>254</v>
      </c>
      <c r="B63" s="1067" t="s">
        <v>106</v>
      </c>
      <c r="C63" s="1067">
        <v>607</v>
      </c>
      <c r="D63" s="1067">
        <v>214</v>
      </c>
      <c r="E63" s="1067">
        <v>308</v>
      </c>
      <c r="F63" s="1067">
        <v>25</v>
      </c>
      <c r="G63" s="1067">
        <v>40</v>
      </c>
      <c r="H63" s="1067">
        <v>19</v>
      </c>
      <c r="I63" s="1067">
        <v>1</v>
      </c>
    </row>
    <row r="64" spans="1:9" x14ac:dyDescent="0.25">
      <c r="A64" s="1067" t="s">
        <v>254</v>
      </c>
      <c r="B64" s="1067" t="s">
        <v>107</v>
      </c>
      <c r="C64" s="1067">
        <v>838</v>
      </c>
      <c r="D64" s="1067">
        <v>339</v>
      </c>
      <c r="E64" s="1067">
        <v>373</v>
      </c>
      <c r="F64" s="1067">
        <v>36</v>
      </c>
      <c r="G64" s="1067">
        <v>61</v>
      </c>
      <c r="H64" s="1067">
        <v>28</v>
      </c>
      <c r="I64" s="1067">
        <v>1</v>
      </c>
    </row>
    <row r="65" spans="1:9" x14ac:dyDescent="0.25">
      <c r="A65" s="1067" t="s">
        <v>254</v>
      </c>
      <c r="B65" s="1067" t="s">
        <v>108</v>
      </c>
      <c r="C65" s="1067">
        <v>1104</v>
      </c>
      <c r="D65" s="1067">
        <v>595</v>
      </c>
      <c r="E65" s="1067">
        <v>383</v>
      </c>
      <c r="F65" s="1067">
        <v>24</v>
      </c>
      <c r="G65" s="1067">
        <v>71</v>
      </c>
      <c r="H65" s="1067">
        <v>29</v>
      </c>
      <c r="I65" s="1067">
        <v>2</v>
      </c>
    </row>
    <row r="66" spans="1:9" x14ac:dyDescent="0.25">
      <c r="A66" s="1067" t="s">
        <v>254</v>
      </c>
      <c r="B66" s="1067" t="s">
        <v>109</v>
      </c>
      <c r="C66" s="1067">
        <v>1207</v>
      </c>
      <c r="D66" s="1067">
        <v>687</v>
      </c>
      <c r="E66" s="1067">
        <v>374</v>
      </c>
      <c r="F66" s="1067">
        <v>20</v>
      </c>
      <c r="G66" s="1067">
        <v>91</v>
      </c>
      <c r="H66" s="1067">
        <v>33</v>
      </c>
      <c r="I66" s="1067">
        <v>2</v>
      </c>
    </row>
    <row r="67" spans="1:9" x14ac:dyDescent="0.25">
      <c r="A67" s="1067" t="s">
        <v>254</v>
      </c>
      <c r="B67" s="1067" t="s">
        <v>110</v>
      </c>
      <c r="C67" s="1067">
        <v>1514</v>
      </c>
      <c r="D67" s="1067">
        <v>828</v>
      </c>
      <c r="E67" s="1067">
        <v>466</v>
      </c>
      <c r="F67" s="1067">
        <v>27</v>
      </c>
      <c r="G67" s="1067">
        <v>134</v>
      </c>
      <c r="H67" s="1067">
        <v>57</v>
      </c>
      <c r="I67" s="1067">
        <v>2</v>
      </c>
    </row>
    <row r="68" spans="1:9" x14ac:dyDescent="0.25">
      <c r="A68" s="1067" t="s">
        <v>254</v>
      </c>
      <c r="B68" s="1067" t="s">
        <v>111</v>
      </c>
      <c r="C68" s="1067">
        <v>1496</v>
      </c>
      <c r="D68" s="1067">
        <v>749</v>
      </c>
      <c r="E68" s="1067">
        <v>508</v>
      </c>
      <c r="F68" s="1067">
        <v>28</v>
      </c>
      <c r="G68" s="1067">
        <v>132</v>
      </c>
      <c r="H68" s="1067">
        <v>73</v>
      </c>
      <c r="I68" s="1067">
        <v>6</v>
      </c>
    </row>
    <row r="69" spans="1:9" x14ac:dyDescent="0.25">
      <c r="A69" s="1067" t="s">
        <v>254</v>
      </c>
      <c r="B69" s="1067" t="s">
        <v>112</v>
      </c>
      <c r="C69" s="1067">
        <v>631</v>
      </c>
      <c r="D69" s="1067">
        <v>168</v>
      </c>
      <c r="E69" s="1067">
        <v>264</v>
      </c>
      <c r="F69" s="1067">
        <v>30</v>
      </c>
      <c r="G69" s="1067">
        <v>126</v>
      </c>
      <c r="H69" s="1067">
        <v>39</v>
      </c>
      <c r="I69" s="1067">
        <v>4</v>
      </c>
    </row>
    <row r="70" spans="1:9" x14ac:dyDescent="0.25">
      <c r="A70" s="1067" t="s">
        <v>254</v>
      </c>
      <c r="B70" s="1067" t="s">
        <v>113</v>
      </c>
      <c r="C70" s="1067">
        <v>218</v>
      </c>
      <c r="D70" s="1067">
        <v>9</v>
      </c>
      <c r="E70" s="1067">
        <v>95</v>
      </c>
      <c r="F70" s="1067">
        <v>5</v>
      </c>
      <c r="G70" s="1067">
        <v>89</v>
      </c>
      <c r="H70" s="1067">
        <v>20</v>
      </c>
      <c r="I70" s="1067"/>
    </row>
    <row r="71" spans="1:9" x14ac:dyDescent="0.25">
      <c r="A71" s="1067" t="s">
        <v>254</v>
      </c>
      <c r="B71" s="1067" t="s">
        <v>114</v>
      </c>
      <c r="C71" s="1067">
        <v>53</v>
      </c>
      <c r="D71" s="1067">
        <v>1</v>
      </c>
      <c r="E71" s="1067">
        <v>20</v>
      </c>
      <c r="F71" s="1067"/>
      <c r="G71" s="1067">
        <v>26</v>
      </c>
      <c r="H71" s="1067">
        <v>6</v>
      </c>
      <c r="I71" s="1067"/>
    </row>
    <row r="72" spans="1:9" x14ac:dyDescent="0.25">
      <c r="A72" s="1067" t="s">
        <v>254</v>
      </c>
      <c r="B72" s="1067" t="s">
        <v>115</v>
      </c>
      <c r="C72" s="1067">
        <v>2</v>
      </c>
      <c r="D72" s="1067"/>
      <c r="E72" s="1067"/>
      <c r="F72" s="1067"/>
      <c r="G72" s="1067">
        <v>2</v>
      </c>
      <c r="H72" s="1067"/>
      <c r="I72" s="1067"/>
    </row>
    <row r="73" spans="1:9" x14ac:dyDescent="0.25">
      <c r="A73" s="1067" t="s">
        <v>254</v>
      </c>
      <c r="B73" s="1067" t="s">
        <v>321</v>
      </c>
      <c r="C73" s="1067">
        <v>6</v>
      </c>
      <c r="D73" s="1067"/>
      <c r="E73" s="1067">
        <v>4</v>
      </c>
      <c r="F73" s="1067"/>
      <c r="G73" s="1067">
        <v>2</v>
      </c>
      <c r="H73" s="1067"/>
      <c r="I73" s="1067"/>
    </row>
    <row r="74" spans="1:9" x14ac:dyDescent="0.25">
      <c r="A74" s="1067" t="s">
        <v>851</v>
      </c>
      <c r="B74" s="1067" t="s">
        <v>105</v>
      </c>
      <c r="C74" s="1067">
        <v>241</v>
      </c>
      <c r="D74" s="1067">
        <v>46</v>
      </c>
      <c r="E74" s="1067">
        <v>152</v>
      </c>
      <c r="F74" s="1067">
        <v>7</v>
      </c>
      <c r="G74" s="1067">
        <v>18</v>
      </c>
      <c r="H74" s="1067">
        <v>18</v>
      </c>
      <c r="I74" s="1067"/>
    </row>
    <row r="75" spans="1:9" x14ac:dyDescent="0.25">
      <c r="A75" s="1067" t="s">
        <v>851</v>
      </c>
      <c r="B75" s="1067" t="s">
        <v>106</v>
      </c>
      <c r="C75" s="1067">
        <v>649</v>
      </c>
      <c r="D75" s="1067">
        <v>246</v>
      </c>
      <c r="E75" s="1067">
        <v>313</v>
      </c>
      <c r="F75" s="1067">
        <v>21</v>
      </c>
      <c r="G75" s="1067">
        <v>51</v>
      </c>
      <c r="H75" s="1067">
        <v>15</v>
      </c>
      <c r="I75" s="1067">
        <v>3</v>
      </c>
    </row>
    <row r="76" spans="1:9" x14ac:dyDescent="0.25">
      <c r="A76" s="1067" t="s">
        <v>851</v>
      </c>
      <c r="B76" s="1067" t="s">
        <v>107</v>
      </c>
      <c r="C76" s="1067">
        <v>855</v>
      </c>
      <c r="D76" s="1067">
        <v>360</v>
      </c>
      <c r="E76" s="1067">
        <v>366</v>
      </c>
      <c r="F76" s="1067">
        <v>38</v>
      </c>
      <c r="G76" s="1067">
        <v>61</v>
      </c>
      <c r="H76" s="1067">
        <v>26</v>
      </c>
      <c r="I76" s="1067">
        <v>4</v>
      </c>
    </row>
    <row r="77" spans="1:9" x14ac:dyDescent="0.25">
      <c r="A77" s="1067" t="s">
        <v>851</v>
      </c>
      <c r="B77" s="1067" t="s">
        <v>108</v>
      </c>
      <c r="C77" s="1067">
        <v>1102</v>
      </c>
      <c r="D77" s="1067">
        <v>567</v>
      </c>
      <c r="E77" s="1067">
        <v>405</v>
      </c>
      <c r="F77" s="1067">
        <v>20</v>
      </c>
      <c r="G77" s="1067">
        <v>73</v>
      </c>
      <c r="H77" s="1067">
        <v>32</v>
      </c>
      <c r="I77" s="1067">
        <v>5</v>
      </c>
    </row>
    <row r="78" spans="1:9" x14ac:dyDescent="0.25">
      <c r="A78" s="1067" t="s">
        <v>851</v>
      </c>
      <c r="B78" s="1067" t="s">
        <v>109</v>
      </c>
      <c r="C78" s="1067">
        <v>1196</v>
      </c>
      <c r="D78" s="1067">
        <v>701</v>
      </c>
      <c r="E78" s="1067">
        <v>357</v>
      </c>
      <c r="F78" s="1067">
        <v>19</v>
      </c>
      <c r="G78" s="1067">
        <v>87</v>
      </c>
      <c r="H78" s="1067">
        <v>28</v>
      </c>
      <c r="I78" s="1067">
        <v>4</v>
      </c>
    </row>
    <row r="79" spans="1:9" x14ac:dyDescent="0.25">
      <c r="A79" s="1067" t="s">
        <v>851</v>
      </c>
      <c r="B79" s="1067" t="s">
        <v>110</v>
      </c>
      <c r="C79" s="1067">
        <v>1388</v>
      </c>
      <c r="D79" s="1067">
        <v>775</v>
      </c>
      <c r="E79" s="1067">
        <v>421</v>
      </c>
      <c r="F79" s="1067">
        <v>22</v>
      </c>
      <c r="G79" s="1067">
        <v>114</v>
      </c>
      <c r="H79" s="1067">
        <v>53</v>
      </c>
      <c r="I79" s="1067">
        <v>3</v>
      </c>
    </row>
    <row r="80" spans="1:9" x14ac:dyDescent="0.25">
      <c r="A80" s="1067" t="s">
        <v>851</v>
      </c>
      <c r="B80" s="1067" t="s">
        <v>111</v>
      </c>
      <c r="C80" s="1067">
        <v>1495</v>
      </c>
      <c r="D80" s="1067">
        <v>740</v>
      </c>
      <c r="E80" s="1067">
        <v>495</v>
      </c>
      <c r="F80" s="1067">
        <v>27</v>
      </c>
      <c r="G80" s="1067">
        <v>151</v>
      </c>
      <c r="H80" s="1067">
        <v>72</v>
      </c>
      <c r="I80" s="1067">
        <v>10</v>
      </c>
    </row>
    <row r="81" spans="1:9" x14ac:dyDescent="0.25">
      <c r="A81" s="1067" t="s">
        <v>851</v>
      </c>
      <c r="B81" s="1067" t="s">
        <v>112</v>
      </c>
      <c r="C81" s="1067">
        <v>688</v>
      </c>
      <c r="D81" s="1067">
        <v>188</v>
      </c>
      <c r="E81" s="1067">
        <v>298</v>
      </c>
      <c r="F81" s="1067">
        <v>27</v>
      </c>
      <c r="G81" s="1067">
        <v>128</v>
      </c>
      <c r="H81" s="1067">
        <v>40</v>
      </c>
      <c r="I81" s="1067">
        <v>7</v>
      </c>
    </row>
    <row r="82" spans="1:9" x14ac:dyDescent="0.25">
      <c r="A82" s="1067" t="s">
        <v>851</v>
      </c>
      <c r="B82" s="1067" t="s">
        <v>113</v>
      </c>
      <c r="C82" s="1067">
        <v>229</v>
      </c>
      <c r="D82" s="1067">
        <v>12</v>
      </c>
      <c r="E82" s="1067">
        <v>96</v>
      </c>
      <c r="F82" s="1067">
        <v>6</v>
      </c>
      <c r="G82" s="1067">
        <v>92</v>
      </c>
      <c r="H82" s="1067">
        <v>23</v>
      </c>
      <c r="I82" s="1067"/>
    </row>
    <row r="83" spans="1:9" x14ac:dyDescent="0.25">
      <c r="A83" s="1067" t="s">
        <v>851</v>
      </c>
      <c r="B83" s="1067" t="s">
        <v>114</v>
      </c>
      <c r="C83" s="1067">
        <v>72</v>
      </c>
      <c r="D83" s="1067">
        <v>1</v>
      </c>
      <c r="E83" s="1067">
        <v>26</v>
      </c>
      <c r="F83" s="1067">
        <v>1</v>
      </c>
      <c r="G83" s="1067">
        <v>36</v>
      </c>
      <c r="H83" s="1067">
        <v>8</v>
      </c>
      <c r="I83" s="1067"/>
    </row>
    <row r="84" spans="1:9" x14ac:dyDescent="0.25">
      <c r="A84" s="1067" t="s">
        <v>851</v>
      </c>
      <c r="B84" s="1067" t="s">
        <v>115</v>
      </c>
      <c r="C84" s="1067">
        <v>2</v>
      </c>
      <c r="D84" s="1067"/>
      <c r="E84" s="1067"/>
      <c r="F84" s="1067"/>
      <c r="G84" s="1067">
        <v>2</v>
      </c>
      <c r="H84" s="1067"/>
      <c r="I84" s="1067"/>
    </row>
    <row r="85" spans="1:9" x14ac:dyDescent="0.25">
      <c r="A85" s="1067" t="s">
        <v>851</v>
      </c>
      <c r="B85" s="1067" t="s">
        <v>321</v>
      </c>
      <c r="C85" s="1067">
        <v>13</v>
      </c>
      <c r="D85" s="1067"/>
      <c r="E85" s="1067">
        <v>8</v>
      </c>
      <c r="F85" s="1067"/>
      <c r="G85" s="1067">
        <v>5</v>
      </c>
      <c r="H85" s="1067"/>
      <c r="I85" s="1067"/>
    </row>
  </sheetData>
  <sheetProtection algorithmName="SHA-512" hashValue="0cvGNUhBQmM3OhugR50Q4uqscfbrs1hEYnv0kJ6S+aagyPgq9OxS6evdoBLVty6+P8B5SFzoOckkZJl+F3GWow==" saltValue="zduhsIbDp9W+nIYyuDd/kA=="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H31"/>
  <sheetViews>
    <sheetView zoomScale="85" zoomScaleNormal="85" workbookViewId="0">
      <pane ySplit="4" topLeftCell="A5" activePane="bottomLeft" state="frozen"/>
      <selection pane="bottomLeft"/>
    </sheetView>
  </sheetViews>
  <sheetFormatPr defaultRowHeight="15" x14ac:dyDescent="0.25"/>
  <sheetData>
    <row r="4" spans="1:8" x14ac:dyDescent="0.25">
      <c r="A4" s="1066" t="s">
        <v>270</v>
      </c>
      <c r="B4" s="1066" t="s">
        <v>1228</v>
      </c>
      <c r="C4" s="1066" t="s">
        <v>26</v>
      </c>
      <c r="D4" s="1066" t="s">
        <v>2</v>
      </c>
      <c r="E4" s="1066" t="s">
        <v>9</v>
      </c>
      <c r="F4" s="1066" t="s">
        <v>315</v>
      </c>
      <c r="G4" s="1066" t="s">
        <v>316</v>
      </c>
      <c r="H4" s="1066" t="s">
        <v>852</v>
      </c>
    </row>
    <row r="5" spans="1:8" x14ac:dyDescent="0.25">
      <c r="A5" s="1067" t="s">
        <v>255</v>
      </c>
      <c r="B5" s="1067" t="s">
        <v>185</v>
      </c>
      <c r="C5" s="1067">
        <v>1325</v>
      </c>
      <c r="D5" s="1067">
        <v>26</v>
      </c>
      <c r="E5" s="1067">
        <v>434</v>
      </c>
      <c r="F5" s="1067">
        <v>51</v>
      </c>
      <c r="G5" s="1067">
        <v>814</v>
      </c>
      <c r="H5" s="1067"/>
    </row>
    <row r="6" spans="1:8" x14ac:dyDescent="0.25">
      <c r="A6" s="1067" t="s">
        <v>255</v>
      </c>
      <c r="B6" s="1067" t="s">
        <v>186</v>
      </c>
      <c r="C6" s="1067">
        <v>1294</v>
      </c>
      <c r="D6" s="1067">
        <v>22</v>
      </c>
      <c r="E6" s="1067">
        <v>429</v>
      </c>
      <c r="F6" s="1067">
        <v>54</v>
      </c>
      <c r="G6" s="1067">
        <v>789</v>
      </c>
      <c r="H6" s="1067"/>
    </row>
    <row r="7" spans="1:8" x14ac:dyDescent="0.25">
      <c r="A7" s="1067" t="s">
        <v>255</v>
      </c>
      <c r="B7" s="1067" t="s">
        <v>105</v>
      </c>
      <c r="C7" s="1067">
        <v>891</v>
      </c>
      <c r="D7" s="1067">
        <v>15</v>
      </c>
      <c r="E7" s="1067">
        <v>272</v>
      </c>
      <c r="F7" s="1067">
        <v>23</v>
      </c>
      <c r="G7" s="1067">
        <v>581</v>
      </c>
      <c r="H7" s="1067"/>
    </row>
    <row r="8" spans="1:8" x14ac:dyDescent="0.25">
      <c r="A8" s="1067" t="s">
        <v>255</v>
      </c>
      <c r="B8" s="1067" t="s">
        <v>106</v>
      </c>
      <c r="C8" s="1067">
        <v>893</v>
      </c>
      <c r="D8" s="1067">
        <v>21</v>
      </c>
      <c r="E8" s="1067">
        <v>262</v>
      </c>
      <c r="F8" s="1067">
        <v>25</v>
      </c>
      <c r="G8" s="1067">
        <v>585</v>
      </c>
      <c r="H8" s="1067"/>
    </row>
    <row r="9" spans="1:8" x14ac:dyDescent="0.25">
      <c r="A9" s="1067" t="s">
        <v>255</v>
      </c>
      <c r="B9" s="1067" t="s">
        <v>107</v>
      </c>
      <c r="C9" s="1067">
        <v>271</v>
      </c>
      <c r="D9" s="1067">
        <v>16</v>
      </c>
      <c r="E9" s="1067">
        <v>134</v>
      </c>
      <c r="F9" s="1067">
        <v>12</v>
      </c>
      <c r="G9" s="1067">
        <v>109</v>
      </c>
      <c r="H9" s="1067"/>
    </row>
    <row r="10" spans="1:8" x14ac:dyDescent="0.25">
      <c r="A10" s="1067" t="s">
        <v>255</v>
      </c>
      <c r="B10" s="1067" t="s">
        <v>108</v>
      </c>
      <c r="C10" s="1067">
        <v>69</v>
      </c>
      <c r="D10" s="1067">
        <v>11</v>
      </c>
      <c r="E10" s="1067">
        <v>47</v>
      </c>
      <c r="F10" s="1067">
        <v>4</v>
      </c>
      <c r="G10" s="1067">
        <v>7</v>
      </c>
      <c r="H10" s="1067"/>
    </row>
    <row r="11" spans="1:8" x14ac:dyDescent="0.25">
      <c r="A11" s="1067" t="s">
        <v>255</v>
      </c>
      <c r="B11" s="1067" t="s">
        <v>184</v>
      </c>
      <c r="C11" s="1067">
        <v>1100</v>
      </c>
      <c r="D11" s="1067">
        <v>17</v>
      </c>
      <c r="E11" s="1067">
        <v>572</v>
      </c>
      <c r="F11" s="1067">
        <v>64</v>
      </c>
      <c r="G11" s="1067">
        <v>447</v>
      </c>
      <c r="H11" s="1067"/>
    </row>
    <row r="12" spans="1:8" x14ac:dyDescent="0.25">
      <c r="A12" s="1067" t="s">
        <v>255</v>
      </c>
      <c r="B12" s="1067" t="s">
        <v>322</v>
      </c>
      <c r="C12" s="1067">
        <v>30</v>
      </c>
      <c r="D12" s="1067">
        <v>5</v>
      </c>
      <c r="E12" s="1067">
        <v>22</v>
      </c>
      <c r="F12" s="1067">
        <v>2</v>
      </c>
      <c r="G12" s="1067">
        <v>1</v>
      </c>
      <c r="H12" s="1067"/>
    </row>
    <row r="13" spans="1:8" x14ac:dyDescent="0.25">
      <c r="A13" s="1067" t="s">
        <v>255</v>
      </c>
      <c r="B13" s="1067" t="s">
        <v>323</v>
      </c>
      <c r="C13" s="1067">
        <v>1057</v>
      </c>
      <c r="D13" s="1067">
        <v>56</v>
      </c>
      <c r="E13" s="1067">
        <v>691</v>
      </c>
      <c r="F13" s="1067">
        <v>97</v>
      </c>
      <c r="G13" s="1067">
        <v>213</v>
      </c>
      <c r="H13" s="1067"/>
    </row>
    <row r="14" spans="1:8" x14ac:dyDescent="0.25">
      <c r="A14" s="1067" t="s">
        <v>254</v>
      </c>
      <c r="B14" s="1067" t="s">
        <v>185</v>
      </c>
      <c r="C14" s="1067">
        <v>1584</v>
      </c>
      <c r="D14" s="1067">
        <v>30</v>
      </c>
      <c r="E14" s="1067">
        <v>439</v>
      </c>
      <c r="F14" s="1067">
        <v>47</v>
      </c>
      <c r="G14" s="1067">
        <v>879</v>
      </c>
      <c r="H14" s="1067">
        <v>3</v>
      </c>
    </row>
    <row r="15" spans="1:8" x14ac:dyDescent="0.25">
      <c r="A15" s="1067" t="s">
        <v>254</v>
      </c>
      <c r="B15" s="1067" t="s">
        <v>186</v>
      </c>
      <c r="C15" s="1067">
        <v>1359</v>
      </c>
      <c r="D15" s="1067">
        <v>19</v>
      </c>
      <c r="E15" s="1067">
        <v>401</v>
      </c>
      <c r="F15" s="1067">
        <v>54</v>
      </c>
      <c r="G15" s="1067">
        <v>781</v>
      </c>
      <c r="H15" s="1067">
        <v>4</v>
      </c>
    </row>
    <row r="16" spans="1:8" x14ac:dyDescent="0.25">
      <c r="A16" s="1067" t="s">
        <v>254</v>
      </c>
      <c r="B16" s="1067" t="s">
        <v>105</v>
      </c>
      <c r="C16" s="1067">
        <v>990</v>
      </c>
      <c r="D16" s="1067">
        <v>18</v>
      </c>
      <c r="E16" s="1067">
        <v>291</v>
      </c>
      <c r="F16" s="1067">
        <v>25</v>
      </c>
      <c r="G16" s="1067">
        <v>589</v>
      </c>
      <c r="H16" s="1067">
        <v>3</v>
      </c>
    </row>
    <row r="17" spans="1:8" x14ac:dyDescent="0.25">
      <c r="A17" s="1067" t="s">
        <v>254</v>
      </c>
      <c r="B17" s="1067" t="s">
        <v>106</v>
      </c>
      <c r="C17" s="1067">
        <v>901</v>
      </c>
      <c r="D17" s="1067">
        <v>19</v>
      </c>
      <c r="E17" s="1067">
        <v>246</v>
      </c>
      <c r="F17" s="1067">
        <v>22</v>
      </c>
      <c r="G17" s="1067">
        <v>551</v>
      </c>
      <c r="H17" s="1067">
        <v>2</v>
      </c>
    </row>
    <row r="18" spans="1:8" x14ac:dyDescent="0.25">
      <c r="A18" s="1067" t="s">
        <v>254</v>
      </c>
      <c r="B18" s="1067" t="s">
        <v>107</v>
      </c>
      <c r="C18" s="1067">
        <v>329</v>
      </c>
      <c r="D18" s="1067">
        <v>19</v>
      </c>
      <c r="E18" s="1067">
        <v>155</v>
      </c>
      <c r="F18" s="1067">
        <v>15</v>
      </c>
      <c r="G18" s="1067">
        <v>99</v>
      </c>
      <c r="H18" s="1067">
        <v>3</v>
      </c>
    </row>
    <row r="19" spans="1:8" x14ac:dyDescent="0.25">
      <c r="A19" s="1067" t="s">
        <v>254</v>
      </c>
      <c r="B19" s="1067" t="s">
        <v>108</v>
      </c>
      <c r="C19" s="1067">
        <v>86</v>
      </c>
      <c r="D19" s="1067">
        <v>9</v>
      </c>
      <c r="E19" s="1067">
        <v>52</v>
      </c>
      <c r="F19" s="1067">
        <v>1</v>
      </c>
      <c r="G19" s="1067">
        <v>4</v>
      </c>
      <c r="H19" s="1067">
        <v>1</v>
      </c>
    </row>
    <row r="20" spans="1:8" x14ac:dyDescent="0.25">
      <c r="A20" s="1067" t="s">
        <v>254</v>
      </c>
      <c r="B20" s="1067" t="s">
        <v>184</v>
      </c>
      <c r="C20" s="1067">
        <v>1081</v>
      </c>
      <c r="D20" s="1067">
        <v>27</v>
      </c>
      <c r="E20" s="1067">
        <v>580</v>
      </c>
      <c r="F20" s="1067">
        <v>53</v>
      </c>
      <c r="G20" s="1067">
        <v>325</v>
      </c>
      <c r="H20" s="1067">
        <v>1</v>
      </c>
    </row>
    <row r="21" spans="1:8" x14ac:dyDescent="0.25">
      <c r="A21" s="1067" t="s">
        <v>254</v>
      </c>
      <c r="B21" s="1067" t="s">
        <v>322</v>
      </c>
      <c r="C21" s="1067">
        <v>41</v>
      </c>
      <c r="D21" s="1067">
        <v>4</v>
      </c>
      <c r="E21" s="1067">
        <v>23</v>
      </c>
      <c r="F21" s="1067">
        <v>4</v>
      </c>
      <c r="G21" s="1067">
        <v>3</v>
      </c>
      <c r="H21" s="1067"/>
    </row>
    <row r="22" spans="1:8" x14ac:dyDescent="0.25">
      <c r="A22" s="1067" t="s">
        <v>254</v>
      </c>
      <c r="B22" s="1067" t="s">
        <v>323</v>
      </c>
      <c r="C22" s="1067">
        <v>1535</v>
      </c>
      <c r="D22" s="1067">
        <v>62</v>
      </c>
      <c r="E22" s="1067">
        <v>748</v>
      </c>
      <c r="F22" s="1067">
        <v>96</v>
      </c>
      <c r="G22" s="1067">
        <v>406</v>
      </c>
      <c r="H22" s="1067">
        <v>1</v>
      </c>
    </row>
    <row r="23" spans="1:8" x14ac:dyDescent="0.25">
      <c r="A23" s="1067" t="s">
        <v>851</v>
      </c>
      <c r="B23" s="1067" t="s">
        <v>185</v>
      </c>
      <c r="C23" s="1067">
        <v>1408</v>
      </c>
      <c r="D23" s="1067">
        <v>25</v>
      </c>
      <c r="E23" s="1067">
        <v>432</v>
      </c>
      <c r="F23" s="1067">
        <v>41</v>
      </c>
      <c r="G23" s="1067">
        <v>742</v>
      </c>
      <c r="H23" s="1067">
        <v>10</v>
      </c>
    </row>
    <row r="24" spans="1:8" x14ac:dyDescent="0.25">
      <c r="A24" s="1067" t="s">
        <v>851</v>
      </c>
      <c r="B24" s="1067" t="s">
        <v>186</v>
      </c>
      <c r="C24" s="1067">
        <v>1366</v>
      </c>
      <c r="D24" s="1067">
        <v>23</v>
      </c>
      <c r="E24" s="1067">
        <v>395</v>
      </c>
      <c r="F24" s="1067">
        <v>43</v>
      </c>
      <c r="G24" s="1067">
        <v>784</v>
      </c>
      <c r="H24" s="1067">
        <v>5</v>
      </c>
    </row>
    <row r="25" spans="1:8" x14ac:dyDescent="0.25">
      <c r="A25" s="1067" t="s">
        <v>851</v>
      </c>
      <c r="B25" s="1067" t="s">
        <v>105</v>
      </c>
      <c r="C25" s="1067">
        <v>1053</v>
      </c>
      <c r="D25" s="1067">
        <v>15</v>
      </c>
      <c r="E25" s="1067">
        <v>289</v>
      </c>
      <c r="F25" s="1067">
        <v>36</v>
      </c>
      <c r="G25" s="1067">
        <v>641</v>
      </c>
      <c r="H25" s="1067">
        <v>5</v>
      </c>
    </row>
    <row r="26" spans="1:8" x14ac:dyDescent="0.25">
      <c r="A26" s="1067" t="s">
        <v>851</v>
      </c>
      <c r="B26" s="1067" t="s">
        <v>106</v>
      </c>
      <c r="C26" s="1067">
        <v>834</v>
      </c>
      <c r="D26" s="1067">
        <v>15</v>
      </c>
      <c r="E26" s="1067">
        <v>223</v>
      </c>
      <c r="F26" s="1067">
        <v>21</v>
      </c>
      <c r="G26" s="1067">
        <v>516</v>
      </c>
      <c r="H26" s="1067">
        <v>3</v>
      </c>
    </row>
    <row r="27" spans="1:8" x14ac:dyDescent="0.25">
      <c r="A27" s="1067" t="s">
        <v>851</v>
      </c>
      <c r="B27" s="1067" t="s">
        <v>107</v>
      </c>
      <c r="C27" s="1067">
        <v>312</v>
      </c>
      <c r="D27" s="1067">
        <v>20</v>
      </c>
      <c r="E27" s="1067">
        <v>156</v>
      </c>
      <c r="F27" s="1067">
        <v>16</v>
      </c>
      <c r="G27" s="1067">
        <v>78</v>
      </c>
      <c r="H27" s="1067">
        <v>4</v>
      </c>
    </row>
    <row r="28" spans="1:8" x14ac:dyDescent="0.25">
      <c r="A28" s="1067" t="s">
        <v>851</v>
      </c>
      <c r="B28" s="1067" t="s">
        <v>108</v>
      </c>
      <c r="C28" s="1067">
        <v>91</v>
      </c>
      <c r="D28" s="1067">
        <v>3</v>
      </c>
      <c r="E28" s="1067">
        <v>57</v>
      </c>
      <c r="F28" s="1067">
        <v>2</v>
      </c>
      <c r="G28" s="1067">
        <v>5</v>
      </c>
      <c r="H28" s="1067">
        <v>3</v>
      </c>
    </row>
    <row r="29" spans="1:8" x14ac:dyDescent="0.25">
      <c r="A29" s="1067" t="s">
        <v>851</v>
      </c>
      <c r="B29" s="1067" t="s">
        <v>184</v>
      </c>
      <c r="C29" s="1067">
        <v>1068</v>
      </c>
      <c r="D29" s="1067">
        <v>26</v>
      </c>
      <c r="E29" s="1067">
        <v>556</v>
      </c>
      <c r="F29" s="1067">
        <v>55</v>
      </c>
      <c r="G29" s="1067">
        <v>330</v>
      </c>
      <c r="H29" s="1067">
        <v>5</v>
      </c>
    </row>
    <row r="30" spans="1:8" x14ac:dyDescent="0.25">
      <c r="A30" s="1067" t="s">
        <v>851</v>
      </c>
      <c r="B30" s="1067" t="s">
        <v>322</v>
      </c>
      <c r="C30" s="1067">
        <v>52</v>
      </c>
      <c r="D30" s="1067">
        <v>7</v>
      </c>
      <c r="E30" s="1067">
        <v>28</v>
      </c>
      <c r="F30" s="1067">
        <v>4</v>
      </c>
      <c r="G30" s="1067">
        <v>4</v>
      </c>
      <c r="H30" s="1067"/>
    </row>
    <row r="31" spans="1:8" x14ac:dyDescent="0.25">
      <c r="A31" s="1067" t="s">
        <v>851</v>
      </c>
      <c r="B31" s="1067" t="s">
        <v>323</v>
      </c>
      <c r="C31" s="1067">
        <v>1746</v>
      </c>
      <c r="D31" s="1067">
        <v>54</v>
      </c>
      <c r="E31" s="1067">
        <v>801</v>
      </c>
      <c r="F31" s="1067">
        <v>97</v>
      </c>
      <c r="G31" s="1067">
        <v>536</v>
      </c>
      <c r="H31" s="1067">
        <v>1</v>
      </c>
    </row>
  </sheetData>
  <sheetProtection algorithmName="SHA-512" hashValue="/zMEYmzc/eSEV2pcF9s7Qozdv0Y6IMDEA6Al72TrpI5NdRVkhanMX+rUu2R/nBl6KUdFW8AK0p6Ily9fcfa78Q==" saltValue="fPMG2vuLyL8HPWOnMHwIxg==" spinCount="100000" sheet="1" scenarios="1" formatCells="0" formatColumns="0" formatRows="0" sort="0" autoFilter="0" pivotTables="0"/>
  <pageMargins left="0.7" right="0.7" top="0.75" bottom="0.75" header="0.3" footer="0.3"/>
  <pageSetup paperSize="9" fitToHeight="5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D59"/>
  <sheetViews>
    <sheetView zoomScale="85" zoomScaleNormal="85" workbookViewId="0">
      <pane ySplit="4" topLeftCell="A5" activePane="bottomLeft" state="frozen"/>
      <selection pane="bottomLeft"/>
    </sheetView>
  </sheetViews>
  <sheetFormatPr defaultRowHeight="15" x14ac:dyDescent="0.25"/>
  <sheetData>
    <row r="4" spans="1:4" x14ac:dyDescent="0.25">
      <c r="A4" s="1066" t="s">
        <v>329</v>
      </c>
      <c r="B4" s="1066" t="s">
        <v>1229</v>
      </c>
      <c r="C4" s="1066" t="s">
        <v>1091</v>
      </c>
      <c r="D4" s="1066" t="s">
        <v>1230</v>
      </c>
    </row>
    <row r="5" spans="1:4" x14ac:dyDescent="0.25">
      <c r="A5" s="1067" t="s">
        <v>254</v>
      </c>
      <c r="B5" s="1067" t="s">
        <v>986</v>
      </c>
      <c r="C5" s="1067" t="s">
        <v>9</v>
      </c>
      <c r="D5" s="1067">
        <v>8</v>
      </c>
    </row>
    <row r="6" spans="1:4" x14ac:dyDescent="0.25">
      <c r="A6" s="1067" t="s">
        <v>254</v>
      </c>
      <c r="B6" s="1067" t="s">
        <v>986</v>
      </c>
      <c r="C6" s="1067" t="s">
        <v>3</v>
      </c>
      <c r="D6" s="1067">
        <v>2</v>
      </c>
    </row>
    <row r="7" spans="1:4" x14ac:dyDescent="0.25">
      <c r="A7" s="1067" t="s">
        <v>254</v>
      </c>
      <c r="B7" s="1067" t="s">
        <v>986</v>
      </c>
      <c r="C7" s="1067" t="s">
        <v>316</v>
      </c>
      <c r="D7" s="1067">
        <v>3</v>
      </c>
    </row>
    <row r="8" spans="1:4" x14ac:dyDescent="0.25">
      <c r="A8" s="1067" t="s">
        <v>254</v>
      </c>
      <c r="B8" s="1067" t="s">
        <v>987</v>
      </c>
      <c r="C8" s="1067" t="s">
        <v>3</v>
      </c>
      <c r="D8" s="1067">
        <v>4</v>
      </c>
    </row>
    <row r="9" spans="1:4" x14ac:dyDescent="0.25">
      <c r="A9" s="1067" t="s">
        <v>254</v>
      </c>
      <c r="B9" s="1067" t="s">
        <v>200</v>
      </c>
      <c r="C9" s="1067" t="s">
        <v>9</v>
      </c>
      <c r="D9" s="1067">
        <v>2</v>
      </c>
    </row>
    <row r="10" spans="1:4" x14ac:dyDescent="0.25">
      <c r="A10" s="1067" t="s">
        <v>254</v>
      </c>
      <c r="B10" s="1067" t="s">
        <v>200</v>
      </c>
      <c r="C10" s="1067" t="s">
        <v>3</v>
      </c>
      <c r="D10" s="1067">
        <v>1</v>
      </c>
    </row>
    <row r="11" spans="1:4" x14ac:dyDescent="0.25">
      <c r="A11" s="1067" t="s">
        <v>254</v>
      </c>
      <c r="B11" s="1067" t="s">
        <v>200</v>
      </c>
      <c r="C11" s="1067" t="s">
        <v>316</v>
      </c>
      <c r="D11" s="1067">
        <v>4</v>
      </c>
    </row>
    <row r="12" spans="1:4" x14ac:dyDescent="0.25">
      <c r="A12" s="1067" t="s">
        <v>254</v>
      </c>
      <c r="B12" s="1067" t="s">
        <v>988</v>
      </c>
      <c r="C12" s="1067" t="s">
        <v>2</v>
      </c>
      <c r="D12" s="1067">
        <v>9</v>
      </c>
    </row>
    <row r="13" spans="1:4" x14ac:dyDescent="0.25">
      <c r="A13" s="1067" t="s">
        <v>254</v>
      </c>
      <c r="B13" s="1067" t="s">
        <v>988</v>
      </c>
      <c r="C13" s="1067" t="s">
        <v>9</v>
      </c>
      <c r="D13" s="1067">
        <v>144</v>
      </c>
    </row>
    <row r="14" spans="1:4" x14ac:dyDescent="0.25">
      <c r="A14" s="1067" t="s">
        <v>254</v>
      </c>
      <c r="B14" s="1067" t="s">
        <v>988</v>
      </c>
      <c r="C14" s="1067" t="s">
        <v>3</v>
      </c>
      <c r="D14" s="1067">
        <v>49</v>
      </c>
    </row>
    <row r="15" spans="1:4" x14ac:dyDescent="0.25">
      <c r="A15" s="1067" t="s">
        <v>254</v>
      </c>
      <c r="B15" s="1067" t="s">
        <v>988</v>
      </c>
      <c r="C15" s="1067" t="s">
        <v>315</v>
      </c>
      <c r="D15" s="1067">
        <v>32</v>
      </c>
    </row>
    <row r="16" spans="1:4" x14ac:dyDescent="0.25">
      <c r="A16" s="1067" t="s">
        <v>254</v>
      </c>
      <c r="B16" s="1067" t="s">
        <v>988</v>
      </c>
      <c r="C16" s="1067" t="s">
        <v>316</v>
      </c>
      <c r="D16" s="1067">
        <v>13</v>
      </c>
    </row>
    <row r="17" spans="1:4" x14ac:dyDescent="0.25">
      <c r="A17" s="1067" t="s">
        <v>254</v>
      </c>
      <c r="B17" s="1067" t="s">
        <v>989</v>
      </c>
      <c r="C17" s="1067" t="s">
        <v>2</v>
      </c>
      <c r="D17" s="1067">
        <v>1</v>
      </c>
    </row>
    <row r="18" spans="1:4" x14ac:dyDescent="0.25">
      <c r="A18" s="1067" t="s">
        <v>254</v>
      </c>
      <c r="B18" s="1067" t="s">
        <v>989</v>
      </c>
      <c r="C18" s="1067" t="s">
        <v>9</v>
      </c>
      <c r="D18" s="1067">
        <v>12</v>
      </c>
    </row>
    <row r="19" spans="1:4" x14ac:dyDescent="0.25">
      <c r="A19" s="1067" t="s">
        <v>254</v>
      </c>
      <c r="B19" s="1067" t="s">
        <v>989</v>
      </c>
      <c r="C19" s="1067" t="s">
        <v>3</v>
      </c>
      <c r="D19" s="1067">
        <v>3</v>
      </c>
    </row>
    <row r="20" spans="1:4" x14ac:dyDescent="0.25">
      <c r="A20" s="1067" t="s">
        <v>254</v>
      </c>
      <c r="B20" s="1067" t="s">
        <v>989</v>
      </c>
      <c r="C20" s="1067" t="s">
        <v>315</v>
      </c>
      <c r="D20" s="1067">
        <v>3</v>
      </c>
    </row>
    <row r="21" spans="1:4" x14ac:dyDescent="0.25">
      <c r="A21" s="1067" t="s">
        <v>254</v>
      </c>
      <c r="B21" s="1067" t="s">
        <v>989</v>
      </c>
      <c r="C21" s="1067" t="s">
        <v>316</v>
      </c>
      <c r="D21" s="1067">
        <v>46</v>
      </c>
    </row>
    <row r="22" spans="1:4" x14ac:dyDescent="0.25">
      <c r="A22" s="1067" t="s">
        <v>254</v>
      </c>
      <c r="B22" s="1067" t="s">
        <v>990</v>
      </c>
      <c r="C22" s="1067" t="s">
        <v>2</v>
      </c>
      <c r="D22" s="1067">
        <v>4</v>
      </c>
    </row>
    <row r="23" spans="1:4" x14ac:dyDescent="0.25">
      <c r="A23" s="1067" t="s">
        <v>254</v>
      </c>
      <c r="B23" s="1067" t="s">
        <v>990</v>
      </c>
      <c r="C23" s="1067" t="s">
        <v>9</v>
      </c>
      <c r="D23" s="1067">
        <v>18</v>
      </c>
    </row>
    <row r="24" spans="1:4" x14ac:dyDescent="0.25">
      <c r="A24" s="1067" t="s">
        <v>254</v>
      </c>
      <c r="B24" s="1067" t="s">
        <v>990</v>
      </c>
      <c r="C24" s="1067" t="s">
        <v>3</v>
      </c>
      <c r="D24" s="1067">
        <v>12</v>
      </c>
    </row>
    <row r="25" spans="1:4" x14ac:dyDescent="0.25">
      <c r="A25" s="1067" t="s">
        <v>254</v>
      </c>
      <c r="B25" s="1067" t="s">
        <v>990</v>
      </c>
      <c r="C25" s="1067" t="s">
        <v>315</v>
      </c>
      <c r="D25" s="1067">
        <v>3</v>
      </c>
    </row>
    <row r="26" spans="1:4" x14ac:dyDescent="0.25">
      <c r="A26" s="1067" t="s">
        <v>254</v>
      </c>
      <c r="B26" s="1067" t="s">
        <v>990</v>
      </c>
      <c r="C26" s="1067" t="s">
        <v>316</v>
      </c>
      <c r="D26" s="1067">
        <v>110</v>
      </c>
    </row>
    <row r="27" spans="1:4" x14ac:dyDescent="0.25">
      <c r="A27" s="1067" t="s">
        <v>254</v>
      </c>
      <c r="B27" s="1067" t="s">
        <v>991</v>
      </c>
      <c r="C27" s="1067" t="s">
        <v>3</v>
      </c>
      <c r="D27" s="1067">
        <v>12</v>
      </c>
    </row>
    <row r="28" spans="1:4" x14ac:dyDescent="0.25">
      <c r="A28" s="1067" t="s">
        <v>254</v>
      </c>
      <c r="B28" s="1067" t="s">
        <v>992</v>
      </c>
      <c r="C28" s="1067" t="s">
        <v>9</v>
      </c>
      <c r="D28" s="1067">
        <v>4</v>
      </c>
    </row>
    <row r="29" spans="1:4" x14ac:dyDescent="0.25">
      <c r="A29" s="1067" t="s">
        <v>254</v>
      </c>
      <c r="B29" s="1067" t="s">
        <v>992</v>
      </c>
      <c r="C29" s="1067" t="s">
        <v>3</v>
      </c>
      <c r="D29" s="1067">
        <v>1</v>
      </c>
    </row>
    <row r="30" spans="1:4" x14ac:dyDescent="0.25">
      <c r="A30" s="1067" t="s">
        <v>254</v>
      </c>
      <c r="B30" s="1067" t="s">
        <v>992</v>
      </c>
      <c r="C30" s="1067" t="s">
        <v>316</v>
      </c>
      <c r="D30" s="1067">
        <v>8</v>
      </c>
    </row>
    <row r="31" spans="1:4" x14ac:dyDescent="0.25">
      <c r="A31" s="1067" t="s">
        <v>254</v>
      </c>
      <c r="B31" s="1067" t="s">
        <v>993</v>
      </c>
      <c r="C31" s="1067" t="s">
        <v>316</v>
      </c>
      <c r="D31" s="1067">
        <v>2</v>
      </c>
    </row>
    <row r="32" spans="1:4" x14ac:dyDescent="0.25">
      <c r="A32" s="1067" t="s">
        <v>254</v>
      </c>
      <c r="B32" s="1067" t="s">
        <v>994</v>
      </c>
      <c r="C32" s="1067" t="s">
        <v>3</v>
      </c>
      <c r="D32" s="1067">
        <v>47</v>
      </c>
    </row>
    <row r="33" spans="1:4" x14ac:dyDescent="0.25">
      <c r="A33" s="1067" t="s">
        <v>254</v>
      </c>
      <c r="B33" s="1067" t="s">
        <v>995</v>
      </c>
      <c r="C33" s="1067" t="s">
        <v>3</v>
      </c>
      <c r="D33" s="1067">
        <v>17</v>
      </c>
    </row>
    <row r="34" spans="1:4" x14ac:dyDescent="0.25">
      <c r="A34" s="1067" t="s">
        <v>851</v>
      </c>
      <c r="B34" s="1067" t="s">
        <v>986</v>
      </c>
      <c r="C34" s="1067" t="s">
        <v>9</v>
      </c>
      <c r="D34" s="1067">
        <v>2</v>
      </c>
    </row>
    <row r="35" spans="1:4" x14ac:dyDescent="0.25">
      <c r="A35" s="1067" t="s">
        <v>851</v>
      </c>
      <c r="B35" s="1067" t="s">
        <v>986</v>
      </c>
      <c r="C35" s="1067" t="s">
        <v>3</v>
      </c>
      <c r="D35" s="1067">
        <v>1</v>
      </c>
    </row>
    <row r="36" spans="1:4" x14ac:dyDescent="0.25">
      <c r="A36" s="1067" t="s">
        <v>851</v>
      </c>
      <c r="B36" s="1067" t="s">
        <v>986</v>
      </c>
      <c r="C36" s="1067" t="s">
        <v>316</v>
      </c>
      <c r="D36" s="1067">
        <v>4</v>
      </c>
    </row>
    <row r="37" spans="1:4" x14ac:dyDescent="0.25">
      <c r="A37" s="1067" t="s">
        <v>851</v>
      </c>
      <c r="B37" s="1067" t="s">
        <v>987</v>
      </c>
      <c r="C37" s="1067" t="s">
        <v>3</v>
      </c>
      <c r="D37" s="1067">
        <v>7</v>
      </c>
    </row>
    <row r="38" spans="1:4" x14ac:dyDescent="0.25">
      <c r="A38" s="1067" t="s">
        <v>851</v>
      </c>
      <c r="B38" s="1067" t="s">
        <v>200</v>
      </c>
      <c r="C38" s="1067" t="s">
        <v>2</v>
      </c>
      <c r="D38" s="1067">
        <v>1</v>
      </c>
    </row>
    <row r="39" spans="1:4" x14ac:dyDescent="0.25">
      <c r="A39" s="1067" t="s">
        <v>851</v>
      </c>
      <c r="B39" s="1067" t="s">
        <v>200</v>
      </c>
      <c r="C39" s="1067" t="s">
        <v>9</v>
      </c>
      <c r="D39" s="1067">
        <v>4</v>
      </c>
    </row>
    <row r="40" spans="1:4" x14ac:dyDescent="0.25">
      <c r="A40" s="1067" t="s">
        <v>851</v>
      </c>
      <c r="B40" s="1067" t="s">
        <v>200</v>
      </c>
      <c r="C40" s="1067" t="s">
        <v>315</v>
      </c>
      <c r="D40" s="1067">
        <v>2</v>
      </c>
    </row>
    <row r="41" spans="1:4" x14ac:dyDescent="0.25">
      <c r="A41" s="1067" t="s">
        <v>851</v>
      </c>
      <c r="B41" s="1067" t="s">
        <v>200</v>
      </c>
      <c r="C41" s="1067" t="s">
        <v>316</v>
      </c>
      <c r="D41" s="1067">
        <v>2</v>
      </c>
    </row>
    <row r="42" spans="1:4" x14ac:dyDescent="0.25">
      <c r="A42" s="1067" t="s">
        <v>851</v>
      </c>
      <c r="B42" s="1067" t="s">
        <v>988</v>
      </c>
      <c r="C42" s="1067" t="s">
        <v>2</v>
      </c>
      <c r="D42" s="1067">
        <v>5</v>
      </c>
    </row>
    <row r="43" spans="1:4" x14ac:dyDescent="0.25">
      <c r="A43" s="1067" t="s">
        <v>851</v>
      </c>
      <c r="B43" s="1067" t="s">
        <v>988</v>
      </c>
      <c r="C43" s="1067" t="s">
        <v>9</v>
      </c>
      <c r="D43" s="1067">
        <v>163</v>
      </c>
    </row>
    <row r="44" spans="1:4" x14ac:dyDescent="0.25">
      <c r="A44" s="1067" t="s">
        <v>851</v>
      </c>
      <c r="B44" s="1067" t="s">
        <v>988</v>
      </c>
      <c r="C44" s="1067" t="s">
        <v>3</v>
      </c>
      <c r="D44" s="1067">
        <v>29</v>
      </c>
    </row>
    <row r="45" spans="1:4" x14ac:dyDescent="0.25">
      <c r="A45" s="1067" t="s">
        <v>851</v>
      </c>
      <c r="B45" s="1067" t="s">
        <v>988</v>
      </c>
      <c r="C45" s="1067" t="s">
        <v>315</v>
      </c>
      <c r="D45" s="1067">
        <v>18</v>
      </c>
    </row>
    <row r="46" spans="1:4" x14ac:dyDescent="0.25">
      <c r="A46" s="1067" t="s">
        <v>851</v>
      </c>
      <c r="B46" s="1067" t="s">
        <v>988</v>
      </c>
      <c r="C46" s="1067" t="s">
        <v>316</v>
      </c>
      <c r="D46" s="1067">
        <v>21</v>
      </c>
    </row>
    <row r="47" spans="1:4" x14ac:dyDescent="0.25">
      <c r="A47" s="1067" t="s">
        <v>851</v>
      </c>
      <c r="B47" s="1067" t="s">
        <v>989</v>
      </c>
      <c r="C47" s="1067" t="s">
        <v>9</v>
      </c>
      <c r="D47" s="1067">
        <v>3</v>
      </c>
    </row>
    <row r="48" spans="1:4" x14ac:dyDescent="0.25">
      <c r="A48" s="1067" t="s">
        <v>851</v>
      </c>
      <c r="B48" s="1067" t="s">
        <v>989</v>
      </c>
      <c r="C48" s="1067" t="s">
        <v>3</v>
      </c>
      <c r="D48" s="1067">
        <v>1</v>
      </c>
    </row>
    <row r="49" spans="1:4" x14ac:dyDescent="0.25">
      <c r="A49" s="1067" t="s">
        <v>851</v>
      </c>
      <c r="B49" s="1067" t="s">
        <v>989</v>
      </c>
      <c r="C49" s="1067" t="s">
        <v>315</v>
      </c>
      <c r="D49" s="1067">
        <v>1</v>
      </c>
    </row>
    <row r="50" spans="1:4" x14ac:dyDescent="0.25">
      <c r="A50" s="1067" t="s">
        <v>851</v>
      </c>
      <c r="B50" s="1067" t="s">
        <v>989</v>
      </c>
      <c r="C50" s="1067" t="s">
        <v>316</v>
      </c>
      <c r="D50" s="1067">
        <v>16</v>
      </c>
    </row>
    <row r="51" spans="1:4" x14ac:dyDescent="0.25">
      <c r="A51" s="1067" t="s">
        <v>851</v>
      </c>
      <c r="B51" s="1067" t="s">
        <v>990</v>
      </c>
      <c r="C51" s="1067" t="s">
        <v>2</v>
      </c>
      <c r="D51" s="1067">
        <v>6</v>
      </c>
    </row>
    <row r="52" spans="1:4" x14ac:dyDescent="0.25">
      <c r="A52" s="1067" t="s">
        <v>851</v>
      </c>
      <c r="B52" s="1067" t="s">
        <v>990</v>
      </c>
      <c r="C52" s="1067" t="s">
        <v>9</v>
      </c>
      <c r="D52" s="1067">
        <v>41</v>
      </c>
    </row>
    <row r="53" spans="1:4" x14ac:dyDescent="0.25">
      <c r="A53" s="1067" t="s">
        <v>851</v>
      </c>
      <c r="B53" s="1067" t="s">
        <v>990</v>
      </c>
      <c r="C53" s="1067" t="s">
        <v>3</v>
      </c>
      <c r="D53" s="1067">
        <v>14</v>
      </c>
    </row>
    <row r="54" spans="1:4" x14ac:dyDescent="0.25">
      <c r="A54" s="1067" t="s">
        <v>851</v>
      </c>
      <c r="B54" s="1067" t="s">
        <v>990</v>
      </c>
      <c r="C54" s="1067" t="s">
        <v>315</v>
      </c>
      <c r="D54" s="1067">
        <v>4</v>
      </c>
    </row>
    <row r="55" spans="1:4" x14ac:dyDescent="0.25">
      <c r="A55" s="1067" t="s">
        <v>851</v>
      </c>
      <c r="B55" s="1067" t="s">
        <v>990</v>
      </c>
      <c r="C55" s="1067" t="s">
        <v>316</v>
      </c>
      <c r="D55" s="1067">
        <v>152</v>
      </c>
    </row>
    <row r="56" spans="1:4" x14ac:dyDescent="0.25">
      <c r="A56" s="1067" t="s">
        <v>851</v>
      </c>
      <c r="B56" s="1067" t="s">
        <v>992</v>
      </c>
      <c r="C56" s="1067" t="s">
        <v>2</v>
      </c>
      <c r="D56" s="1067">
        <v>1</v>
      </c>
    </row>
    <row r="57" spans="1:4" x14ac:dyDescent="0.25">
      <c r="A57" s="1067" t="s">
        <v>851</v>
      </c>
      <c r="B57" s="1067" t="s">
        <v>992</v>
      </c>
      <c r="C57" s="1067" t="s">
        <v>9</v>
      </c>
      <c r="D57" s="1067">
        <v>5</v>
      </c>
    </row>
    <row r="58" spans="1:4" x14ac:dyDescent="0.25">
      <c r="A58" s="1067" t="s">
        <v>851</v>
      </c>
      <c r="B58" s="1067" t="s">
        <v>992</v>
      </c>
      <c r="C58" s="1067" t="s">
        <v>3</v>
      </c>
      <c r="D58" s="1067">
        <v>1</v>
      </c>
    </row>
    <row r="59" spans="1:4" x14ac:dyDescent="0.25">
      <c r="A59" s="1067" t="s">
        <v>851</v>
      </c>
      <c r="B59" s="1067" t="s">
        <v>992</v>
      </c>
      <c r="C59" s="1067" t="s">
        <v>316</v>
      </c>
      <c r="D59" s="1067">
        <v>7</v>
      </c>
    </row>
  </sheetData>
  <sheetProtection algorithmName="SHA-512" hashValue="xD/xvnbYTY4M9iV1Fm9evFuxqLdBH8BkcnOID9aa8tAp+vgCDRPknqXcg4ZVUK+/fhmMClJTFeoLJHctlRy+qA==" saltValue="z19CK8tByU9RqWUNkM8wTg==" spinCount="100000" sheet="1" scenarios="1" formatCells="0" formatColumns="0" formatRows="0" sort="0" autoFilter="0" pivotTables="0"/>
  <pageMargins left="0.7" right="0.7" top="0.75" bottom="0.75" header="0.3" footer="0.3"/>
  <pageSetup paperSize="9" fitToHeight="50"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E184"/>
  <sheetViews>
    <sheetView zoomScale="85" zoomScaleNormal="85" workbookViewId="0">
      <pane ySplit="4" topLeftCell="A108" activePane="bottomLeft" state="frozen"/>
      <selection pane="bottomLeft"/>
    </sheetView>
  </sheetViews>
  <sheetFormatPr defaultRowHeight="15" x14ac:dyDescent="0.25"/>
  <sheetData>
    <row r="4" spans="1:4" x14ac:dyDescent="0.25">
      <c r="A4" s="1066" t="s">
        <v>329</v>
      </c>
      <c r="B4" s="1066" t="s">
        <v>1226</v>
      </c>
      <c r="C4" s="1066" t="s">
        <v>1091</v>
      </c>
      <c r="D4" s="1066" t="s">
        <v>1231</v>
      </c>
    </row>
    <row r="5" spans="1:4" x14ac:dyDescent="0.25">
      <c r="A5" s="1067" t="s">
        <v>254</v>
      </c>
      <c r="B5" s="1067" t="s">
        <v>105</v>
      </c>
      <c r="C5" s="1067" t="s">
        <v>2</v>
      </c>
      <c r="D5" s="1067">
        <v>8</v>
      </c>
    </row>
    <row r="6" spans="1:4" x14ac:dyDescent="0.25">
      <c r="A6" s="1067" t="s">
        <v>254</v>
      </c>
      <c r="B6" s="1067" t="s">
        <v>105</v>
      </c>
      <c r="C6" s="1067" t="s">
        <v>9</v>
      </c>
      <c r="D6" s="1067">
        <v>56</v>
      </c>
    </row>
    <row r="7" spans="1:4" x14ac:dyDescent="0.25">
      <c r="A7" s="1067" t="s">
        <v>254</v>
      </c>
      <c r="B7" s="1067" t="s">
        <v>105</v>
      </c>
      <c r="C7" s="1067" t="s">
        <v>3</v>
      </c>
      <c r="D7" s="1067">
        <v>11</v>
      </c>
    </row>
    <row r="8" spans="1:4" x14ac:dyDescent="0.25">
      <c r="A8" s="1067" t="s">
        <v>254</v>
      </c>
      <c r="B8" s="1067" t="s">
        <v>105</v>
      </c>
      <c r="C8" s="1067" t="s">
        <v>315</v>
      </c>
      <c r="D8" s="1067">
        <v>4</v>
      </c>
    </row>
    <row r="9" spans="1:4" x14ac:dyDescent="0.25">
      <c r="A9" s="1067" t="s">
        <v>254</v>
      </c>
      <c r="B9" s="1067" t="s">
        <v>105</v>
      </c>
      <c r="C9" s="1067" t="s">
        <v>316</v>
      </c>
      <c r="D9" s="1067">
        <v>26</v>
      </c>
    </row>
    <row r="10" spans="1:4" x14ac:dyDescent="0.25">
      <c r="A10" s="1067" t="s">
        <v>254</v>
      </c>
      <c r="B10" s="1067" t="s">
        <v>106</v>
      </c>
      <c r="C10" s="1067" t="s">
        <v>2</v>
      </c>
      <c r="D10" s="1067">
        <v>9</v>
      </c>
    </row>
    <row r="11" spans="1:4" x14ac:dyDescent="0.25">
      <c r="A11" s="1067" t="s">
        <v>254</v>
      </c>
      <c r="B11" s="1067" t="s">
        <v>106</v>
      </c>
      <c r="C11" s="1067" t="s">
        <v>9</v>
      </c>
      <c r="D11" s="1067">
        <v>50</v>
      </c>
    </row>
    <row r="12" spans="1:4" x14ac:dyDescent="0.25">
      <c r="A12" s="1067" t="s">
        <v>254</v>
      </c>
      <c r="B12" s="1067" t="s">
        <v>106</v>
      </c>
      <c r="C12" s="1067" t="s">
        <v>3</v>
      </c>
      <c r="D12" s="1067">
        <v>12</v>
      </c>
    </row>
    <row r="13" spans="1:4" x14ac:dyDescent="0.25">
      <c r="A13" s="1067" t="s">
        <v>254</v>
      </c>
      <c r="B13" s="1067" t="s">
        <v>106</v>
      </c>
      <c r="C13" s="1067" t="s">
        <v>315</v>
      </c>
      <c r="D13" s="1067">
        <v>5</v>
      </c>
    </row>
    <row r="14" spans="1:4" x14ac:dyDescent="0.25">
      <c r="A14" s="1067" t="s">
        <v>254</v>
      </c>
      <c r="B14" s="1067" t="s">
        <v>106</v>
      </c>
      <c r="C14" s="1067" t="s">
        <v>316</v>
      </c>
      <c r="D14" s="1067">
        <v>61</v>
      </c>
    </row>
    <row r="15" spans="1:4" x14ac:dyDescent="0.25">
      <c r="A15" s="1067" t="s">
        <v>254</v>
      </c>
      <c r="B15" s="1067" t="s">
        <v>107</v>
      </c>
      <c r="C15" s="1067" t="s">
        <v>2</v>
      </c>
      <c r="D15" s="1067">
        <v>7</v>
      </c>
    </row>
    <row r="16" spans="1:4" x14ac:dyDescent="0.25">
      <c r="A16" s="1067" t="s">
        <v>254</v>
      </c>
      <c r="B16" s="1067" t="s">
        <v>107</v>
      </c>
      <c r="C16" s="1067" t="s">
        <v>9</v>
      </c>
      <c r="D16" s="1067">
        <v>50</v>
      </c>
    </row>
    <row r="17" spans="1:4" x14ac:dyDescent="0.25">
      <c r="A17" s="1067" t="s">
        <v>254</v>
      </c>
      <c r="B17" s="1067" t="s">
        <v>107</v>
      </c>
      <c r="C17" s="1067" t="s">
        <v>3</v>
      </c>
      <c r="D17" s="1067">
        <v>8</v>
      </c>
    </row>
    <row r="18" spans="1:4" x14ac:dyDescent="0.25">
      <c r="A18" s="1067" t="s">
        <v>254</v>
      </c>
      <c r="B18" s="1067" t="s">
        <v>107</v>
      </c>
      <c r="C18" s="1067" t="s">
        <v>315</v>
      </c>
      <c r="D18" s="1067">
        <v>3</v>
      </c>
    </row>
    <row r="19" spans="1:4" x14ac:dyDescent="0.25">
      <c r="A19" s="1067" t="s">
        <v>254</v>
      </c>
      <c r="B19" s="1067" t="s">
        <v>107</v>
      </c>
      <c r="C19" s="1067" t="s">
        <v>316</v>
      </c>
      <c r="D19" s="1067">
        <v>61</v>
      </c>
    </row>
    <row r="20" spans="1:4" x14ac:dyDescent="0.25">
      <c r="A20" s="1067" t="s">
        <v>254</v>
      </c>
      <c r="B20" s="1067" t="s">
        <v>108</v>
      </c>
      <c r="C20" s="1067" t="s">
        <v>2</v>
      </c>
      <c r="D20" s="1067">
        <v>5</v>
      </c>
    </row>
    <row r="21" spans="1:4" x14ac:dyDescent="0.25">
      <c r="A21" s="1067" t="s">
        <v>254</v>
      </c>
      <c r="B21" s="1067" t="s">
        <v>108</v>
      </c>
      <c r="C21" s="1067" t="s">
        <v>9</v>
      </c>
      <c r="D21" s="1067">
        <v>30</v>
      </c>
    </row>
    <row r="22" spans="1:4" x14ac:dyDescent="0.25">
      <c r="A22" s="1067" t="s">
        <v>254</v>
      </c>
      <c r="B22" s="1067" t="s">
        <v>108</v>
      </c>
      <c r="C22" s="1067" t="s">
        <v>3</v>
      </c>
      <c r="D22" s="1067">
        <v>7</v>
      </c>
    </row>
    <row r="23" spans="1:4" x14ac:dyDescent="0.25">
      <c r="A23" s="1067" t="s">
        <v>254</v>
      </c>
      <c r="B23" s="1067" t="s">
        <v>108</v>
      </c>
      <c r="C23" s="1067" t="s">
        <v>315</v>
      </c>
      <c r="D23" s="1067">
        <v>3</v>
      </c>
    </row>
    <row r="24" spans="1:4" x14ac:dyDescent="0.25">
      <c r="A24" s="1067" t="s">
        <v>254</v>
      </c>
      <c r="B24" s="1067" t="s">
        <v>108</v>
      </c>
      <c r="C24" s="1067" t="s">
        <v>316</v>
      </c>
      <c r="D24" s="1067">
        <v>25</v>
      </c>
    </row>
    <row r="25" spans="1:4" x14ac:dyDescent="0.25">
      <c r="A25" s="1067" t="s">
        <v>254</v>
      </c>
      <c r="B25" s="1067" t="s">
        <v>109</v>
      </c>
      <c r="C25" s="1067" t="s">
        <v>9</v>
      </c>
      <c r="D25" s="1067">
        <v>28</v>
      </c>
    </row>
    <row r="26" spans="1:4" x14ac:dyDescent="0.25">
      <c r="A26" s="1067" t="s">
        <v>254</v>
      </c>
      <c r="B26" s="1067" t="s">
        <v>109</v>
      </c>
      <c r="C26" s="1067" t="s">
        <v>3</v>
      </c>
      <c r="D26" s="1067">
        <v>12</v>
      </c>
    </row>
    <row r="27" spans="1:4" x14ac:dyDescent="0.25">
      <c r="A27" s="1067" t="s">
        <v>254</v>
      </c>
      <c r="B27" s="1067" t="s">
        <v>109</v>
      </c>
      <c r="C27" s="1067" t="s">
        <v>315</v>
      </c>
      <c r="D27" s="1067">
        <v>2</v>
      </c>
    </row>
    <row r="28" spans="1:4" x14ac:dyDescent="0.25">
      <c r="A28" s="1067" t="s">
        <v>254</v>
      </c>
      <c r="B28" s="1067" t="s">
        <v>109</v>
      </c>
      <c r="C28" s="1067" t="s">
        <v>316</v>
      </c>
      <c r="D28" s="1067">
        <v>13</v>
      </c>
    </row>
    <row r="29" spans="1:4" x14ac:dyDescent="0.25">
      <c r="A29" s="1067" t="s">
        <v>254</v>
      </c>
      <c r="B29" s="1067" t="s">
        <v>110</v>
      </c>
      <c r="C29" s="1067" t="s">
        <v>9</v>
      </c>
      <c r="D29" s="1067">
        <v>16</v>
      </c>
    </row>
    <row r="30" spans="1:4" x14ac:dyDescent="0.25">
      <c r="A30" s="1067" t="s">
        <v>254</v>
      </c>
      <c r="B30" s="1067" t="s">
        <v>110</v>
      </c>
      <c r="C30" s="1067" t="s">
        <v>3</v>
      </c>
      <c r="D30" s="1067">
        <v>13</v>
      </c>
    </row>
    <row r="31" spans="1:4" x14ac:dyDescent="0.25">
      <c r="A31" s="1067" t="s">
        <v>254</v>
      </c>
      <c r="B31" s="1067" t="s">
        <v>110</v>
      </c>
      <c r="C31" s="1067" t="s">
        <v>315</v>
      </c>
      <c r="D31" s="1067">
        <v>3</v>
      </c>
    </row>
    <row r="32" spans="1:4" x14ac:dyDescent="0.25">
      <c r="A32" s="1067" t="s">
        <v>254</v>
      </c>
      <c r="B32" s="1067" t="s">
        <v>110</v>
      </c>
      <c r="C32" s="1067" t="s">
        <v>316</v>
      </c>
      <c r="D32" s="1067">
        <v>7</v>
      </c>
    </row>
    <row r="33" spans="1:4" x14ac:dyDescent="0.25">
      <c r="A33" s="1067" t="s">
        <v>254</v>
      </c>
      <c r="B33" s="1067" t="s">
        <v>111</v>
      </c>
      <c r="C33" s="1067" t="s">
        <v>9</v>
      </c>
      <c r="D33" s="1067">
        <v>11</v>
      </c>
    </row>
    <row r="34" spans="1:4" x14ac:dyDescent="0.25">
      <c r="A34" s="1067" t="s">
        <v>254</v>
      </c>
      <c r="B34" s="1067" t="s">
        <v>111</v>
      </c>
      <c r="C34" s="1067" t="s">
        <v>3</v>
      </c>
      <c r="D34" s="1067">
        <v>9</v>
      </c>
    </row>
    <row r="35" spans="1:4" x14ac:dyDescent="0.25">
      <c r="A35" s="1067" t="s">
        <v>254</v>
      </c>
      <c r="B35" s="1067" t="s">
        <v>111</v>
      </c>
      <c r="C35" s="1067" t="s">
        <v>315</v>
      </c>
      <c r="D35" s="1067">
        <v>3</v>
      </c>
    </row>
    <row r="36" spans="1:4" x14ac:dyDescent="0.25">
      <c r="A36" s="1067" t="s">
        <v>254</v>
      </c>
      <c r="B36" s="1067" t="s">
        <v>111</v>
      </c>
      <c r="C36" s="1067" t="s">
        <v>316</v>
      </c>
      <c r="D36" s="1067">
        <v>1</v>
      </c>
    </row>
    <row r="37" spans="1:4" x14ac:dyDescent="0.25">
      <c r="A37" s="1067" t="s">
        <v>254</v>
      </c>
      <c r="B37" s="1067" t="s">
        <v>112</v>
      </c>
      <c r="C37" s="1067" t="s">
        <v>9</v>
      </c>
      <c r="D37" s="1067">
        <v>2</v>
      </c>
    </row>
    <row r="38" spans="1:4" x14ac:dyDescent="0.25">
      <c r="A38" s="1067" t="s">
        <v>254</v>
      </c>
      <c r="B38" s="1067" t="s">
        <v>112</v>
      </c>
      <c r="C38" s="1067" t="s">
        <v>3</v>
      </c>
      <c r="D38" s="1067">
        <v>11</v>
      </c>
    </row>
    <row r="39" spans="1:4" x14ac:dyDescent="0.25">
      <c r="A39" s="1067" t="s">
        <v>254</v>
      </c>
      <c r="B39" s="1067" t="s">
        <v>113</v>
      </c>
      <c r="C39" s="1067" t="s">
        <v>3</v>
      </c>
      <c r="D39" s="1067">
        <v>6</v>
      </c>
    </row>
    <row r="40" spans="1:4" x14ac:dyDescent="0.25">
      <c r="A40" s="1067" t="s">
        <v>254</v>
      </c>
      <c r="B40" s="1067" t="s">
        <v>114</v>
      </c>
      <c r="C40" s="1067" t="s">
        <v>3</v>
      </c>
      <c r="D40" s="1067">
        <v>1</v>
      </c>
    </row>
    <row r="41" spans="1:4" x14ac:dyDescent="0.25">
      <c r="A41" s="1067" t="s">
        <v>254</v>
      </c>
      <c r="B41" s="1067" t="s">
        <v>114</v>
      </c>
      <c r="C41" s="1067" t="s">
        <v>315</v>
      </c>
      <c r="D41" s="1067">
        <v>1</v>
      </c>
    </row>
    <row r="42" spans="1:4" x14ac:dyDescent="0.25">
      <c r="A42" s="1067" t="s">
        <v>254</v>
      </c>
      <c r="B42" s="1067" t="s">
        <v>321</v>
      </c>
      <c r="C42" s="1067" t="s">
        <v>9</v>
      </c>
      <c r="D42" s="1067">
        <v>4</v>
      </c>
    </row>
    <row r="43" spans="1:4" x14ac:dyDescent="0.25">
      <c r="A43" s="1067" t="s">
        <v>254</v>
      </c>
      <c r="B43" s="1067" t="s">
        <v>321</v>
      </c>
      <c r="C43" s="1067" t="s">
        <v>3</v>
      </c>
      <c r="D43" s="1067">
        <v>2</v>
      </c>
    </row>
    <row r="44" spans="1:4" x14ac:dyDescent="0.25">
      <c r="A44" s="1067" t="s">
        <v>851</v>
      </c>
      <c r="B44" s="1067" t="s">
        <v>105</v>
      </c>
      <c r="C44" s="1067" t="s">
        <v>9</v>
      </c>
      <c r="D44" s="1067">
        <v>52</v>
      </c>
    </row>
    <row r="45" spans="1:4" x14ac:dyDescent="0.25">
      <c r="A45" s="1067" t="s">
        <v>851</v>
      </c>
      <c r="B45" s="1067" t="s">
        <v>105</v>
      </c>
      <c r="C45" s="1067" t="s">
        <v>3</v>
      </c>
      <c r="D45" s="1067">
        <v>6</v>
      </c>
    </row>
    <row r="46" spans="1:4" x14ac:dyDescent="0.25">
      <c r="A46" s="1067" t="s">
        <v>851</v>
      </c>
      <c r="B46" s="1067" t="s">
        <v>105</v>
      </c>
      <c r="C46" s="1067" t="s">
        <v>315</v>
      </c>
      <c r="D46" s="1067">
        <v>4</v>
      </c>
    </row>
    <row r="47" spans="1:4" x14ac:dyDescent="0.25">
      <c r="A47" s="1067" t="s">
        <v>851</v>
      </c>
      <c r="B47" s="1067" t="s">
        <v>105</v>
      </c>
      <c r="C47" s="1067" t="s">
        <v>316</v>
      </c>
      <c r="D47" s="1067">
        <v>7</v>
      </c>
    </row>
    <row r="48" spans="1:4" x14ac:dyDescent="0.25">
      <c r="A48" s="1067" t="s">
        <v>851</v>
      </c>
      <c r="B48" s="1067" t="s">
        <v>106</v>
      </c>
      <c r="C48" s="1067" t="s">
        <v>9</v>
      </c>
      <c r="D48" s="1067">
        <v>43</v>
      </c>
    </row>
    <row r="49" spans="1:4" x14ac:dyDescent="0.25">
      <c r="A49" s="1067" t="s">
        <v>851</v>
      </c>
      <c r="B49" s="1067" t="s">
        <v>106</v>
      </c>
      <c r="C49" s="1067" t="s">
        <v>3</v>
      </c>
      <c r="D49" s="1067">
        <v>14</v>
      </c>
    </row>
    <row r="50" spans="1:4" x14ac:dyDescent="0.25">
      <c r="A50" s="1067" t="s">
        <v>851</v>
      </c>
      <c r="B50" s="1067" t="s">
        <v>106</v>
      </c>
      <c r="C50" s="1067" t="s">
        <v>315</v>
      </c>
      <c r="D50" s="1067">
        <v>2</v>
      </c>
    </row>
    <row r="51" spans="1:4" x14ac:dyDescent="0.25">
      <c r="A51" s="1067" t="s">
        <v>851</v>
      </c>
      <c r="B51" s="1067" t="s">
        <v>106</v>
      </c>
      <c r="C51" s="1067" t="s">
        <v>316</v>
      </c>
      <c r="D51" s="1067">
        <v>41</v>
      </c>
    </row>
    <row r="52" spans="1:4" x14ac:dyDescent="0.25">
      <c r="A52" s="1067" t="s">
        <v>851</v>
      </c>
      <c r="B52" s="1067" t="s">
        <v>107</v>
      </c>
      <c r="C52" s="1067" t="s">
        <v>9</v>
      </c>
      <c r="D52" s="1067">
        <v>42</v>
      </c>
    </row>
    <row r="53" spans="1:4" x14ac:dyDescent="0.25">
      <c r="A53" s="1067" t="s">
        <v>851</v>
      </c>
      <c r="B53" s="1067" t="s">
        <v>107</v>
      </c>
      <c r="C53" s="1067" t="s">
        <v>3</v>
      </c>
      <c r="D53" s="1067">
        <v>5</v>
      </c>
    </row>
    <row r="54" spans="1:4" x14ac:dyDescent="0.25">
      <c r="A54" s="1067" t="s">
        <v>851</v>
      </c>
      <c r="B54" s="1067" t="s">
        <v>107</v>
      </c>
      <c r="C54" s="1067" t="s">
        <v>315</v>
      </c>
      <c r="D54" s="1067">
        <v>6</v>
      </c>
    </row>
    <row r="55" spans="1:4" x14ac:dyDescent="0.25">
      <c r="A55" s="1067" t="s">
        <v>851</v>
      </c>
      <c r="B55" s="1067" t="s">
        <v>107</v>
      </c>
      <c r="C55" s="1067" t="s">
        <v>316</v>
      </c>
      <c r="D55" s="1067">
        <v>43</v>
      </c>
    </row>
    <row r="56" spans="1:4" x14ac:dyDescent="0.25">
      <c r="A56" s="1067" t="s">
        <v>851</v>
      </c>
      <c r="B56" s="1067" t="s">
        <v>108</v>
      </c>
      <c r="C56" s="1067" t="s">
        <v>9</v>
      </c>
      <c r="D56" s="1067">
        <v>40</v>
      </c>
    </row>
    <row r="57" spans="1:4" x14ac:dyDescent="0.25">
      <c r="A57" s="1067" t="s">
        <v>851</v>
      </c>
      <c r="B57" s="1067" t="s">
        <v>108</v>
      </c>
      <c r="C57" s="1067" t="s">
        <v>3</v>
      </c>
      <c r="D57" s="1067">
        <v>10</v>
      </c>
    </row>
    <row r="58" spans="1:4" x14ac:dyDescent="0.25">
      <c r="A58" s="1067" t="s">
        <v>851</v>
      </c>
      <c r="B58" s="1067" t="s">
        <v>108</v>
      </c>
      <c r="C58" s="1067" t="s">
        <v>315</v>
      </c>
      <c r="D58" s="1067">
        <v>2</v>
      </c>
    </row>
    <row r="59" spans="1:4" x14ac:dyDescent="0.25">
      <c r="A59" s="1067" t="s">
        <v>851</v>
      </c>
      <c r="B59" s="1067" t="s">
        <v>108</v>
      </c>
      <c r="C59" s="1067" t="s">
        <v>316</v>
      </c>
      <c r="D59" s="1067">
        <v>14</v>
      </c>
    </row>
    <row r="60" spans="1:4" x14ac:dyDescent="0.25">
      <c r="A60" s="1067" t="s">
        <v>851</v>
      </c>
      <c r="B60" s="1067" t="s">
        <v>109</v>
      </c>
      <c r="C60" s="1067" t="s">
        <v>9</v>
      </c>
      <c r="D60" s="1067">
        <v>11</v>
      </c>
    </row>
    <row r="61" spans="1:4" x14ac:dyDescent="0.25">
      <c r="A61" s="1067" t="s">
        <v>851</v>
      </c>
      <c r="B61" s="1067" t="s">
        <v>109</v>
      </c>
      <c r="C61" s="1067" t="s">
        <v>3</v>
      </c>
      <c r="D61" s="1067">
        <v>10</v>
      </c>
    </row>
    <row r="62" spans="1:4" x14ac:dyDescent="0.25">
      <c r="A62" s="1067" t="s">
        <v>851</v>
      </c>
      <c r="B62" s="1067" t="s">
        <v>109</v>
      </c>
      <c r="C62" s="1067" t="s">
        <v>315</v>
      </c>
      <c r="D62" s="1067">
        <v>1</v>
      </c>
    </row>
    <row r="63" spans="1:4" x14ac:dyDescent="0.25">
      <c r="A63" s="1067" t="s">
        <v>851</v>
      </c>
      <c r="B63" s="1067" t="s">
        <v>109</v>
      </c>
      <c r="C63" s="1067" t="s">
        <v>316</v>
      </c>
      <c r="D63" s="1067">
        <v>9</v>
      </c>
    </row>
    <row r="64" spans="1:4" x14ac:dyDescent="0.25">
      <c r="A64" s="1067" t="s">
        <v>851</v>
      </c>
      <c r="B64" s="1067" t="s">
        <v>110</v>
      </c>
      <c r="C64" s="1067" t="s">
        <v>9</v>
      </c>
      <c r="D64" s="1067">
        <v>16</v>
      </c>
    </row>
    <row r="65" spans="1:4" x14ac:dyDescent="0.25">
      <c r="A65" s="1067" t="s">
        <v>851</v>
      </c>
      <c r="B65" s="1067" t="s">
        <v>110</v>
      </c>
      <c r="C65" s="1067" t="s">
        <v>3</v>
      </c>
      <c r="D65" s="1067">
        <v>5</v>
      </c>
    </row>
    <row r="66" spans="1:4" x14ac:dyDescent="0.25">
      <c r="A66" s="1067" t="s">
        <v>851</v>
      </c>
      <c r="B66" s="1067" t="s">
        <v>110</v>
      </c>
      <c r="C66" s="1067" t="s">
        <v>315</v>
      </c>
      <c r="D66" s="1067">
        <v>3</v>
      </c>
    </row>
    <row r="67" spans="1:4" x14ac:dyDescent="0.25">
      <c r="A67" s="1067" t="s">
        <v>851</v>
      </c>
      <c r="B67" s="1067" t="s">
        <v>110</v>
      </c>
      <c r="C67" s="1067" t="s">
        <v>316</v>
      </c>
      <c r="D67" s="1067">
        <v>3</v>
      </c>
    </row>
    <row r="68" spans="1:4" x14ac:dyDescent="0.25">
      <c r="A68" s="1067" t="s">
        <v>851</v>
      </c>
      <c r="B68" s="1067" t="s">
        <v>111</v>
      </c>
      <c r="C68" s="1067" t="s">
        <v>9</v>
      </c>
      <c r="D68" s="1067">
        <v>8</v>
      </c>
    </row>
    <row r="69" spans="1:4" x14ac:dyDescent="0.25">
      <c r="A69" s="1067" t="s">
        <v>851</v>
      </c>
      <c r="B69" s="1067" t="s">
        <v>111</v>
      </c>
      <c r="C69" s="1067" t="s">
        <v>3</v>
      </c>
      <c r="D69" s="1067">
        <v>7</v>
      </c>
    </row>
    <row r="70" spans="1:4" x14ac:dyDescent="0.25">
      <c r="A70" s="1067" t="s">
        <v>851</v>
      </c>
      <c r="B70" s="1067" t="s">
        <v>111</v>
      </c>
      <c r="C70" s="1067" t="s">
        <v>315</v>
      </c>
      <c r="D70" s="1067">
        <v>3</v>
      </c>
    </row>
    <row r="71" spans="1:4" x14ac:dyDescent="0.25">
      <c r="A71" s="1067" t="s">
        <v>851</v>
      </c>
      <c r="B71" s="1067" t="s">
        <v>111</v>
      </c>
      <c r="C71" s="1067" t="s">
        <v>316</v>
      </c>
      <c r="D71" s="1067">
        <v>1</v>
      </c>
    </row>
    <row r="72" spans="1:4" x14ac:dyDescent="0.25">
      <c r="A72" s="1067" t="s">
        <v>851</v>
      </c>
      <c r="B72" s="1067" t="s">
        <v>112</v>
      </c>
      <c r="C72" s="1067" t="s">
        <v>9</v>
      </c>
      <c r="D72" s="1067">
        <v>3</v>
      </c>
    </row>
    <row r="73" spans="1:4" x14ac:dyDescent="0.25">
      <c r="A73" s="1067" t="s">
        <v>851</v>
      </c>
      <c r="B73" s="1067" t="s">
        <v>112</v>
      </c>
      <c r="C73" s="1067" t="s">
        <v>3</v>
      </c>
      <c r="D73" s="1067">
        <v>6</v>
      </c>
    </row>
    <row r="74" spans="1:4" x14ac:dyDescent="0.25">
      <c r="A74" s="1067" t="s">
        <v>851</v>
      </c>
      <c r="B74" s="1067" t="s">
        <v>112</v>
      </c>
      <c r="C74" s="1067" t="s">
        <v>316</v>
      </c>
      <c r="D74" s="1067">
        <v>1</v>
      </c>
    </row>
    <row r="75" spans="1:4" x14ac:dyDescent="0.25">
      <c r="A75" s="1067" t="s">
        <v>851</v>
      </c>
      <c r="B75" s="1067" t="s">
        <v>113</v>
      </c>
      <c r="C75" s="1067" t="s">
        <v>3</v>
      </c>
      <c r="D75" s="1067">
        <v>1</v>
      </c>
    </row>
    <row r="76" spans="1:4" x14ac:dyDescent="0.25">
      <c r="A76" s="1067" t="s">
        <v>851</v>
      </c>
      <c r="B76" s="1067" t="s">
        <v>321</v>
      </c>
      <c r="C76" s="1067" t="s">
        <v>9</v>
      </c>
      <c r="D76" s="1067">
        <v>8</v>
      </c>
    </row>
    <row r="77" spans="1:4" x14ac:dyDescent="0.25">
      <c r="A77" s="1067" t="s">
        <v>851</v>
      </c>
      <c r="B77" s="1067" t="s">
        <v>321</v>
      </c>
      <c r="C77" s="1067" t="s">
        <v>3</v>
      </c>
      <c r="D77" s="1067">
        <v>3</v>
      </c>
    </row>
    <row r="80" spans="1:4" x14ac:dyDescent="0.25">
      <c r="A80" s="1069" t="s">
        <v>329</v>
      </c>
      <c r="B80" s="1069" t="s">
        <v>571</v>
      </c>
      <c r="C80" s="1069" t="s">
        <v>1091</v>
      </c>
      <c r="D80" s="1069" t="s">
        <v>1231</v>
      </c>
    </row>
    <row r="81" spans="1:4" x14ac:dyDescent="0.25">
      <c r="A81" s="1067" t="s">
        <v>254</v>
      </c>
      <c r="B81" s="1067" t="s">
        <v>92</v>
      </c>
      <c r="C81" s="1067" t="s">
        <v>2</v>
      </c>
      <c r="D81" s="1067">
        <v>24</v>
      </c>
    </row>
    <row r="82" spans="1:4" x14ac:dyDescent="0.25">
      <c r="A82" s="1067" t="s">
        <v>254</v>
      </c>
      <c r="B82" s="1067" t="s">
        <v>92</v>
      </c>
      <c r="C82" s="1067" t="s">
        <v>9</v>
      </c>
      <c r="D82" s="1067">
        <v>38</v>
      </c>
    </row>
    <row r="83" spans="1:4" x14ac:dyDescent="0.25">
      <c r="A83" s="1067" t="s">
        <v>254</v>
      </c>
      <c r="B83" s="1067" t="s">
        <v>92</v>
      </c>
      <c r="C83" s="1067" t="s">
        <v>3</v>
      </c>
      <c r="D83" s="1067">
        <v>38</v>
      </c>
    </row>
    <row r="84" spans="1:4" x14ac:dyDescent="0.25">
      <c r="A84" s="1067" t="s">
        <v>254</v>
      </c>
      <c r="B84" s="1067" t="s">
        <v>92</v>
      </c>
      <c r="C84" s="1067" t="s">
        <v>315</v>
      </c>
      <c r="D84" s="1067">
        <v>8</v>
      </c>
    </row>
    <row r="85" spans="1:4" x14ac:dyDescent="0.25">
      <c r="A85" s="1067" t="s">
        <v>254</v>
      </c>
      <c r="B85" s="1067" t="s">
        <v>92</v>
      </c>
      <c r="C85" s="1067" t="s">
        <v>316</v>
      </c>
      <c r="D85" s="1067">
        <v>14</v>
      </c>
    </row>
    <row r="86" spans="1:4" x14ac:dyDescent="0.25">
      <c r="A86" s="1067" t="s">
        <v>254</v>
      </c>
      <c r="B86" s="1067" t="s">
        <v>93</v>
      </c>
      <c r="C86" s="1067" t="s">
        <v>2</v>
      </c>
      <c r="D86" s="1067">
        <v>5</v>
      </c>
    </row>
    <row r="87" spans="1:4" x14ac:dyDescent="0.25">
      <c r="A87" s="1067" t="s">
        <v>254</v>
      </c>
      <c r="B87" s="1067" t="s">
        <v>93</v>
      </c>
      <c r="C87" s="1067" t="s">
        <v>9</v>
      </c>
      <c r="D87" s="1067">
        <v>209</v>
      </c>
    </row>
    <row r="88" spans="1:4" x14ac:dyDescent="0.25">
      <c r="A88" s="1067" t="s">
        <v>254</v>
      </c>
      <c r="B88" s="1067" t="s">
        <v>93</v>
      </c>
      <c r="C88" s="1067" t="s">
        <v>3</v>
      </c>
      <c r="D88" s="1067">
        <v>54</v>
      </c>
    </row>
    <row r="89" spans="1:4" x14ac:dyDescent="0.25">
      <c r="A89" s="1067" t="s">
        <v>254</v>
      </c>
      <c r="B89" s="1067" t="s">
        <v>93</v>
      </c>
      <c r="C89" s="1067" t="s">
        <v>315</v>
      </c>
      <c r="D89" s="1067">
        <v>16</v>
      </c>
    </row>
    <row r="90" spans="1:4" x14ac:dyDescent="0.25">
      <c r="A90" s="1067" t="s">
        <v>254</v>
      </c>
      <c r="B90" s="1067" t="s">
        <v>93</v>
      </c>
      <c r="C90" s="1067" t="s">
        <v>316</v>
      </c>
      <c r="D90" s="1067">
        <v>180</v>
      </c>
    </row>
    <row r="91" spans="1:4" x14ac:dyDescent="0.25">
      <c r="A91" s="1067" t="s">
        <v>851</v>
      </c>
      <c r="B91" s="1067" t="s">
        <v>92</v>
      </c>
      <c r="C91" s="1067" t="s">
        <v>9</v>
      </c>
      <c r="D91" s="1067">
        <v>23</v>
      </c>
    </row>
    <row r="92" spans="1:4" x14ac:dyDescent="0.25">
      <c r="A92" s="1067" t="s">
        <v>851</v>
      </c>
      <c r="B92" s="1067" t="s">
        <v>92</v>
      </c>
      <c r="C92" s="1067" t="s">
        <v>3</v>
      </c>
      <c r="D92" s="1067">
        <v>38</v>
      </c>
    </row>
    <row r="93" spans="1:4" x14ac:dyDescent="0.25">
      <c r="A93" s="1067" t="s">
        <v>851</v>
      </c>
      <c r="B93" s="1067" t="s">
        <v>92</v>
      </c>
      <c r="C93" s="1067" t="s">
        <v>315</v>
      </c>
      <c r="D93" s="1067">
        <v>6</v>
      </c>
    </row>
    <row r="94" spans="1:4" x14ac:dyDescent="0.25">
      <c r="A94" s="1067" t="s">
        <v>851</v>
      </c>
      <c r="B94" s="1067" t="s">
        <v>92</v>
      </c>
      <c r="C94" s="1067" t="s">
        <v>316</v>
      </c>
      <c r="D94" s="1067">
        <v>21</v>
      </c>
    </row>
    <row r="95" spans="1:4" x14ac:dyDescent="0.25">
      <c r="A95" s="1067" t="s">
        <v>851</v>
      </c>
      <c r="B95" s="1067" t="s">
        <v>93</v>
      </c>
      <c r="C95" s="1067" t="s">
        <v>9</v>
      </c>
      <c r="D95" s="1067">
        <v>200</v>
      </c>
    </row>
    <row r="96" spans="1:4" x14ac:dyDescent="0.25">
      <c r="A96" s="1067" t="s">
        <v>851</v>
      </c>
      <c r="B96" s="1067" t="s">
        <v>93</v>
      </c>
      <c r="C96" s="1067" t="s">
        <v>3</v>
      </c>
      <c r="D96" s="1067">
        <v>29</v>
      </c>
    </row>
    <row r="97" spans="1:4" x14ac:dyDescent="0.25">
      <c r="A97" s="1067" t="s">
        <v>851</v>
      </c>
      <c r="B97" s="1067" t="s">
        <v>93</v>
      </c>
      <c r="C97" s="1067" t="s">
        <v>315</v>
      </c>
      <c r="D97" s="1067">
        <v>15</v>
      </c>
    </row>
    <row r="98" spans="1:4" x14ac:dyDescent="0.25">
      <c r="A98" s="1067" t="s">
        <v>851</v>
      </c>
      <c r="B98" s="1067" t="s">
        <v>93</v>
      </c>
      <c r="C98" s="1067" t="s">
        <v>316</v>
      </c>
      <c r="D98" s="1067">
        <v>98</v>
      </c>
    </row>
    <row r="110" spans="1:4" x14ac:dyDescent="0.25">
      <c r="A110" s="1069" t="s">
        <v>1086</v>
      </c>
      <c r="B110" s="1069" t="s">
        <v>1232</v>
      </c>
      <c r="C110" s="1069" t="s">
        <v>245</v>
      </c>
      <c r="D110" s="1069" t="s">
        <v>1233</v>
      </c>
    </row>
    <row r="111" spans="1:4" x14ac:dyDescent="0.25">
      <c r="A111" s="1067" t="s">
        <v>9</v>
      </c>
      <c r="B111" s="1067" t="s">
        <v>118</v>
      </c>
      <c r="C111" s="1067" t="s">
        <v>254</v>
      </c>
      <c r="D111" s="1067">
        <v>1.6</v>
      </c>
    </row>
    <row r="112" spans="1:4" x14ac:dyDescent="0.25">
      <c r="A112" s="1067" t="s">
        <v>9</v>
      </c>
      <c r="B112" s="1067" t="s">
        <v>118</v>
      </c>
      <c r="C112" s="1067" t="s">
        <v>851</v>
      </c>
      <c r="D112" s="1067">
        <v>0.9</v>
      </c>
    </row>
    <row r="113" spans="1:4" x14ac:dyDescent="0.25">
      <c r="A113" s="1067" t="s">
        <v>3</v>
      </c>
      <c r="B113" s="1067" t="s">
        <v>118</v>
      </c>
      <c r="C113" s="1067" t="s">
        <v>254</v>
      </c>
      <c r="D113" s="1067">
        <v>2.2000000000000002</v>
      </c>
    </row>
    <row r="114" spans="1:4" x14ac:dyDescent="0.25">
      <c r="A114" s="1067" t="s">
        <v>26</v>
      </c>
      <c r="B114" s="1067" t="s">
        <v>118</v>
      </c>
      <c r="C114" s="1067" t="s">
        <v>254</v>
      </c>
      <c r="D114" s="1067">
        <v>1</v>
      </c>
    </row>
    <row r="115" spans="1:4" x14ac:dyDescent="0.25">
      <c r="A115" s="1067" t="s">
        <v>26</v>
      </c>
      <c r="B115" s="1067" t="s">
        <v>118</v>
      </c>
      <c r="C115" s="1067" t="s">
        <v>851</v>
      </c>
      <c r="D115" s="1067">
        <v>0.5</v>
      </c>
    </row>
    <row r="116" spans="1:4" x14ac:dyDescent="0.25">
      <c r="A116" s="1067" t="s">
        <v>324</v>
      </c>
      <c r="B116" s="1067" t="s">
        <v>118</v>
      </c>
      <c r="C116" s="1067" t="s">
        <v>254</v>
      </c>
      <c r="D116" s="1067">
        <v>1.1000000000000001</v>
      </c>
    </row>
    <row r="117" spans="1:4" x14ac:dyDescent="0.25">
      <c r="A117" s="1067" t="s">
        <v>324</v>
      </c>
      <c r="B117" s="1067" t="s">
        <v>118</v>
      </c>
      <c r="C117" s="1067" t="s">
        <v>851</v>
      </c>
      <c r="D117" s="1067">
        <v>0.5</v>
      </c>
    </row>
    <row r="118" spans="1:4" x14ac:dyDescent="0.25">
      <c r="A118" s="1067" t="s">
        <v>2</v>
      </c>
      <c r="B118" s="1067" t="s">
        <v>383</v>
      </c>
      <c r="C118" s="1067" t="s">
        <v>254</v>
      </c>
      <c r="D118" s="1067">
        <v>62.1</v>
      </c>
    </row>
    <row r="119" spans="1:4" x14ac:dyDescent="0.25">
      <c r="A119" s="1067" t="s">
        <v>9</v>
      </c>
      <c r="B119" s="1067" t="s">
        <v>383</v>
      </c>
      <c r="C119" s="1067" t="s">
        <v>254</v>
      </c>
      <c r="D119" s="1067">
        <v>44.5</v>
      </c>
    </row>
    <row r="120" spans="1:4" x14ac:dyDescent="0.25">
      <c r="A120" s="1067" t="s">
        <v>9</v>
      </c>
      <c r="B120" s="1067" t="s">
        <v>383</v>
      </c>
      <c r="C120" s="1067" t="s">
        <v>851</v>
      </c>
      <c r="D120" s="1067">
        <v>88.3</v>
      </c>
    </row>
    <row r="121" spans="1:4" x14ac:dyDescent="0.25">
      <c r="A121" s="1067" t="s">
        <v>3</v>
      </c>
      <c r="B121" s="1067" t="s">
        <v>383</v>
      </c>
      <c r="C121" s="1067" t="s">
        <v>254</v>
      </c>
      <c r="D121" s="1067">
        <v>43.5</v>
      </c>
    </row>
    <row r="122" spans="1:4" x14ac:dyDescent="0.25">
      <c r="A122" s="1067" t="s">
        <v>3</v>
      </c>
      <c r="B122" s="1067" t="s">
        <v>383</v>
      </c>
      <c r="C122" s="1067" t="s">
        <v>851</v>
      </c>
      <c r="D122" s="1067">
        <v>62.7</v>
      </c>
    </row>
    <row r="123" spans="1:4" x14ac:dyDescent="0.25">
      <c r="A123" s="1067" t="s">
        <v>26</v>
      </c>
      <c r="B123" s="1067" t="s">
        <v>383</v>
      </c>
      <c r="C123" s="1067" t="s">
        <v>254</v>
      </c>
      <c r="D123" s="1067">
        <v>52.4</v>
      </c>
    </row>
    <row r="124" spans="1:4" x14ac:dyDescent="0.25">
      <c r="A124" s="1067" t="s">
        <v>26</v>
      </c>
      <c r="B124" s="1067" t="s">
        <v>383</v>
      </c>
      <c r="C124" s="1067" t="s">
        <v>851</v>
      </c>
      <c r="D124" s="1067">
        <v>84</v>
      </c>
    </row>
    <row r="125" spans="1:4" x14ac:dyDescent="0.25">
      <c r="A125" s="1067" t="s">
        <v>324</v>
      </c>
      <c r="B125" s="1067" t="s">
        <v>383</v>
      </c>
      <c r="C125" s="1067" t="s">
        <v>254</v>
      </c>
      <c r="D125" s="1067">
        <v>50.4</v>
      </c>
    </row>
    <row r="126" spans="1:4" x14ac:dyDescent="0.25">
      <c r="A126" s="1067" t="s">
        <v>324</v>
      </c>
      <c r="B126" s="1067" t="s">
        <v>383</v>
      </c>
      <c r="C126" s="1067" t="s">
        <v>851</v>
      </c>
      <c r="D126" s="1067">
        <v>83.4</v>
      </c>
    </row>
    <row r="127" spans="1:4" x14ac:dyDescent="0.25">
      <c r="A127" s="1067" t="s">
        <v>315</v>
      </c>
      <c r="B127" s="1067" t="s">
        <v>383</v>
      </c>
      <c r="C127" s="1067" t="s">
        <v>254</v>
      </c>
      <c r="D127" s="1067">
        <v>100</v>
      </c>
    </row>
    <row r="128" spans="1:4" x14ac:dyDescent="0.25">
      <c r="A128" s="1067" t="s">
        <v>315</v>
      </c>
      <c r="B128" s="1067" t="s">
        <v>383</v>
      </c>
      <c r="C128" s="1067" t="s">
        <v>851</v>
      </c>
      <c r="D128" s="1067">
        <v>95.2</v>
      </c>
    </row>
    <row r="129" spans="1:4" x14ac:dyDescent="0.25">
      <c r="A129" s="1067" t="s">
        <v>316</v>
      </c>
      <c r="B129" s="1067" t="s">
        <v>383</v>
      </c>
      <c r="C129" s="1067" t="s">
        <v>254</v>
      </c>
      <c r="D129" s="1067">
        <v>59.3</v>
      </c>
    </row>
    <row r="130" spans="1:4" x14ac:dyDescent="0.25">
      <c r="A130" s="1067" t="s">
        <v>316</v>
      </c>
      <c r="B130" s="1067" t="s">
        <v>383</v>
      </c>
      <c r="C130" s="1067" t="s">
        <v>851</v>
      </c>
      <c r="D130" s="1067">
        <v>85.7</v>
      </c>
    </row>
    <row r="131" spans="1:4" x14ac:dyDescent="0.25">
      <c r="A131" s="1067" t="s">
        <v>2</v>
      </c>
      <c r="B131" s="1067" t="s">
        <v>117</v>
      </c>
      <c r="C131" s="1067" t="s">
        <v>254</v>
      </c>
      <c r="D131" s="1067">
        <v>37.9</v>
      </c>
    </row>
    <row r="132" spans="1:4" x14ac:dyDescent="0.25">
      <c r="A132" s="1067" t="s">
        <v>9</v>
      </c>
      <c r="B132" s="1067" t="s">
        <v>117</v>
      </c>
      <c r="C132" s="1067" t="s">
        <v>254</v>
      </c>
      <c r="D132" s="1067">
        <v>53.8</v>
      </c>
    </row>
    <row r="133" spans="1:4" x14ac:dyDescent="0.25">
      <c r="A133" s="1067" t="s">
        <v>9</v>
      </c>
      <c r="B133" s="1067" t="s">
        <v>117</v>
      </c>
      <c r="C133" s="1067" t="s">
        <v>851</v>
      </c>
      <c r="D133" s="1067">
        <v>10.8</v>
      </c>
    </row>
    <row r="134" spans="1:4" x14ac:dyDescent="0.25">
      <c r="A134" s="1067" t="s">
        <v>3</v>
      </c>
      <c r="B134" s="1067" t="s">
        <v>117</v>
      </c>
      <c r="C134" s="1067" t="s">
        <v>254</v>
      </c>
      <c r="D134" s="1067">
        <v>54.3</v>
      </c>
    </row>
    <row r="135" spans="1:4" x14ac:dyDescent="0.25">
      <c r="A135" s="1067" t="s">
        <v>3</v>
      </c>
      <c r="B135" s="1067" t="s">
        <v>117</v>
      </c>
      <c r="C135" s="1067" t="s">
        <v>851</v>
      </c>
      <c r="D135" s="1067">
        <v>37.299999999999997</v>
      </c>
    </row>
    <row r="136" spans="1:4" x14ac:dyDescent="0.25">
      <c r="A136" s="1067" t="s">
        <v>26</v>
      </c>
      <c r="B136" s="1067" t="s">
        <v>117</v>
      </c>
      <c r="C136" s="1067" t="s">
        <v>254</v>
      </c>
      <c r="D136" s="1067">
        <v>46.6</v>
      </c>
    </row>
    <row r="137" spans="1:4" x14ac:dyDescent="0.25">
      <c r="A137" s="1067" t="s">
        <v>26</v>
      </c>
      <c r="B137" s="1067" t="s">
        <v>117</v>
      </c>
      <c r="C137" s="1067" t="s">
        <v>851</v>
      </c>
      <c r="D137" s="1067">
        <v>15.6</v>
      </c>
    </row>
    <row r="138" spans="1:4" x14ac:dyDescent="0.25">
      <c r="A138" s="1067" t="s">
        <v>324</v>
      </c>
      <c r="B138" s="1067" t="s">
        <v>117</v>
      </c>
      <c r="C138" s="1067" t="s">
        <v>254</v>
      </c>
      <c r="D138" s="1067">
        <v>48.6</v>
      </c>
    </row>
    <row r="139" spans="1:4" x14ac:dyDescent="0.25">
      <c r="A139" s="1067" t="s">
        <v>324</v>
      </c>
      <c r="B139" s="1067" t="s">
        <v>117</v>
      </c>
      <c r="C139" s="1067" t="s">
        <v>851</v>
      </c>
      <c r="D139" s="1067">
        <v>16.100000000000001</v>
      </c>
    </row>
    <row r="140" spans="1:4" x14ac:dyDescent="0.25">
      <c r="A140" s="1067" t="s">
        <v>315</v>
      </c>
      <c r="B140" s="1067" t="s">
        <v>117</v>
      </c>
      <c r="C140" s="1067" t="s">
        <v>851</v>
      </c>
      <c r="D140" s="1067">
        <v>4.8</v>
      </c>
    </row>
    <row r="141" spans="1:4" x14ac:dyDescent="0.25">
      <c r="A141" s="1067" t="s">
        <v>316</v>
      </c>
      <c r="B141" s="1067" t="s">
        <v>117</v>
      </c>
      <c r="C141" s="1067" t="s">
        <v>254</v>
      </c>
      <c r="D141" s="1067">
        <v>40.700000000000003</v>
      </c>
    </row>
    <row r="142" spans="1:4" x14ac:dyDescent="0.25">
      <c r="A142" s="1067" t="s">
        <v>316</v>
      </c>
      <c r="B142" s="1067" t="s">
        <v>117</v>
      </c>
      <c r="C142" s="1067" t="s">
        <v>851</v>
      </c>
      <c r="D142" s="1067">
        <v>14.3</v>
      </c>
    </row>
    <row r="150" spans="1:5" x14ac:dyDescent="0.25">
      <c r="A150" s="1069" t="s">
        <v>1236</v>
      </c>
      <c r="B150" s="1069" t="s">
        <v>245</v>
      </c>
      <c r="C150" s="1069" t="s">
        <v>1237</v>
      </c>
      <c r="D150" s="1069" t="s">
        <v>1086</v>
      </c>
      <c r="E150" s="1069" t="s">
        <v>26</v>
      </c>
    </row>
    <row r="151" spans="1:5" x14ac:dyDescent="0.25">
      <c r="A151" s="1067" t="s">
        <v>1234</v>
      </c>
      <c r="B151" s="1067" t="s">
        <v>254</v>
      </c>
      <c r="C151" s="1067" t="s">
        <v>984</v>
      </c>
      <c r="D151" s="1067" t="s">
        <v>9</v>
      </c>
      <c r="E151" s="1067">
        <v>1.2</v>
      </c>
    </row>
    <row r="152" spans="1:5" x14ac:dyDescent="0.25">
      <c r="A152" s="1067" t="s">
        <v>1234</v>
      </c>
      <c r="B152" s="1067" t="s">
        <v>254</v>
      </c>
      <c r="C152" s="1067" t="s">
        <v>984</v>
      </c>
      <c r="D152" s="1067" t="s">
        <v>3</v>
      </c>
      <c r="E152" s="1067">
        <v>2.2000000000000002</v>
      </c>
    </row>
    <row r="153" spans="1:5" x14ac:dyDescent="0.25">
      <c r="A153" s="1067" t="s">
        <v>1234</v>
      </c>
      <c r="B153" s="1067" t="s">
        <v>254</v>
      </c>
      <c r="C153" s="1067" t="s">
        <v>984</v>
      </c>
      <c r="D153" s="1067" t="s">
        <v>26</v>
      </c>
      <c r="E153" s="1067">
        <v>2</v>
      </c>
    </row>
    <row r="154" spans="1:5" x14ac:dyDescent="0.25">
      <c r="A154" s="1067" t="s">
        <v>1234</v>
      </c>
      <c r="B154" s="1067" t="s">
        <v>254</v>
      </c>
      <c r="C154" s="1067" t="s">
        <v>984</v>
      </c>
      <c r="D154" s="1067" t="s">
        <v>1064</v>
      </c>
      <c r="E154" s="1067">
        <v>2.1</v>
      </c>
    </row>
    <row r="155" spans="1:5" x14ac:dyDescent="0.25">
      <c r="A155" s="1067" t="s">
        <v>1234</v>
      </c>
      <c r="B155" s="1067" t="s">
        <v>254</v>
      </c>
      <c r="C155" s="1067" t="s">
        <v>984</v>
      </c>
      <c r="D155" s="1067" t="s">
        <v>316</v>
      </c>
      <c r="E155" s="1067">
        <v>3.6</v>
      </c>
    </row>
    <row r="156" spans="1:5" x14ac:dyDescent="0.25">
      <c r="A156" s="1067" t="s">
        <v>1234</v>
      </c>
      <c r="B156" s="1067" t="s">
        <v>254</v>
      </c>
      <c r="C156" s="1067" t="s">
        <v>985</v>
      </c>
      <c r="D156" s="1067" t="s">
        <v>2</v>
      </c>
      <c r="E156" s="1067">
        <v>34.5</v>
      </c>
    </row>
    <row r="157" spans="1:5" x14ac:dyDescent="0.25">
      <c r="A157" s="1067" t="s">
        <v>1234</v>
      </c>
      <c r="B157" s="1067" t="s">
        <v>254</v>
      </c>
      <c r="C157" s="1067" t="s">
        <v>985</v>
      </c>
      <c r="D157" s="1067" t="s">
        <v>9</v>
      </c>
      <c r="E157" s="1067">
        <v>54.3</v>
      </c>
    </row>
    <row r="158" spans="1:5" x14ac:dyDescent="0.25">
      <c r="A158" s="1067" t="s">
        <v>1234</v>
      </c>
      <c r="B158" s="1067" t="s">
        <v>254</v>
      </c>
      <c r="C158" s="1067" t="s">
        <v>985</v>
      </c>
      <c r="D158" s="1067" t="s">
        <v>3</v>
      </c>
      <c r="E158" s="1067">
        <v>48.9</v>
      </c>
    </row>
    <row r="159" spans="1:5" x14ac:dyDescent="0.25">
      <c r="A159" s="1067" t="s">
        <v>1234</v>
      </c>
      <c r="B159" s="1067" t="s">
        <v>254</v>
      </c>
      <c r="C159" s="1067" t="s">
        <v>985</v>
      </c>
      <c r="D159" s="1067" t="s">
        <v>26</v>
      </c>
      <c r="E159" s="1067">
        <v>44.9</v>
      </c>
    </row>
    <row r="160" spans="1:5" x14ac:dyDescent="0.25">
      <c r="A160" s="1067" t="s">
        <v>1234</v>
      </c>
      <c r="B160" s="1067" t="s">
        <v>254</v>
      </c>
      <c r="C160" s="1067" t="s">
        <v>985</v>
      </c>
      <c r="D160" s="1067" t="s">
        <v>1064</v>
      </c>
      <c r="E160" s="1067">
        <v>46.8</v>
      </c>
    </row>
    <row r="161" spans="1:5" x14ac:dyDescent="0.25">
      <c r="A161" s="1067" t="s">
        <v>1234</v>
      </c>
      <c r="B161" s="1067" t="s">
        <v>254</v>
      </c>
      <c r="C161" s="1067" t="s">
        <v>985</v>
      </c>
      <c r="D161" s="1067" t="s">
        <v>316</v>
      </c>
      <c r="E161" s="1067">
        <v>38.1</v>
      </c>
    </row>
    <row r="162" spans="1:5" x14ac:dyDescent="0.25">
      <c r="A162" s="1067" t="s">
        <v>1234</v>
      </c>
      <c r="B162" s="1067" t="s">
        <v>254</v>
      </c>
      <c r="C162" s="1067" t="s">
        <v>879</v>
      </c>
      <c r="D162" s="1067" t="s">
        <v>2</v>
      </c>
      <c r="E162" s="1067">
        <v>65.5</v>
      </c>
    </row>
    <row r="163" spans="1:5" x14ac:dyDescent="0.25">
      <c r="A163" s="1067" t="s">
        <v>1234</v>
      </c>
      <c r="B163" s="1067" t="s">
        <v>254</v>
      </c>
      <c r="C163" s="1067" t="s">
        <v>879</v>
      </c>
      <c r="D163" s="1067" t="s">
        <v>9</v>
      </c>
      <c r="E163" s="1067">
        <v>44.5</v>
      </c>
    </row>
    <row r="164" spans="1:5" x14ac:dyDescent="0.25">
      <c r="A164" s="1067" t="s">
        <v>1234</v>
      </c>
      <c r="B164" s="1067" t="s">
        <v>254</v>
      </c>
      <c r="C164" s="1067" t="s">
        <v>879</v>
      </c>
      <c r="D164" s="1067" t="s">
        <v>3</v>
      </c>
      <c r="E164" s="1067">
        <v>48.9</v>
      </c>
    </row>
    <row r="165" spans="1:5" x14ac:dyDescent="0.25">
      <c r="A165" s="1067" t="s">
        <v>1234</v>
      </c>
      <c r="B165" s="1067" t="s">
        <v>254</v>
      </c>
      <c r="C165" s="1067" t="s">
        <v>879</v>
      </c>
      <c r="D165" s="1067" t="s">
        <v>26</v>
      </c>
      <c r="E165" s="1067">
        <v>53.1</v>
      </c>
    </row>
    <row r="166" spans="1:5" x14ac:dyDescent="0.25">
      <c r="A166" s="1067" t="s">
        <v>1234</v>
      </c>
      <c r="B166" s="1067" t="s">
        <v>254</v>
      </c>
      <c r="C166" s="1067" t="s">
        <v>879</v>
      </c>
      <c r="D166" s="1067" t="s">
        <v>1064</v>
      </c>
      <c r="E166" s="1067">
        <v>51.1</v>
      </c>
    </row>
    <row r="167" spans="1:5" x14ac:dyDescent="0.25">
      <c r="A167" s="1067" t="s">
        <v>1234</v>
      </c>
      <c r="B167" s="1067" t="s">
        <v>254</v>
      </c>
      <c r="C167" s="1067" t="s">
        <v>879</v>
      </c>
      <c r="D167" s="1067" t="s">
        <v>315</v>
      </c>
      <c r="E167" s="1067">
        <v>100</v>
      </c>
    </row>
    <row r="168" spans="1:5" x14ac:dyDescent="0.25">
      <c r="A168" s="1067" t="s">
        <v>1234</v>
      </c>
      <c r="B168" s="1067" t="s">
        <v>254</v>
      </c>
      <c r="C168" s="1067" t="s">
        <v>879</v>
      </c>
      <c r="D168" s="1067" t="s">
        <v>316</v>
      </c>
      <c r="E168" s="1067">
        <v>58.2</v>
      </c>
    </row>
    <row r="169" spans="1:5" x14ac:dyDescent="0.25">
      <c r="A169" s="1067" t="s">
        <v>1235</v>
      </c>
      <c r="B169" s="1067" t="s">
        <v>851</v>
      </c>
      <c r="C169" s="1067" t="s">
        <v>984</v>
      </c>
      <c r="D169" s="1067" t="s">
        <v>9</v>
      </c>
      <c r="E169" s="1067">
        <v>0.4</v>
      </c>
    </row>
    <row r="170" spans="1:5" x14ac:dyDescent="0.25">
      <c r="A170" s="1067" t="s">
        <v>1235</v>
      </c>
      <c r="B170" s="1067" t="s">
        <v>851</v>
      </c>
      <c r="C170" s="1067" t="s">
        <v>984</v>
      </c>
      <c r="D170" s="1067" t="s">
        <v>3</v>
      </c>
      <c r="E170" s="1067">
        <v>4.5</v>
      </c>
    </row>
    <row r="171" spans="1:5" x14ac:dyDescent="0.25">
      <c r="A171" s="1067" t="s">
        <v>1235</v>
      </c>
      <c r="B171" s="1067" t="s">
        <v>851</v>
      </c>
      <c r="C171" s="1067" t="s">
        <v>984</v>
      </c>
      <c r="D171" s="1067" t="s">
        <v>26</v>
      </c>
      <c r="E171" s="1067">
        <v>1.2</v>
      </c>
    </row>
    <row r="172" spans="1:5" x14ac:dyDescent="0.25">
      <c r="A172" s="1067" t="s">
        <v>1235</v>
      </c>
      <c r="B172" s="1067" t="s">
        <v>851</v>
      </c>
      <c r="C172" s="1067" t="s">
        <v>984</v>
      </c>
      <c r="D172" s="1067" t="s">
        <v>1064</v>
      </c>
      <c r="E172" s="1067">
        <v>1.2</v>
      </c>
    </row>
    <row r="173" spans="1:5" x14ac:dyDescent="0.25">
      <c r="A173" s="1067" t="s">
        <v>1235</v>
      </c>
      <c r="B173" s="1067" t="s">
        <v>851</v>
      </c>
      <c r="C173" s="1067" t="s">
        <v>984</v>
      </c>
      <c r="D173" s="1067" t="s">
        <v>316</v>
      </c>
      <c r="E173" s="1067">
        <v>0.8</v>
      </c>
    </row>
    <row r="174" spans="1:5" x14ac:dyDescent="0.25">
      <c r="A174" s="1067" t="s">
        <v>1235</v>
      </c>
      <c r="B174" s="1067" t="s">
        <v>851</v>
      </c>
      <c r="C174" s="1067" t="s">
        <v>985</v>
      </c>
      <c r="D174" s="1067" t="s">
        <v>9</v>
      </c>
      <c r="E174" s="1067">
        <v>8.5</v>
      </c>
    </row>
    <row r="175" spans="1:5" x14ac:dyDescent="0.25">
      <c r="A175" s="1067" t="s">
        <v>1235</v>
      </c>
      <c r="B175" s="1067" t="s">
        <v>851</v>
      </c>
      <c r="C175" s="1067" t="s">
        <v>985</v>
      </c>
      <c r="D175" s="1067" t="s">
        <v>3</v>
      </c>
      <c r="E175" s="1067">
        <v>23.9</v>
      </c>
    </row>
    <row r="176" spans="1:5" x14ac:dyDescent="0.25">
      <c r="A176" s="1067" t="s">
        <v>1235</v>
      </c>
      <c r="B176" s="1067" t="s">
        <v>851</v>
      </c>
      <c r="C176" s="1067" t="s">
        <v>985</v>
      </c>
      <c r="D176" s="1067" t="s">
        <v>26</v>
      </c>
      <c r="E176" s="1067">
        <v>10.7</v>
      </c>
    </row>
    <row r="177" spans="1:5" x14ac:dyDescent="0.25">
      <c r="A177" s="1067" t="s">
        <v>1235</v>
      </c>
      <c r="B177" s="1067" t="s">
        <v>851</v>
      </c>
      <c r="C177" s="1067" t="s">
        <v>985</v>
      </c>
      <c r="D177" s="1067" t="s">
        <v>1064</v>
      </c>
      <c r="E177" s="1067">
        <v>11.2</v>
      </c>
    </row>
    <row r="178" spans="1:5" x14ac:dyDescent="0.25">
      <c r="A178" s="1067" t="s">
        <v>1235</v>
      </c>
      <c r="B178" s="1067" t="s">
        <v>851</v>
      </c>
      <c r="C178" s="1067" t="s">
        <v>985</v>
      </c>
      <c r="D178" s="1067" t="s">
        <v>316</v>
      </c>
      <c r="E178" s="1067">
        <v>9.1999999999999993</v>
      </c>
    </row>
    <row r="179" spans="1:5" x14ac:dyDescent="0.25">
      <c r="A179" s="1067" t="s">
        <v>1235</v>
      </c>
      <c r="B179" s="1067" t="s">
        <v>851</v>
      </c>
      <c r="C179" s="1067" t="s">
        <v>879</v>
      </c>
      <c r="D179" s="1067" t="s">
        <v>9</v>
      </c>
      <c r="E179" s="1067">
        <v>91</v>
      </c>
    </row>
    <row r="180" spans="1:5" x14ac:dyDescent="0.25">
      <c r="A180" s="1067" t="s">
        <v>1235</v>
      </c>
      <c r="B180" s="1067" t="s">
        <v>851</v>
      </c>
      <c r="C180" s="1067" t="s">
        <v>879</v>
      </c>
      <c r="D180" s="1067" t="s">
        <v>3</v>
      </c>
      <c r="E180" s="1067">
        <v>71.599999999999994</v>
      </c>
    </row>
    <row r="181" spans="1:5" x14ac:dyDescent="0.25">
      <c r="A181" s="1067" t="s">
        <v>1235</v>
      </c>
      <c r="B181" s="1067" t="s">
        <v>851</v>
      </c>
      <c r="C181" s="1067" t="s">
        <v>879</v>
      </c>
      <c r="D181" s="1067" t="s">
        <v>26</v>
      </c>
      <c r="E181" s="1067">
        <v>88.1</v>
      </c>
    </row>
    <row r="182" spans="1:5" x14ac:dyDescent="0.25">
      <c r="A182" s="1067" t="s">
        <v>1235</v>
      </c>
      <c r="B182" s="1067" t="s">
        <v>851</v>
      </c>
      <c r="C182" s="1067" t="s">
        <v>879</v>
      </c>
      <c r="D182" s="1067" t="s">
        <v>1064</v>
      </c>
      <c r="E182" s="1067">
        <v>87.5</v>
      </c>
    </row>
    <row r="183" spans="1:5" x14ac:dyDescent="0.25">
      <c r="A183" s="1067" t="s">
        <v>1235</v>
      </c>
      <c r="B183" s="1067" t="s">
        <v>851</v>
      </c>
      <c r="C183" s="1067" t="s">
        <v>879</v>
      </c>
      <c r="D183" s="1067" t="s">
        <v>315</v>
      </c>
      <c r="E183" s="1067">
        <v>100</v>
      </c>
    </row>
    <row r="184" spans="1:5" x14ac:dyDescent="0.25">
      <c r="A184" s="1067" t="s">
        <v>1235</v>
      </c>
      <c r="B184" s="1067" t="s">
        <v>851</v>
      </c>
      <c r="C184" s="1067" t="s">
        <v>879</v>
      </c>
      <c r="D184" s="1067" t="s">
        <v>316</v>
      </c>
      <c r="E184" s="1067">
        <v>89.9</v>
      </c>
    </row>
  </sheetData>
  <sheetProtection algorithmName="SHA-512" hashValue="LTQj0GcQqT4fKIjDPZVKVqmgjt5KtrXJKohz8BuOTEf5VOrmKmwV/ZJi2rd1MzEvQMwsBOljUfWAY5cL417bYg==" saltValue="iOPwy0J0ZCOJ+fRC+qOmOQ==" spinCount="100000" sheet="1" scenarios="1" formatCells="0" formatColumns="0" formatRows="0" sort="0" autoFilter="0" pivotTables="0"/>
  <pageMargins left="0.7" right="0.7" top="0.75" bottom="0.75" header="0.3" footer="0.3"/>
  <pageSetup paperSize="9" fitToHeight="50"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8"/>
  <sheetViews>
    <sheetView zoomScale="85" zoomScaleNormal="85" workbookViewId="0">
      <pane ySplit="4" topLeftCell="A5" activePane="bottomLeft" state="frozen"/>
      <selection pane="bottomLeft"/>
    </sheetView>
  </sheetViews>
  <sheetFormatPr defaultRowHeight="15" x14ac:dyDescent="0.25"/>
  <sheetData>
    <row r="1" spans="1:5" ht="15.75" x14ac:dyDescent="0.25">
      <c r="A1" s="981" t="s">
        <v>1238</v>
      </c>
    </row>
    <row r="2" spans="1:5" x14ac:dyDescent="0.25">
      <c r="A2" s="1139">
        <v>44071</v>
      </c>
      <c r="B2" s="1140"/>
    </row>
    <row r="4" spans="1:5" x14ac:dyDescent="0.25">
      <c r="A4" s="1066" t="s">
        <v>245</v>
      </c>
      <c r="B4" s="1066" t="s">
        <v>1086</v>
      </c>
      <c r="C4" s="1066" t="s">
        <v>117</v>
      </c>
      <c r="D4" s="1066" t="s">
        <v>118</v>
      </c>
      <c r="E4" s="1066" t="s">
        <v>383</v>
      </c>
    </row>
    <row r="5" spans="1:5" x14ac:dyDescent="0.25">
      <c r="A5" s="1067" t="s">
        <v>325</v>
      </c>
      <c r="B5" s="1067" t="s">
        <v>2</v>
      </c>
      <c r="C5" s="1067">
        <v>84.6</v>
      </c>
      <c r="D5" s="1067">
        <v>0.4</v>
      </c>
      <c r="E5" s="1067">
        <v>15</v>
      </c>
    </row>
    <row r="6" spans="1:5" x14ac:dyDescent="0.25">
      <c r="A6" s="1067" t="s">
        <v>325</v>
      </c>
      <c r="B6" s="1067" t="s">
        <v>9</v>
      </c>
      <c r="C6" s="1067">
        <v>81.8</v>
      </c>
      <c r="D6" s="1067">
        <v>0.2</v>
      </c>
      <c r="E6" s="1067">
        <v>18</v>
      </c>
    </row>
    <row r="7" spans="1:5" x14ac:dyDescent="0.25">
      <c r="A7" s="1067" t="s">
        <v>325</v>
      </c>
      <c r="B7" s="1067" t="s">
        <v>3</v>
      </c>
      <c r="C7" s="1067">
        <v>65.5</v>
      </c>
      <c r="D7" s="1067">
        <v>1</v>
      </c>
      <c r="E7" s="1067">
        <v>33.5</v>
      </c>
    </row>
    <row r="8" spans="1:5" x14ac:dyDescent="0.25">
      <c r="A8" s="1067" t="s">
        <v>325</v>
      </c>
      <c r="B8" s="1067" t="s">
        <v>26</v>
      </c>
      <c r="C8" s="1067">
        <v>74.400000000000006</v>
      </c>
      <c r="D8" s="1067">
        <v>0.6</v>
      </c>
      <c r="E8" s="1067">
        <v>25</v>
      </c>
    </row>
    <row r="9" spans="1:5" x14ac:dyDescent="0.25">
      <c r="A9" s="1067" t="s">
        <v>325</v>
      </c>
      <c r="B9" s="1067" t="s">
        <v>324</v>
      </c>
      <c r="C9" s="1067">
        <v>75</v>
      </c>
      <c r="D9" s="1067">
        <v>0.6</v>
      </c>
      <c r="E9" s="1067">
        <v>24.4</v>
      </c>
    </row>
    <row r="10" spans="1:5" x14ac:dyDescent="0.25">
      <c r="A10" s="1067" t="s">
        <v>325</v>
      </c>
      <c r="B10" s="1067" t="s">
        <v>315</v>
      </c>
      <c r="C10" s="1067">
        <v>62.7</v>
      </c>
      <c r="D10" s="1067">
        <v>0.2</v>
      </c>
      <c r="E10" s="1067">
        <v>37</v>
      </c>
    </row>
    <row r="11" spans="1:5" x14ac:dyDescent="0.25">
      <c r="A11" s="1067" t="s">
        <v>325</v>
      </c>
      <c r="B11" s="1067" t="s">
        <v>316</v>
      </c>
      <c r="C11" s="1067">
        <v>72.2</v>
      </c>
      <c r="D11" s="1067">
        <v>0.8</v>
      </c>
      <c r="E11" s="1067">
        <v>27.1</v>
      </c>
    </row>
    <row r="12" spans="1:5" x14ac:dyDescent="0.25">
      <c r="A12" s="1067" t="s">
        <v>205</v>
      </c>
      <c r="B12" s="1067" t="s">
        <v>2</v>
      </c>
      <c r="C12" s="1067">
        <v>89.7</v>
      </c>
      <c r="D12" s="1067">
        <v>0.4</v>
      </c>
      <c r="E12" s="1067">
        <v>9.8000000000000007</v>
      </c>
    </row>
    <row r="13" spans="1:5" x14ac:dyDescent="0.25">
      <c r="A13" s="1067" t="s">
        <v>205</v>
      </c>
      <c r="B13" s="1067" t="s">
        <v>9</v>
      </c>
      <c r="C13" s="1067">
        <v>80.900000000000006</v>
      </c>
      <c r="D13" s="1067">
        <v>0.2</v>
      </c>
      <c r="E13" s="1067">
        <v>18.899999999999999</v>
      </c>
    </row>
    <row r="14" spans="1:5" x14ac:dyDescent="0.25">
      <c r="A14" s="1067" t="s">
        <v>205</v>
      </c>
      <c r="B14" s="1067" t="s">
        <v>3</v>
      </c>
      <c r="C14" s="1067">
        <v>78.400000000000006</v>
      </c>
      <c r="D14" s="1067">
        <v>1</v>
      </c>
      <c r="E14" s="1067">
        <v>20.6</v>
      </c>
    </row>
    <row r="15" spans="1:5" x14ac:dyDescent="0.25">
      <c r="A15" s="1067" t="s">
        <v>205</v>
      </c>
      <c r="B15" s="1067" t="s">
        <v>26</v>
      </c>
      <c r="C15" s="1067">
        <v>80.099999999999994</v>
      </c>
      <c r="D15" s="1067">
        <v>0.6</v>
      </c>
      <c r="E15" s="1067">
        <v>19.3</v>
      </c>
    </row>
    <row r="16" spans="1:5" x14ac:dyDescent="0.25">
      <c r="A16" s="1067" t="s">
        <v>205</v>
      </c>
      <c r="B16" s="1067" t="s">
        <v>324</v>
      </c>
      <c r="C16" s="1067">
        <v>81</v>
      </c>
      <c r="D16" s="1067">
        <v>0.6</v>
      </c>
      <c r="E16" s="1067">
        <v>18.399999999999999</v>
      </c>
    </row>
    <row r="17" spans="1:5" x14ac:dyDescent="0.25">
      <c r="A17" s="1067" t="s">
        <v>205</v>
      </c>
      <c r="B17" s="1067" t="s">
        <v>315</v>
      </c>
      <c r="C17" s="1067">
        <v>61.4</v>
      </c>
      <c r="D17" s="1067">
        <v>0.5</v>
      </c>
      <c r="E17" s="1067">
        <v>38.1</v>
      </c>
    </row>
    <row r="18" spans="1:5" x14ac:dyDescent="0.25">
      <c r="A18" s="1067" t="s">
        <v>205</v>
      </c>
      <c r="B18" s="1067" t="s">
        <v>316</v>
      </c>
      <c r="C18" s="1067">
        <v>81.2</v>
      </c>
      <c r="D18" s="1067">
        <v>0.7</v>
      </c>
      <c r="E18" s="1067">
        <v>18</v>
      </c>
    </row>
    <row r="19" spans="1:5" x14ac:dyDescent="0.25">
      <c r="A19" s="1067" t="s">
        <v>204</v>
      </c>
      <c r="B19" s="1067" t="s">
        <v>2</v>
      </c>
      <c r="C19" s="1067">
        <v>49.3</v>
      </c>
      <c r="D19" s="1067"/>
      <c r="E19" s="1067">
        <v>50.7</v>
      </c>
    </row>
    <row r="20" spans="1:5" x14ac:dyDescent="0.25">
      <c r="A20" s="1067" t="s">
        <v>204</v>
      </c>
      <c r="B20" s="1067" t="s">
        <v>9</v>
      </c>
      <c r="C20" s="1067">
        <v>69.599999999999994</v>
      </c>
      <c r="D20" s="1067">
        <v>1.1000000000000001</v>
      </c>
      <c r="E20" s="1067">
        <v>29.3</v>
      </c>
    </row>
    <row r="21" spans="1:5" x14ac:dyDescent="0.25">
      <c r="A21" s="1067" t="s">
        <v>204</v>
      </c>
      <c r="B21" s="1067" t="s">
        <v>3</v>
      </c>
      <c r="C21" s="1067">
        <v>55.2</v>
      </c>
      <c r="D21" s="1067">
        <v>1</v>
      </c>
      <c r="E21" s="1067">
        <v>43.8</v>
      </c>
    </row>
    <row r="22" spans="1:5" x14ac:dyDescent="0.25">
      <c r="A22" s="1067" t="s">
        <v>204</v>
      </c>
      <c r="B22" s="1067" t="s">
        <v>26</v>
      </c>
      <c r="C22" s="1067">
        <v>61.1</v>
      </c>
      <c r="D22" s="1067">
        <v>0.8</v>
      </c>
      <c r="E22" s="1067">
        <v>38.1</v>
      </c>
    </row>
    <row r="23" spans="1:5" x14ac:dyDescent="0.25">
      <c r="A23" s="1067" t="s">
        <v>204</v>
      </c>
      <c r="B23" s="1067" t="s">
        <v>324</v>
      </c>
      <c r="C23" s="1067">
        <v>62.5</v>
      </c>
      <c r="D23" s="1067">
        <v>0.8</v>
      </c>
      <c r="E23" s="1067">
        <v>36.700000000000003</v>
      </c>
    </row>
    <row r="24" spans="1:5" x14ac:dyDescent="0.25">
      <c r="A24" s="1067" t="s">
        <v>204</v>
      </c>
      <c r="B24" s="1067" t="s">
        <v>315</v>
      </c>
      <c r="C24" s="1067">
        <v>30.1</v>
      </c>
      <c r="D24" s="1067">
        <v>0.6</v>
      </c>
      <c r="E24" s="1067">
        <v>69.400000000000006</v>
      </c>
    </row>
    <row r="25" spans="1:5" x14ac:dyDescent="0.25">
      <c r="A25" s="1067" t="s">
        <v>204</v>
      </c>
      <c r="B25" s="1067" t="s">
        <v>316</v>
      </c>
      <c r="C25" s="1067">
        <v>59.8</v>
      </c>
      <c r="D25" s="1067">
        <v>0.6</v>
      </c>
      <c r="E25" s="1067">
        <v>39.6</v>
      </c>
    </row>
    <row r="26" spans="1:5" x14ac:dyDescent="0.25">
      <c r="A26" s="1067" t="s">
        <v>203</v>
      </c>
      <c r="B26" s="1067" t="s">
        <v>2</v>
      </c>
      <c r="C26" s="1067">
        <v>63</v>
      </c>
      <c r="D26" s="1067">
        <v>0.4</v>
      </c>
      <c r="E26" s="1067">
        <v>36.5</v>
      </c>
    </row>
    <row r="27" spans="1:5" x14ac:dyDescent="0.25">
      <c r="A27" s="1067" t="s">
        <v>203</v>
      </c>
      <c r="B27" s="1067" t="s">
        <v>9</v>
      </c>
      <c r="C27" s="1067">
        <v>67</v>
      </c>
      <c r="D27" s="1067">
        <v>0.1</v>
      </c>
      <c r="E27" s="1067">
        <v>32.799999999999997</v>
      </c>
    </row>
    <row r="28" spans="1:5" x14ac:dyDescent="0.25">
      <c r="A28" s="1067" t="s">
        <v>203</v>
      </c>
      <c r="B28" s="1067" t="s">
        <v>3</v>
      </c>
      <c r="C28" s="1067">
        <v>53.7</v>
      </c>
      <c r="D28" s="1067">
        <v>1.2</v>
      </c>
      <c r="E28" s="1067">
        <v>45.1</v>
      </c>
    </row>
    <row r="29" spans="1:5" x14ac:dyDescent="0.25">
      <c r="A29" s="1067" t="s">
        <v>203</v>
      </c>
      <c r="B29" s="1067" t="s">
        <v>26</v>
      </c>
      <c r="C29" s="1067">
        <v>60.2</v>
      </c>
      <c r="D29" s="1067">
        <v>0.5</v>
      </c>
      <c r="E29" s="1067">
        <v>39.299999999999997</v>
      </c>
    </row>
    <row r="30" spans="1:5" x14ac:dyDescent="0.25">
      <c r="A30" s="1067" t="s">
        <v>203</v>
      </c>
      <c r="B30" s="1067" t="s">
        <v>324</v>
      </c>
      <c r="C30" s="1067">
        <v>61.8</v>
      </c>
      <c r="D30" s="1067">
        <v>0.5</v>
      </c>
      <c r="E30" s="1067">
        <v>37.700000000000003</v>
      </c>
    </row>
    <row r="31" spans="1:5" x14ac:dyDescent="0.25">
      <c r="A31" s="1067" t="s">
        <v>203</v>
      </c>
      <c r="B31" s="1067" t="s">
        <v>315</v>
      </c>
      <c r="C31" s="1067">
        <v>26.7</v>
      </c>
      <c r="D31" s="1067">
        <v>0.5</v>
      </c>
      <c r="E31" s="1067">
        <v>72.8</v>
      </c>
    </row>
    <row r="32" spans="1:5" x14ac:dyDescent="0.25">
      <c r="A32" s="1067" t="s">
        <v>203</v>
      </c>
      <c r="B32" s="1067" t="s">
        <v>316</v>
      </c>
      <c r="C32" s="1067">
        <v>59.5</v>
      </c>
      <c r="D32" s="1067">
        <v>0.6</v>
      </c>
      <c r="E32" s="1067">
        <v>39.9</v>
      </c>
    </row>
    <row r="33" spans="1:5" x14ac:dyDescent="0.25">
      <c r="A33" s="1067" t="s">
        <v>202</v>
      </c>
      <c r="B33" s="1067" t="s">
        <v>2</v>
      </c>
      <c r="C33" s="1067">
        <v>64</v>
      </c>
      <c r="D33" s="1067">
        <v>0.5</v>
      </c>
      <c r="E33" s="1067">
        <v>35.5</v>
      </c>
    </row>
    <row r="34" spans="1:5" x14ac:dyDescent="0.25">
      <c r="A34" s="1067" t="s">
        <v>202</v>
      </c>
      <c r="B34" s="1067" t="s">
        <v>9</v>
      </c>
      <c r="C34" s="1067">
        <v>60</v>
      </c>
      <c r="D34" s="1067">
        <v>0.6</v>
      </c>
      <c r="E34" s="1067">
        <v>39.4</v>
      </c>
    </row>
    <row r="35" spans="1:5" x14ac:dyDescent="0.25">
      <c r="A35" s="1067" t="s">
        <v>202</v>
      </c>
      <c r="B35" s="1067" t="s">
        <v>3</v>
      </c>
      <c r="C35" s="1067">
        <v>53.4</v>
      </c>
      <c r="D35" s="1067">
        <v>0.8</v>
      </c>
      <c r="E35" s="1067">
        <v>45.8</v>
      </c>
    </row>
    <row r="36" spans="1:5" x14ac:dyDescent="0.25">
      <c r="A36" s="1067" t="s">
        <v>202</v>
      </c>
      <c r="B36" s="1067" t="s">
        <v>26</v>
      </c>
      <c r="C36" s="1067">
        <v>55.3</v>
      </c>
      <c r="D36" s="1067">
        <v>0.6</v>
      </c>
      <c r="E36" s="1067">
        <v>44.1</v>
      </c>
    </row>
    <row r="37" spans="1:5" x14ac:dyDescent="0.25">
      <c r="A37" s="1067" t="s">
        <v>202</v>
      </c>
      <c r="B37" s="1067" t="s">
        <v>324</v>
      </c>
      <c r="C37" s="1067">
        <v>56.3</v>
      </c>
      <c r="D37" s="1067">
        <v>0.6</v>
      </c>
      <c r="E37" s="1067">
        <v>43.1</v>
      </c>
    </row>
    <row r="38" spans="1:5" x14ac:dyDescent="0.25">
      <c r="A38" s="1067" t="s">
        <v>202</v>
      </c>
      <c r="B38" s="1067" t="s">
        <v>315</v>
      </c>
      <c r="C38" s="1067">
        <v>32.5</v>
      </c>
      <c r="D38" s="1067">
        <v>0.9</v>
      </c>
      <c r="E38" s="1067">
        <v>66.7</v>
      </c>
    </row>
    <row r="39" spans="1:5" x14ac:dyDescent="0.25">
      <c r="A39" s="1067" t="s">
        <v>202</v>
      </c>
      <c r="B39" s="1067" t="s">
        <v>316</v>
      </c>
      <c r="C39" s="1067">
        <v>53.7</v>
      </c>
      <c r="D39" s="1067">
        <v>0.5</v>
      </c>
      <c r="E39" s="1067">
        <v>45.7</v>
      </c>
    </row>
    <row r="40" spans="1:5" x14ac:dyDescent="0.25">
      <c r="A40" s="1067" t="s">
        <v>273</v>
      </c>
      <c r="B40" s="1067" t="s">
        <v>2</v>
      </c>
      <c r="C40" s="1067">
        <v>55.8</v>
      </c>
      <c r="D40" s="1067">
        <v>0.6</v>
      </c>
      <c r="E40" s="1067">
        <v>43.6</v>
      </c>
    </row>
    <row r="41" spans="1:5" x14ac:dyDescent="0.25">
      <c r="A41" s="1067" t="s">
        <v>273</v>
      </c>
      <c r="B41" s="1067" t="s">
        <v>9</v>
      </c>
      <c r="C41" s="1067">
        <v>58</v>
      </c>
      <c r="D41" s="1067">
        <v>0.6</v>
      </c>
      <c r="E41" s="1067">
        <v>41.4</v>
      </c>
    </row>
    <row r="42" spans="1:5" x14ac:dyDescent="0.25">
      <c r="A42" s="1067" t="s">
        <v>273</v>
      </c>
      <c r="B42" s="1067" t="s">
        <v>3</v>
      </c>
      <c r="C42" s="1067">
        <v>53.9</v>
      </c>
      <c r="D42" s="1067">
        <v>0.6</v>
      </c>
      <c r="E42" s="1067">
        <v>45.5</v>
      </c>
    </row>
    <row r="43" spans="1:5" x14ac:dyDescent="0.25">
      <c r="A43" s="1067" t="s">
        <v>273</v>
      </c>
      <c r="B43" s="1067" t="s">
        <v>26</v>
      </c>
      <c r="C43" s="1067">
        <v>53.7</v>
      </c>
      <c r="D43" s="1067">
        <v>0.6</v>
      </c>
      <c r="E43" s="1067">
        <v>45.7</v>
      </c>
    </row>
    <row r="44" spans="1:5" x14ac:dyDescent="0.25">
      <c r="A44" s="1067" t="s">
        <v>273</v>
      </c>
      <c r="B44" s="1067" t="s">
        <v>324</v>
      </c>
      <c r="C44" s="1067">
        <v>54.2</v>
      </c>
      <c r="D44" s="1067">
        <v>0.6</v>
      </c>
      <c r="E44" s="1067">
        <v>45.2</v>
      </c>
    </row>
    <row r="45" spans="1:5" x14ac:dyDescent="0.25">
      <c r="A45" s="1067" t="s">
        <v>273</v>
      </c>
      <c r="B45" s="1067" t="s">
        <v>315</v>
      </c>
      <c r="C45" s="1067">
        <v>42.7</v>
      </c>
      <c r="D45" s="1067">
        <v>0.3</v>
      </c>
      <c r="E45" s="1067">
        <v>57</v>
      </c>
    </row>
    <row r="46" spans="1:5" x14ac:dyDescent="0.25">
      <c r="A46" s="1067" t="s">
        <v>273</v>
      </c>
      <c r="B46" s="1067" t="s">
        <v>316</v>
      </c>
      <c r="C46" s="1067">
        <v>51.2</v>
      </c>
      <c r="D46" s="1067">
        <v>0.5</v>
      </c>
      <c r="E46" s="1067">
        <v>48.3</v>
      </c>
    </row>
    <row r="47" spans="1:5" x14ac:dyDescent="0.25">
      <c r="A47" s="1067" t="s">
        <v>255</v>
      </c>
      <c r="B47" s="1067" t="s">
        <v>2</v>
      </c>
      <c r="C47" s="1067">
        <v>52.9</v>
      </c>
      <c r="D47" s="1067">
        <v>0.5</v>
      </c>
      <c r="E47" s="1067">
        <v>46.6</v>
      </c>
    </row>
    <row r="48" spans="1:5" x14ac:dyDescent="0.25">
      <c r="A48" s="1067" t="s">
        <v>255</v>
      </c>
      <c r="B48" s="1067" t="s">
        <v>9</v>
      </c>
      <c r="C48" s="1067">
        <v>65.900000000000006</v>
      </c>
      <c r="D48" s="1067">
        <v>1.2</v>
      </c>
      <c r="E48" s="1067">
        <v>32.9</v>
      </c>
    </row>
    <row r="49" spans="1:5" x14ac:dyDescent="0.25">
      <c r="A49" s="1067" t="s">
        <v>255</v>
      </c>
      <c r="B49" s="1067" t="s">
        <v>3</v>
      </c>
      <c r="C49" s="1067">
        <v>61.2</v>
      </c>
      <c r="D49" s="1067">
        <v>1.4</v>
      </c>
      <c r="E49" s="1067">
        <v>37.4</v>
      </c>
    </row>
    <row r="50" spans="1:5" x14ac:dyDescent="0.25">
      <c r="A50" s="1067" t="s">
        <v>255</v>
      </c>
      <c r="B50" s="1067" t="s">
        <v>26</v>
      </c>
      <c r="C50" s="1067">
        <v>59.2</v>
      </c>
      <c r="D50" s="1067">
        <v>1.2</v>
      </c>
      <c r="E50" s="1067">
        <v>39.6</v>
      </c>
    </row>
    <row r="51" spans="1:5" x14ac:dyDescent="0.25">
      <c r="A51" s="1067" t="s">
        <v>255</v>
      </c>
      <c r="B51" s="1067" t="s">
        <v>324</v>
      </c>
      <c r="C51" s="1067">
        <v>60.2</v>
      </c>
      <c r="D51" s="1067">
        <v>1.2</v>
      </c>
      <c r="E51" s="1067">
        <v>38.6</v>
      </c>
    </row>
    <row r="52" spans="1:5" x14ac:dyDescent="0.25">
      <c r="A52" s="1067" t="s">
        <v>255</v>
      </c>
      <c r="B52" s="1067" t="s">
        <v>315</v>
      </c>
      <c r="C52" s="1067">
        <v>37.299999999999997</v>
      </c>
      <c r="D52" s="1067">
        <v>0.6</v>
      </c>
      <c r="E52" s="1067">
        <v>62</v>
      </c>
    </row>
    <row r="53" spans="1:5" x14ac:dyDescent="0.25">
      <c r="A53" s="1067" t="s">
        <v>255</v>
      </c>
      <c r="B53" s="1067" t="s">
        <v>316</v>
      </c>
      <c r="C53" s="1067">
        <v>55.7</v>
      </c>
      <c r="D53" s="1067">
        <v>1.2</v>
      </c>
      <c r="E53" s="1067">
        <v>43.1</v>
      </c>
    </row>
    <row r="54" spans="1:5" x14ac:dyDescent="0.25">
      <c r="A54" s="1067" t="s">
        <v>254</v>
      </c>
      <c r="B54" s="1067" t="s">
        <v>2</v>
      </c>
      <c r="C54" s="1067">
        <v>53.6</v>
      </c>
      <c r="D54" s="1067">
        <v>1</v>
      </c>
      <c r="E54" s="1067">
        <v>45.4</v>
      </c>
    </row>
    <row r="55" spans="1:5" x14ac:dyDescent="0.25">
      <c r="A55" s="1067" t="s">
        <v>254</v>
      </c>
      <c r="B55" s="1067" t="s">
        <v>9</v>
      </c>
      <c r="C55" s="1067">
        <v>67.599999999999994</v>
      </c>
      <c r="D55" s="1067">
        <v>1.1000000000000001</v>
      </c>
      <c r="E55" s="1067">
        <v>31.3</v>
      </c>
    </row>
    <row r="56" spans="1:5" x14ac:dyDescent="0.25">
      <c r="A56" s="1067" t="s">
        <v>254</v>
      </c>
      <c r="B56" s="1067" t="s">
        <v>3</v>
      </c>
      <c r="C56" s="1067">
        <v>68.099999999999994</v>
      </c>
      <c r="D56" s="1067">
        <v>1.8</v>
      </c>
      <c r="E56" s="1067">
        <v>30.2</v>
      </c>
    </row>
    <row r="57" spans="1:5" x14ac:dyDescent="0.25">
      <c r="A57" s="1067" t="s">
        <v>254</v>
      </c>
      <c r="B57" s="1067" t="s">
        <v>26</v>
      </c>
      <c r="C57" s="1067">
        <v>62.7</v>
      </c>
      <c r="D57" s="1067">
        <v>1.2</v>
      </c>
      <c r="E57" s="1067">
        <v>36.1</v>
      </c>
    </row>
    <row r="58" spans="1:5" x14ac:dyDescent="0.25">
      <c r="A58" s="1067" t="s">
        <v>254</v>
      </c>
      <c r="B58" s="1067" t="s">
        <v>324</v>
      </c>
      <c r="C58" s="1067">
        <v>63.8</v>
      </c>
      <c r="D58" s="1067">
        <v>1.2</v>
      </c>
      <c r="E58" s="1067">
        <v>35</v>
      </c>
    </row>
    <row r="59" spans="1:5" x14ac:dyDescent="0.25">
      <c r="A59" s="1067" t="s">
        <v>254</v>
      </c>
      <c r="B59" s="1067" t="s">
        <v>315</v>
      </c>
      <c r="C59" s="1067">
        <v>36.299999999999997</v>
      </c>
      <c r="D59" s="1067">
        <v>0.6</v>
      </c>
      <c r="E59" s="1067">
        <v>63.1</v>
      </c>
    </row>
    <row r="60" spans="1:5" x14ac:dyDescent="0.25">
      <c r="A60" s="1067" t="s">
        <v>254</v>
      </c>
      <c r="B60" s="1067" t="s">
        <v>316</v>
      </c>
      <c r="C60" s="1067">
        <v>60.4</v>
      </c>
      <c r="D60" s="1067">
        <v>1.2</v>
      </c>
      <c r="E60" s="1067">
        <v>38.4</v>
      </c>
    </row>
    <row r="61" spans="1:5" x14ac:dyDescent="0.25">
      <c r="A61" s="1067" t="s">
        <v>851</v>
      </c>
      <c r="B61" s="1067" t="s">
        <v>2</v>
      </c>
      <c r="C61" s="1067">
        <v>53.2</v>
      </c>
      <c r="D61" s="1067">
        <v>1.1000000000000001</v>
      </c>
      <c r="E61" s="1067">
        <v>45.7</v>
      </c>
    </row>
    <row r="62" spans="1:5" x14ac:dyDescent="0.25">
      <c r="A62" s="1067" t="s">
        <v>851</v>
      </c>
      <c r="B62" s="1067" t="s">
        <v>9</v>
      </c>
      <c r="C62" s="1067">
        <v>63.5</v>
      </c>
      <c r="D62" s="1067">
        <v>1.1000000000000001</v>
      </c>
      <c r="E62" s="1067">
        <v>35.4</v>
      </c>
    </row>
    <row r="63" spans="1:5" x14ac:dyDescent="0.25">
      <c r="A63" s="1067" t="s">
        <v>851</v>
      </c>
      <c r="B63" s="1067" t="s">
        <v>852</v>
      </c>
      <c r="C63" s="1067">
        <v>86.1</v>
      </c>
      <c r="D63" s="1067"/>
      <c r="E63" s="1067">
        <v>13.9</v>
      </c>
    </row>
    <row r="64" spans="1:5" x14ac:dyDescent="0.25">
      <c r="A64" s="1067" t="s">
        <v>851</v>
      </c>
      <c r="B64" s="1067" t="s">
        <v>3</v>
      </c>
      <c r="C64" s="1067">
        <v>67</v>
      </c>
      <c r="D64" s="1067">
        <v>1.6</v>
      </c>
      <c r="E64" s="1067">
        <v>31.4</v>
      </c>
    </row>
    <row r="65" spans="1:5" x14ac:dyDescent="0.25">
      <c r="A65" s="1067" t="s">
        <v>851</v>
      </c>
      <c r="B65" s="1067" t="s">
        <v>26</v>
      </c>
      <c r="C65" s="1067">
        <v>61.2</v>
      </c>
      <c r="D65" s="1067">
        <v>1.2</v>
      </c>
      <c r="E65" s="1067">
        <v>37.6</v>
      </c>
    </row>
    <row r="66" spans="1:5" x14ac:dyDescent="0.25">
      <c r="A66" s="1067" t="s">
        <v>851</v>
      </c>
      <c r="B66" s="1067" t="s">
        <v>324</v>
      </c>
      <c r="C66" s="1067">
        <v>62.3</v>
      </c>
      <c r="D66" s="1067">
        <v>1.2</v>
      </c>
      <c r="E66" s="1067">
        <v>36.5</v>
      </c>
    </row>
    <row r="67" spans="1:5" x14ac:dyDescent="0.25">
      <c r="A67" s="1067" t="s">
        <v>851</v>
      </c>
      <c r="B67" s="1067" t="s">
        <v>315</v>
      </c>
      <c r="C67" s="1067">
        <v>34.6</v>
      </c>
      <c r="D67" s="1067">
        <v>0.6</v>
      </c>
      <c r="E67" s="1067">
        <v>64.8</v>
      </c>
    </row>
    <row r="68" spans="1:5" x14ac:dyDescent="0.25">
      <c r="A68" s="1067" t="s">
        <v>851</v>
      </c>
      <c r="B68" s="1067" t="s">
        <v>316</v>
      </c>
      <c r="C68" s="1067">
        <v>60.5</v>
      </c>
      <c r="D68" s="1067">
        <v>1.2</v>
      </c>
      <c r="E68" s="1067">
        <v>38.299999999999997</v>
      </c>
    </row>
  </sheetData>
  <sheetProtection algorithmName="SHA-512" hashValue="4vi8umtuKIAmmfRXWBq9gE3QA48fLhwN4VPo2h+43OLYNf34tv2c31xLoo0SMobsPfoFWpjDkTtB39TtpkNk5A==" saltValue="kKVyKseV4Z9r7Oo8YWYqcg=="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H31"/>
  <sheetViews>
    <sheetView zoomScale="85" zoomScaleNormal="85" workbookViewId="0">
      <pane ySplit="4" topLeftCell="A5" activePane="bottomLeft" state="frozen"/>
      <selection pane="bottomLeft"/>
    </sheetView>
  </sheetViews>
  <sheetFormatPr defaultRowHeight="15" x14ac:dyDescent="0.25"/>
  <sheetData>
    <row r="4" spans="1:8" x14ac:dyDescent="0.25">
      <c r="A4" s="1066" t="s">
        <v>270</v>
      </c>
      <c r="B4" s="1066" t="s">
        <v>1228</v>
      </c>
      <c r="C4" s="1066" t="s">
        <v>26</v>
      </c>
      <c r="D4" s="1066" t="s">
        <v>2</v>
      </c>
      <c r="E4" s="1066" t="s">
        <v>9</v>
      </c>
      <c r="F4" s="1066" t="s">
        <v>315</v>
      </c>
      <c r="G4" s="1066" t="s">
        <v>316</v>
      </c>
      <c r="H4" s="1066" t="s">
        <v>852</v>
      </c>
    </row>
    <row r="5" spans="1:8" x14ac:dyDescent="0.25">
      <c r="A5" s="1067" t="s">
        <v>255</v>
      </c>
      <c r="B5" s="1067" t="s">
        <v>185</v>
      </c>
      <c r="C5" s="1067">
        <v>1325</v>
      </c>
      <c r="D5" s="1067">
        <v>26</v>
      </c>
      <c r="E5" s="1067">
        <v>434</v>
      </c>
      <c r="F5" s="1067">
        <v>51</v>
      </c>
      <c r="G5" s="1067">
        <v>814</v>
      </c>
      <c r="H5" s="1067"/>
    </row>
    <row r="6" spans="1:8" x14ac:dyDescent="0.25">
      <c r="A6" s="1067" t="s">
        <v>255</v>
      </c>
      <c r="B6" s="1067" t="s">
        <v>186</v>
      </c>
      <c r="C6" s="1067">
        <v>1294</v>
      </c>
      <c r="D6" s="1067">
        <v>22</v>
      </c>
      <c r="E6" s="1067">
        <v>429</v>
      </c>
      <c r="F6" s="1067">
        <v>54</v>
      </c>
      <c r="G6" s="1067">
        <v>789</v>
      </c>
      <c r="H6" s="1067"/>
    </row>
    <row r="7" spans="1:8" x14ac:dyDescent="0.25">
      <c r="A7" s="1067" t="s">
        <v>255</v>
      </c>
      <c r="B7" s="1067" t="s">
        <v>105</v>
      </c>
      <c r="C7" s="1067">
        <v>891</v>
      </c>
      <c r="D7" s="1067">
        <v>15</v>
      </c>
      <c r="E7" s="1067">
        <v>272</v>
      </c>
      <c r="F7" s="1067">
        <v>23</v>
      </c>
      <c r="G7" s="1067">
        <v>581</v>
      </c>
      <c r="H7" s="1067"/>
    </row>
    <row r="8" spans="1:8" x14ac:dyDescent="0.25">
      <c r="A8" s="1067" t="s">
        <v>255</v>
      </c>
      <c r="B8" s="1067" t="s">
        <v>106</v>
      </c>
      <c r="C8" s="1067">
        <v>893</v>
      </c>
      <c r="D8" s="1067">
        <v>21</v>
      </c>
      <c r="E8" s="1067">
        <v>262</v>
      </c>
      <c r="F8" s="1067">
        <v>25</v>
      </c>
      <c r="G8" s="1067">
        <v>585</v>
      </c>
      <c r="H8" s="1067"/>
    </row>
    <row r="9" spans="1:8" x14ac:dyDescent="0.25">
      <c r="A9" s="1067" t="s">
        <v>255</v>
      </c>
      <c r="B9" s="1067" t="s">
        <v>107</v>
      </c>
      <c r="C9" s="1067">
        <v>271</v>
      </c>
      <c r="D9" s="1067">
        <v>16</v>
      </c>
      <c r="E9" s="1067">
        <v>134</v>
      </c>
      <c r="F9" s="1067">
        <v>12</v>
      </c>
      <c r="G9" s="1067">
        <v>109</v>
      </c>
      <c r="H9" s="1067"/>
    </row>
    <row r="10" spans="1:8" x14ac:dyDescent="0.25">
      <c r="A10" s="1067" t="s">
        <v>255</v>
      </c>
      <c r="B10" s="1067" t="s">
        <v>108</v>
      </c>
      <c r="C10" s="1067">
        <v>69</v>
      </c>
      <c r="D10" s="1067">
        <v>11</v>
      </c>
      <c r="E10" s="1067">
        <v>47</v>
      </c>
      <c r="F10" s="1067">
        <v>4</v>
      </c>
      <c r="G10" s="1067">
        <v>7</v>
      </c>
      <c r="H10" s="1067"/>
    </row>
    <row r="11" spans="1:8" x14ac:dyDescent="0.25">
      <c r="A11" s="1067" t="s">
        <v>255</v>
      </c>
      <c r="B11" s="1067" t="s">
        <v>184</v>
      </c>
      <c r="C11" s="1067">
        <v>1100</v>
      </c>
      <c r="D11" s="1067">
        <v>17</v>
      </c>
      <c r="E11" s="1067">
        <v>572</v>
      </c>
      <c r="F11" s="1067">
        <v>64</v>
      </c>
      <c r="G11" s="1067">
        <v>447</v>
      </c>
      <c r="H11" s="1067"/>
    </row>
    <row r="12" spans="1:8" x14ac:dyDescent="0.25">
      <c r="A12" s="1067" t="s">
        <v>255</v>
      </c>
      <c r="B12" s="1067" t="s">
        <v>322</v>
      </c>
      <c r="C12" s="1067">
        <v>30</v>
      </c>
      <c r="D12" s="1067">
        <v>5</v>
      </c>
      <c r="E12" s="1067">
        <v>22</v>
      </c>
      <c r="F12" s="1067">
        <v>2</v>
      </c>
      <c r="G12" s="1067">
        <v>1</v>
      </c>
      <c r="H12" s="1067"/>
    </row>
    <row r="13" spans="1:8" x14ac:dyDescent="0.25">
      <c r="A13" s="1067" t="s">
        <v>255</v>
      </c>
      <c r="B13" s="1067" t="s">
        <v>323</v>
      </c>
      <c r="C13" s="1067">
        <v>1057</v>
      </c>
      <c r="D13" s="1067">
        <v>56</v>
      </c>
      <c r="E13" s="1067">
        <v>691</v>
      </c>
      <c r="F13" s="1067">
        <v>97</v>
      </c>
      <c r="G13" s="1067">
        <v>213</v>
      </c>
      <c r="H13" s="1067"/>
    </row>
    <row r="14" spans="1:8" x14ac:dyDescent="0.25">
      <c r="A14" s="1067" t="s">
        <v>254</v>
      </c>
      <c r="B14" s="1067" t="s">
        <v>185</v>
      </c>
      <c r="C14" s="1067">
        <v>1584</v>
      </c>
      <c r="D14" s="1067">
        <v>30</v>
      </c>
      <c r="E14" s="1067">
        <v>439</v>
      </c>
      <c r="F14" s="1067">
        <v>47</v>
      </c>
      <c r="G14" s="1067">
        <v>879</v>
      </c>
      <c r="H14" s="1067">
        <v>3</v>
      </c>
    </row>
    <row r="15" spans="1:8" x14ac:dyDescent="0.25">
      <c r="A15" s="1067" t="s">
        <v>254</v>
      </c>
      <c r="B15" s="1067" t="s">
        <v>186</v>
      </c>
      <c r="C15" s="1067">
        <v>1359</v>
      </c>
      <c r="D15" s="1067">
        <v>19</v>
      </c>
      <c r="E15" s="1067">
        <v>401</v>
      </c>
      <c r="F15" s="1067">
        <v>54</v>
      </c>
      <c r="G15" s="1067">
        <v>781</v>
      </c>
      <c r="H15" s="1067">
        <v>4</v>
      </c>
    </row>
    <row r="16" spans="1:8" x14ac:dyDescent="0.25">
      <c r="A16" s="1067" t="s">
        <v>254</v>
      </c>
      <c r="B16" s="1067" t="s">
        <v>105</v>
      </c>
      <c r="C16" s="1067">
        <v>990</v>
      </c>
      <c r="D16" s="1067">
        <v>18</v>
      </c>
      <c r="E16" s="1067">
        <v>291</v>
      </c>
      <c r="F16" s="1067">
        <v>25</v>
      </c>
      <c r="G16" s="1067">
        <v>589</v>
      </c>
      <c r="H16" s="1067">
        <v>3</v>
      </c>
    </row>
    <row r="17" spans="1:8" x14ac:dyDescent="0.25">
      <c r="A17" s="1067" t="s">
        <v>254</v>
      </c>
      <c r="B17" s="1067" t="s">
        <v>106</v>
      </c>
      <c r="C17" s="1067">
        <v>901</v>
      </c>
      <c r="D17" s="1067">
        <v>19</v>
      </c>
      <c r="E17" s="1067">
        <v>246</v>
      </c>
      <c r="F17" s="1067">
        <v>22</v>
      </c>
      <c r="G17" s="1067">
        <v>551</v>
      </c>
      <c r="H17" s="1067">
        <v>2</v>
      </c>
    </row>
    <row r="18" spans="1:8" x14ac:dyDescent="0.25">
      <c r="A18" s="1067" t="s">
        <v>254</v>
      </c>
      <c r="B18" s="1067" t="s">
        <v>107</v>
      </c>
      <c r="C18" s="1067">
        <v>329</v>
      </c>
      <c r="D18" s="1067">
        <v>19</v>
      </c>
      <c r="E18" s="1067">
        <v>155</v>
      </c>
      <c r="F18" s="1067">
        <v>15</v>
      </c>
      <c r="G18" s="1067">
        <v>99</v>
      </c>
      <c r="H18" s="1067">
        <v>3</v>
      </c>
    </row>
    <row r="19" spans="1:8" x14ac:dyDescent="0.25">
      <c r="A19" s="1067" t="s">
        <v>254</v>
      </c>
      <c r="B19" s="1067" t="s">
        <v>108</v>
      </c>
      <c r="C19" s="1067">
        <v>86</v>
      </c>
      <c r="D19" s="1067">
        <v>9</v>
      </c>
      <c r="E19" s="1067">
        <v>52</v>
      </c>
      <c r="F19" s="1067">
        <v>1</v>
      </c>
      <c r="G19" s="1067">
        <v>4</v>
      </c>
      <c r="H19" s="1067">
        <v>1</v>
      </c>
    </row>
    <row r="20" spans="1:8" x14ac:dyDescent="0.25">
      <c r="A20" s="1067" t="s">
        <v>254</v>
      </c>
      <c r="B20" s="1067" t="s">
        <v>184</v>
      </c>
      <c r="C20" s="1067">
        <v>1081</v>
      </c>
      <c r="D20" s="1067">
        <v>27</v>
      </c>
      <c r="E20" s="1067">
        <v>580</v>
      </c>
      <c r="F20" s="1067">
        <v>53</v>
      </c>
      <c r="G20" s="1067">
        <v>325</v>
      </c>
      <c r="H20" s="1067">
        <v>1</v>
      </c>
    </row>
    <row r="21" spans="1:8" x14ac:dyDescent="0.25">
      <c r="A21" s="1067" t="s">
        <v>254</v>
      </c>
      <c r="B21" s="1067" t="s">
        <v>322</v>
      </c>
      <c r="C21" s="1067">
        <v>41</v>
      </c>
      <c r="D21" s="1067">
        <v>4</v>
      </c>
      <c r="E21" s="1067">
        <v>23</v>
      </c>
      <c r="F21" s="1067">
        <v>4</v>
      </c>
      <c r="G21" s="1067">
        <v>3</v>
      </c>
      <c r="H21" s="1067"/>
    </row>
    <row r="22" spans="1:8" x14ac:dyDescent="0.25">
      <c r="A22" s="1067" t="s">
        <v>254</v>
      </c>
      <c r="B22" s="1067" t="s">
        <v>323</v>
      </c>
      <c r="C22" s="1067">
        <v>1535</v>
      </c>
      <c r="D22" s="1067">
        <v>62</v>
      </c>
      <c r="E22" s="1067">
        <v>748</v>
      </c>
      <c r="F22" s="1067">
        <v>96</v>
      </c>
      <c r="G22" s="1067">
        <v>406</v>
      </c>
      <c r="H22" s="1067">
        <v>1</v>
      </c>
    </row>
    <row r="23" spans="1:8" x14ac:dyDescent="0.25">
      <c r="A23" s="1067" t="s">
        <v>851</v>
      </c>
      <c r="B23" s="1067" t="s">
        <v>185</v>
      </c>
      <c r="C23" s="1067">
        <v>1408</v>
      </c>
      <c r="D23" s="1067">
        <v>25</v>
      </c>
      <c r="E23" s="1067">
        <v>432</v>
      </c>
      <c r="F23" s="1067">
        <v>41</v>
      </c>
      <c r="G23" s="1067">
        <v>742</v>
      </c>
      <c r="H23" s="1067">
        <v>10</v>
      </c>
    </row>
    <row r="24" spans="1:8" x14ac:dyDescent="0.25">
      <c r="A24" s="1067" t="s">
        <v>851</v>
      </c>
      <c r="B24" s="1067" t="s">
        <v>186</v>
      </c>
      <c r="C24" s="1067">
        <v>1366</v>
      </c>
      <c r="D24" s="1067">
        <v>23</v>
      </c>
      <c r="E24" s="1067">
        <v>395</v>
      </c>
      <c r="F24" s="1067">
        <v>43</v>
      </c>
      <c r="G24" s="1067">
        <v>784</v>
      </c>
      <c r="H24" s="1067">
        <v>5</v>
      </c>
    </row>
    <row r="25" spans="1:8" x14ac:dyDescent="0.25">
      <c r="A25" s="1067" t="s">
        <v>851</v>
      </c>
      <c r="B25" s="1067" t="s">
        <v>105</v>
      </c>
      <c r="C25" s="1067">
        <v>1053</v>
      </c>
      <c r="D25" s="1067">
        <v>15</v>
      </c>
      <c r="E25" s="1067">
        <v>289</v>
      </c>
      <c r="F25" s="1067">
        <v>36</v>
      </c>
      <c r="G25" s="1067">
        <v>641</v>
      </c>
      <c r="H25" s="1067">
        <v>5</v>
      </c>
    </row>
    <row r="26" spans="1:8" x14ac:dyDescent="0.25">
      <c r="A26" s="1067" t="s">
        <v>851</v>
      </c>
      <c r="B26" s="1067" t="s">
        <v>106</v>
      </c>
      <c r="C26" s="1067">
        <v>834</v>
      </c>
      <c r="D26" s="1067">
        <v>15</v>
      </c>
      <c r="E26" s="1067">
        <v>223</v>
      </c>
      <c r="F26" s="1067">
        <v>21</v>
      </c>
      <c r="G26" s="1067">
        <v>516</v>
      </c>
      <c r="H26" s="1067">
        <v>3</v>
      </c>
    </row>
    <row r="27" spans="1:8" x14ac:dyDescent="0.25">
      <c r="A27" s="1067" t="s">
        <v>851</v>
      </c>
      <c r="B27" s="1067" t="s">
        <v>107</v>
      </c>
      <c r="C27" s="1067">
        <v>312</v>
      </c>
      <c r="D27" s="1067">
        <v>20</v>
      </c>
      <c r="E27" s="1067">
        <v>156</v>
      </c>
      <c r="F27" s="1067">
        <v>16</v>
      </c>
      <c r="G27" s="1067">
        <v>78</v>
      </c>
      <c r="H27" s="1067">
        <v>4</v>
      </c>
    </row>
    <row r="28" spans="1:8" x14ac:dyDescent="0.25">
      <c r="A28" s="1067" t="s">
        <v>851</v>
      </c>
      <c r="B28" s="1067" t="s">
        <v>108</v>
      </c>
      <c r="C28" s="1067">
        <v>91</v>
      </c>
      <c r="D28" s="1067">
        <v>3</v>
      </c>
      <c r="E28" s="1067">
        <v>57</v>
      </c>
      <c r="F28" s="1067">
        <v>2</v>
      </c>
      <c r="G28" s="1067">
        <v>5</v>
      </c>
      <c r="H28" s="1067">
        <v>3</v>
      </c>
    </row>
    <row r="29" spans="1:8" x14ac:dyDescent="0.25">
      <c r="A29" s="1067" t="s">
        <v>851</v>
      </c>
      <c r="B29" s="1067" t="s">
        <v>184</v>
      </c>
      <c r="C29" s="1067">
        <v>1068</v>
      </c>
      <c r="D29" s="1067">
        <v>26</v>
      </c>
      <c r="E29" s="1067">
        <v>556</v>
      </c>
      <c r="F29" s="1067">
        <v>55</v>
      </c>
      <c r="G29" s="1067">
        <v>330</v>
      </c>
      <c r="H29" s="1067">
        <v>5</v>
      </c>
    </row>
    <row r="30" spans="1:8" x14ac:dyDescent="0.25">
      <c r="A30" s="1067" t="s">
        <v>851</v>
      </c>
      <c r="B30" s="1067" t="s">
        <v>322</v>
      </c>
      <c r="C30" s="1067">
        <v>52</v>
      </c>
      <c r="D30" s="1067">
        <v>7</v>
      </c>
      <c r="E30" s="1067">
        <v>28</v>
      </c>
      <c r="F30" s="1067">
        <v>4</v>
      </c>
      <c r="G30" s="1067">
        <v>4</v>
      </c>
      <c r="H30" s="1067"/>
    </row>
    <row r="31" spans="1:8" x14ac:dyDescent="0.25">
      <c r="A31" s="1067" t="s">
        <v>851</v>
      </c>
      <c r="B31" s="1067" t="s">
        <v>323</v>
      </c>
      <c r="C31" s="1067">
        <v>1746</v>
      </c>
      <c r="D31" s="1067">
        <v>54</v>
      </c>
      <c r="E31" s="1067">
        <v>801</v>
      </c>
      <c r="F31" s="1067">
        <v>97</v>
      </c>
      <c r="G31" s="1067">
        <v>536</v>
      </c>
      <c r="H31" s="1067">
        <v>1</v>
      </c>
    </row>
  </sheetData>
  <sheetProtection algorithmName="SHA-512" hashValue="7VMN4v15Gu/2i8eqqzVaWeiu2gINsVVuPtA18KURx7/1MDCqwEKG/W77fw3BWyx5F2dMLQC8q2aTji/wZib1+g==" saltValue="eD1CulGyj/TmjqFOCLktWA==" spinCount="100000" sheet="1" scenarios="1" formatCells="0" formatColumns="0" formatRows="0" sort="0" autoFilter="0" pivotTables="0"/>
  <pageMargins left="0.7" right="0.7" top="0.75" bottom="0.75" header="0.3" footer="0.3"/>
  <pageSetup paperSize="9" fitToHeight="50"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zoomScale="85" zoomScaleNormal="85" workbookViewId="0">
      <pane ySplit="4" topLeftCell="A5" activePane="bottomLeft" state="frozen"/>
      <selection pane="bottomLeft"/>
    </sheetView>
  </sheetViews>
  <sheetFormatPr defaultRowHeight="15" x14ac:dyDescent="0.25"/>
  <sheetData>
    <row r="1" spans="1:10" ht="15.75" x14ac:dyDescent="0.25">
      <c r="A1" s="981" t="s">
        <v>1240</v>
      </c>
    </row>
    <row r="2" spans="1:10" x14ac:dyDescent="0.25">
      <c r="A2" s="1139">
        <v>44071</v>
      </c>
      <c r="B2" s="1140"/>
    </row>
    <row r="4" spans="1:10" x14ac:dyDescent="0.25">
      <c r="A4" s="1066" t="s">
        <v>245</v>
      </c>
      <c r="B4" s="1066" t="s">
        <v>1237</v>
      </c>
      <c r="C4" s="1066" t="s">
        <v>316</v>
      </c>
      <c r="D4" s="1066" t="s">
        <v>9</v>
      </c>
      <c r="E4" s="1066" t="s">
        <v>2</v>
      </c>
      <c r="F4" s="1066" t="s">
        <v>3</v>
      </c>
      <c r="G4" s="1066" t="s">
        <v>315</v>
      </c>
      <c r="H4" s="1066" t="s">
        <v>26</v>
      </c>
      <c r="I4" s="1066" t="s">
        <v>1239</v>
      </c>
      <c r="J4" s="1066" t="s">
        <v>852</v>
      </c>
    </row>
    <row r="5" spans="1:10" x14ac:dyDescent="0.25">
      <c r="A5" s="1067" t="s">
        <v>325</v>
      </c>
      <c r="B5" s="1067" t="s">
        <v>984</v>
      </c>
      <c r="C5" s="1067">
        <v>0.4</v>
      </c>
      <c r="D5" s="1067">
        <v>0.3</v>
      </c>
      <c r="E5" s="1067">
        <v>2.1</v>
      </c>
      <c r="F5" s="1067">
        <v>1.4</v>
      </c>
      <c r="G5" s="1067">
        <v>0.4</v>
      </c>
      <c r="H5" s="1067">
        <v>0.6</v>
      </c>
      <c r="I5" s="1067">
        <v>0.6</v>
      </c>
      <c r="J5" s="1067"/>
    </row>
    <row r="6" spans="1:10" x14ac:dyDescent="0.25">
      <c r="A6" s="1067" t="s">
        <v>205</v>
      </c>
      <c r="B6" s="1067" t="s">
        <v>984</v>
      </c>
      <c r="C6" s="1067">
        <v>0.5</v>
      </c>
      <c r="D6" s="1067">
        <v>0.3</v>
      </c>
      <c r="E6" s="1067">
        <v>2.1</v>
      </c>
      <c r="F6" s="1067">
        <v>1.5</v>
      </c>
      <c r="G6" s="1067">
        <v>0.5</v>
      </c>
      <c r="H6" s="1067">
        <v>0.6</v>
      </c>
      <c r="I6" s="1067">
        <v>0.6</v>
      </c>
      <c r="J6" s="1067"/>
    </row>
    <row r="7" spans="1:10" x14ac:dyDescent="0.25">
      <c r="A7" s="1067" t="s">
        <v>204</v>
      </c>
      <c r="B7" s="1067" t="s">
        <v>984</v>
      </c>
      <c r="C7" s="1067">
        <v>0.2</v>
      </c>
      <c r="D7" s="1067">
        <v>0.2</v>
      </c>
      <c r="E7" s="1067">
        <v>1.8</v>
      </c>
      <c r="F7" s="1067">
        <v>0.7</v>
      </c>
      <c r="G7" s="1067"/>
      <c r="H7" s="1067">
        <v>0.3</v>
      </c>
      <c r="I7" s="1067">
        <v>0.3</v>
      </c>
      <c r="J7" s="1067"/>
    </row>
    <row r="8" spans="1:10" x14ac:dyDescent="0.25">
      <c r="A8" s="1067" t="s">
        <v>203</v>
      </c>
      <c r="B8" s="1067" t="s">
        <v>984</v>
      </c>
      <c r="C8" s="1067">
        <v>0.2</v>
      </c>
      <c r="D8" s="1067">
        <v>0.2</v>
      </c>
      <c r="E8" s="1067">
        <v>2.2000000000000002</v>
      </c>
      <c r="F8" s="1067">
        <v>0.8</v>
      </c>
      <c r="G8" s="1067"/>
      <c r="H8" s="1067">
        <v>0.3</v>
      </c>
      <c r="I8" s="1067">
        <v>0.3</v>
      </c>
      <c r="J8" s="1067"/>
    </row>
    <row r="9" spans="1:10" x14ac:dyDescent="0.25">
      <c r="A9" s="1067" t="s">
        <v>203</v>
      </c>
      <c r="B9" s="1067" t="s">
        <v>879</v>
      </c>
      <c r="C9" s="1067">
        <v>80.8</v>
      </c>
      <c r="D9" s="1067">
        <v>96.9</v>
      </c>
      <c r="E9" s="1067">
        <v>60.4</v>
      </c>
      <c r="F9" s="1067">
        <v>77.900000000000006</v>
      </c>
      <c r="G9" s="1067">
        <v>47.4</v>
      </c>
      <c r="H9" s="1067">
        <v>84.1</v>
      </c>
      <c r="I9" s="1067">
        <v>85.9</v>
      </c>
      <c r="J9" s="1067"/>
    </row>
    <row r="10" spans="1:10" x14ac:dyDescent="0.25">
      <c r="A10" s="1067" t="s">
        <v>202</v>
      </c>
      <c r="B10" s="1067" t="s">
        <v>984</v>
      </c>
      <c r="C10" s="1067">
        <v>0</v>
      </c>
      <c r="D10" s="1067">
        <v>0.1</v>
      </c>
      <c r="E10" s="1067">
        <v>0</v>
      </c>
      <c r="F10" s="1067">
        <v>0.5</v>
      </c>
      <c r="G10" s="1067">
        <v>0.3</v>
      </c>
      <c r="H10" s="1067">
        <v>0.1</v>
      </c>
      <c r="I10" s="1067">
        <v>0.1</v>
      </c>
      <c r="J10" s="1067"/>
    </row>
    <row r="11" spans="1:10" x14ac:dyDescent="0.25">
      <c r="A11" s="1067" t="s">
        <v>202</v>
      </c>
      <c r="B11" s="1067" t="s">
        <v>879</v>
      </c>
      <c r="C11" s="1067">
        <v>100</v>
      </c>
      <c r="D11" s="1067">
        <v>98</v>
      </c>
      <c r="E11" s="1067">
        <v>100</v>
      </c>
      <c r="F11" s="1067">
        <v>95</v>
      </c>
      <c r="G11" s="1067">
        <v>94</v>
      </c>
      <c r="H11" s="1067">
        <v>99</v>
      </c>
      <c r="I11" s="1067">
        <v>99</v>
      </c>
      <c r="J11" s="1067"/>
    </row>
    <row r="12" spans="1:10" x14ac:dyDescent="0.25">
      <c r="A12" s="1067" t="s">
        <v>273</v>
      </c>
      <c r="B12" s="1067" t="s">
        <v>984</v>
      </c>
      <c r="C12" s="1067">
        <v>0</v>
      </c>
      <c r="D12" s="1067">
        <v>0.1</v>
      </c>
      <c r="E12" s="1067">
        <v>0</v>
      </c>
      <c r="F12" s="1067">
        <v>0.4</v>
      </c>
      <c r="G12" s="1067">
        <v>0.3</v>
      </c>
      <c r="H12" s="1067">
        <v>0.1</v>
      </c>
      <c r="I12" s="1067">
        <v>0.1</v>
      </c>
      <c r="J12" s="1067"/>
    </row>
    <row r="13" spans="1:10" x14ac:dyDescent="0.25">
      <c r="A13" s="1067" t="s">
        <v>273</v>
      </c>
      <c r="B13" s="1067" t="s">
        <v>879</v>
      </c>
      <c r="C13" s="1067">
        <v>99.5</v>
      </c>
      <c r="D13" s="1067">
        <v>95.2</v>
      </c>
      <c r="E13" s="1067">
        <v>99.4</v>
      </c>
      <c r="F13" s="1067">
        <v>90.9</v>
      </c>
      <c r="G13" s="1067">
        <v>96.2</v>
      </c>
      <c r="H13" s="1067">
        <v>96.8</v>
      </c>
      <c r="I13" s="1067">
        <v>96.9</v>
      </c>
      <c r="J13" s="1067"/>
    </row>
    <row r="14" spans="1:10" x14ac:dyDescent="0.25">
      <c r="A14" s="1067" t="s">
        <v>255</v>
      </c>
      <c r="B14" s="1067" t="s">
        <v>984</v>
      </c>
      <c r="C14" s="1067">
        <v>0.3</v>
      </c>
      <c r="D14" s="1067">
        <v>0.3</v>
      </c>
      <c r="E14" s="1067"/>
      <c r="F14" s="1067">
        <v>1.2</v>
      </c>
      <c r="G14" s="1067">
        <v>0.3</v>
      </c>
      <c r="H14" s="1067">
        <v>0.4</v>
      </c>
      <c r="I14" s="1067">
        <v>0.4</v>
      </c>
      <c r="J14" s="1067"/>
    </row>
    <row r="15" spans="1:10" x14ac:dyDescent="0.25">
      <c r="A15" s="1067" t="s">
        <v>255</v>
      </c>
      <c r="B15" s="1067" t="s">
        <v>879</v>
      </c>
      <c r="C15" s="1067">
        <v>91.4</v>
      </c>
      <c r="D15" s="1067">
        <v>80.599999999999994</v>
      </c>
      <c r="E15" s="1067">
        <v>87.3</v>
      </c>
      <c r="F15" s="1067">
        <v>75.099999999999994</v>
      </c>
      <c r="G15" s="1067">
        <v>96.4</v>
      </c>
      <c r="H15" s="1067">
        <v>85.8</v>
      </c>
      <c r="I15" s="1067">
        <v>85.3</v>
      </c>
      <c r="J15" s="1067"/>
    </row>
    <row r="16" spans="1:10" x14ac:dyDescent="0.25">
      <c r="A16" s="1067" t="s">
        <v>254</v>
      </c>
      <c r="B16" s="1067" t="s">
        <v>984</v>
      </c>
      <c r="C16" s="1067">
        <v>0.7</v>
      </c>
      <c r="D16" s="1067">
        <v>0.4</v>
      </c>
      <c r="E16" s="1067">
        <v>0.5</v>
      </c>
      <c r="F16" s="1067">
        <v>2.1</v>
      </c>
      <c r="G16" s="1067">
        <v>0.3</v>
      </c>
      <c r="H16" s="1067">
        <v>0.7</v>
      </c>
      <c r="I16" s="1067">
        <v>0.7</v>
      </c>
      <c r="J16" s="1067"/>
    </row>
    <row r="17" spans="1:10" x14ac:dyDescent="0.25">
      <c r="A17" s="1067" t="s">
        <v>254</v>
      </c>
      <c r="B17" s="1067" t="s">
        <v>879</v>
      </c>
      <c r="C17" s="1067">
        <v>78.8</v>
      </c>
      <c r="D17" s="1067">
        <v>73.8</v>
      </c>
      <c r="E17" s="1067">
        <v>78.3</v>
      </c>
      <c r="F17" s="1067">
        <v>60.1</v>
      </c>
      <c r="G17" s="1067">
        <v>95.9</v>
      </c>
      <c r="H17" s="1067">
        <v>75.7</v>
      </c>
      <c r="I17" s="1067">
        <v>74.900000000000006</v>
      </c>
      <c r="J17" s="1067"/>
    </row>
    <row r="18" spans="1:10" x14ac:dyDescent="0.25">
      <c r="A18" s="1067" t="s">
        <v>851</v>
      </c>
      <c r="B18" s="1067" t="s">
        <v>984</v>
      </c>
      <c r="C18" s="1067">
        <v>0.7</v>
      </c>
      <c r="D18" s="1067">
        <v>0.4</v>
      </c>
      <c r="E18" s="1067">
        <v>0.5</v>
      </c>
      <c r="F18" s="1067">
        <v>2.2999999999999998</v>
      </c>
      <c r="G18" s="1067">
        <v>0.3</v>
      </c>
      <c r="H18" s="1067">
        <v>0.8</v>
      </c>
      <c r="I18" s="1067">
        <v>0.8</v>
      </c>
      <c r="J18" s="1067"/>
    </row>
    <row r="19" spans="1:10" x14ac:dyDescent="0.25">
      <c r="A19" s="1067" t="s">
        <v>851</v>
      </c>
      <c r="B19" s="1067" t="s">
        <v>879</v>
      </c>
      <c r="C19" s="1067">
        <v>75.900000000000006</v>
      </c>
      <c r="D19" s="1067">
        <v>74.099999999999994</v>
      </c>
      <c r="E19" s="1067">
        <v>78.7</v>
      </c>
      <c r="F19" s="1067">
        <v>59.3</v>
      </c>
      <c r="G19" s="1067">
        <v>94.9</v>
      </c>
      <c r="H19" s="1067">
        <v>74.2</v>
      </c>
      <c r="I19" s="1067">
        <v>73.400000000000006</v>
      </c>
      <c r="J19" s="1067">
        <v>55.6</v>
      </c>
    </row>
  </sheetData>
  <sheetProtection algorithmName="SHA-512" hashValue="OtMYHxVz1eqTsJq/zYwKjPv8codJaRdWB8Pqn8vQTP9MJMpmFyBWtjkJqEmI7ScXBMRmQGsOHwsCiPEmS7RQyg==" saltValue="DUseYESp6aNZ+5kYBo9YyQ=="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G207"/>
  <sheetViews>
    <sheetView zoomScale="85" zoomScaleNormal="85" workbookViewId="0">
      <pane ySplit="4" topLeftCell="A5" activePane="bottomLeft" state="frozen"/>
      <selection pane="bottomLeft"/>
    </sheetView>
  </sheetViews>
  <sheetFormatPr defaultRowHeight="15" x14ac:dyDescent="0.25"/>
  <sheetData>
    <row r="4" spans="1:7" x14ac:dyDescent="0.25">
      <c r="A4" s="1066" t="s">
        <v>245</v>
      </c>
      <c r="B4" s="1066" t="s">
        <v>316</v>
      </c>
      <c r="C4" s="1066" t="s">
        <v>9</v>
      </c>
      <c r="D4" s="1066" t="s">
        <v>890</v>
      </c>
      <c r="E4" s="1066" t="s">
        <v>315</v>
      </c>
      <c r="F4" s="1066" t="s">
        <v>26</v>
      </c>
    </row>
    <row r="5" spans="1:7" x14ac:dyDescent="0.25">
      <c r="A5" s="1067" t="s">
        <v>325</v>
      </c>
      <c r="B5" s="1067">
        <v>74</v>
      </c>
      <c r="C5" s="1067">
        <v>241</v>
      </c>
      <c r="D5" s="1067">
        <v>4</v>
      </c>
      <c r="E5" s="1067">
        <v>53</v>
      </c>
      <c r="F5" s="1067">
        <v>372</v>
      </c>
    </row>
    <row r="6" spans="1:7" x14ac:dyDescent="0.25">
      <c r="A6" s="1067" t="s">
        <v>205</v>
      </c>
      <c r="B6" s="1067">
        <v>74</v>
      </c>
      <c r="C6" s="1067">
        <v>236</v>
      </c>
      <c r="D6" s="1067">
        <v>4</v>
      </c>
      <c r="E6" s="1067">
        <v>43</v>
      </c>
      <c r="F6" s="1067">
        <v>357</v>
      </c>
    </row>
    <row r="7" spans="1:7" x14ac:dyDescent="0.25">
      <c r="A7" s="1067" t="s">
        <v>204</v>
      </c>
      <c r="B7" s="1067">
        <v>74</v>
      </c>
      <c r="C7" s="1067">
        <v>237</v>
      </c>
      <c r="D7" s="1067">
        <v>3</v>
      </c>
      <c r="E7" s="1067">
        <v>43</v>
      </c>
      <c r="F7" s="1067">
        <v>357</v>
      </c>
    </row>
    <row r="8" spans="1:7" x14ac:dyDescent="0.25">
      <c r="A8" s="1067" t="s">
        <v>203</v>
      </c>
      <c r="B8" s="1067">
        <v>74</v>
      </c>
      <c r="C8" s="1067">
        <v>240</v>
      </c>
      <c r="D8" s="1067">
        <v>0</v>
      </c>
      <c r="E8" s="1067">
        <v>43</v>
      </c>
      <c r="F8" s="1067">
        <v>357</v>
      </c>
    </row>
    <row r="9" spans="1:7" x14ac:dyDescent="0.25">
      <c r="A9" s="1067" t="s">
        <v>202</v>
      </c>
      <c r="B9" s="1067">
        <v>74</v>
      </c>
      <c r="C9" s="1067">
        <v>240</v>
      </c>
      <c r="D9" s="1067">
        <v>0</v>
      </c>
      <c r="E9" s="1067">
        <v>43</v>
      </c>
      <c r="F9" s="1067">
        <v>357</v>
      </c>
    </row>
    <row r="10" spans="1:7" x14ac:dyDescent="0.25">
      <c r="A10" s="1067" t="s">
        <v>273</v>
      </c>
      <c r="B10" s="1067">
        <v>74</v>
      </c>
      <c r="C10" s="1067">
        <v>240</v>
      </c>
      <c r="D10" s="1067">
        <v>0</v>
      </c>
      <c r="E10" s="1067">
        <v>43</v>
      </c>
      <c r="F10" s="1067">
        <v>357</v>
      </c>
    </row>
    <row r="11" spans="1:7" x14ac:dyDescent="0.25">
      <c r="A11" s="1067" t="s">
        <v>255</v>
      </c>
      <c r="B11" s="1067">
        <v>74</v>
      </c>
      <c r="C11" s="1067">
        <v>240</v>
      </c>
      <c r="D11" s="1067">
        <v>0</v>
      </c>
      <c r="E11" s="1067">
        <v>43</v>
      </c>
      <c r="F11" s="1067">
        <v>357</v>
      </c>
    </row>
    <row r="12" spans="1:7" x14ac:dyDescent="0.25">
      <c r="A12" s="1067" t="s">
        <v>254</v>
      </c>
      <c r="B12" s="1067">
        <v>74</v>
      </c>
      <c r="C12" s="1067">
        <v>240</v>
      </c>
      <c r="D12" s="1067">
        <v>0</v>
      </c>
      <c r="E12" s="1067">
        <v>43</v>
      </c>
      <c r="F12" s="1067">
        <v>357</v>
      </c>
    </row>
    <row r="13" spans="1:7" x14ac:dyDescent="0.25">
      <c r="A13" s="1067" t="s">
        <v>851</v>
      </c>
      <c r="B13" s="1067">
        <v>74</v>
      </c>
      <c r="C13" s="1067">
        <v>240</v>
      </c>
      <c r="D13" s="1067">
        <v>0</v>
      </c>
      <c r="E13" s="1067">
        <v>43</v>
      </c>
      <c r="F13" s="1067">
        <v>357</v>
      </c>
    </row>
    <row r="15" spans="1:7" x14ac:dyDescent="0.25">
      <c r="A15" s="1069" t="s">
        <v>329</v>
      </c>
      <c r="B15" s="1069" t="s">
        <v>928</v>
      </c>
      <c r="C15" s="1069" t="s">
        <v>929</v>
      </c>
      <c r="D15" s="1069" t="s">
        <v>119</v>
      </c>
      <c r="E15" s="1069" t="s">
        <v>195</v>
      </c>
      <c r="F15" s="1069" t="s">
        <v>29</v>
      </c>
      <c r="G15" s="1069" t="s">
        <v>26</v>
      </c>
    </row>
    <row r="16" spans="1:7" x14ac:dyDescent="0.25">
      <c r="A16" s="1067" t="s">
        <v>203</v>
      </c>
      <c r="B16" s="1067" t="s">
        <v>31</v>
      </c>
      <c r="C16" s="1067" t="s">
        <v>301</v>
      </c>
      <c r="D16" s="1067">
        <v>3</v>
      </c>
      <c r="E16" s="1067">
        <v>1</v>
      </c>
      <c r="F16" s="1067"/>
      <c r="G16" s="1067">
        <v>4</v>
      </c>
    </row>
    <row r="17" spans="1:7" x14ac:dyDescent="0.25">
      <c r="A17" s="1067" t="s">
        <v>203</v>
      </c>
      <c r="B17" s="1067" t="s">
        <v>32</v>
      </c>
      <c r="C17" s="1067" t="s">
        <v>302</v>
      </c>
      <c r="D17" s="1067">
        <v>1</v>
      </c>
      <c r="E17" s="1067">
        <v>23</v>
      </c>
      <c r="F17" s="1067"/>
      <c r="G17" s="1067">
        <v>24</v>
      </c>
    </row>
    <row r="18" spans="1:7" x14ac:dyDescent="0.25">
      <c r="A18" s="1067" t="s">
        <v>203</v>
      </c>
      <c r="B18" s="1067" t="s">
        <v>33</v>
      </c>
      <c r="C18" s="1067" t="s">
        <v>308</v>
      </c>
      <c r="D18" s="1067">
        <v>1</v>
      </c>
      <c r="E18" s="1067">
        <v>5</v>
      </c>
      <c r="F18" s="1067"/>
      <c r="G18" s="1067">
        <v>6</v>
      </c>
    </row>
    <row r="19" spans="1:7" x14ac:dyDescent="0.25">
      <c r="A19" s="1067" t="s">
        <v>203</v>
      </c>
      <c r="B19" s="1067" t="s">
        <v>34</v>
      </c>
      <c r="C19" s="1067" t="s">
        <v>303</v>
      </c>
      <c r="D19" s="1067">
        <v>2</v>
      </c>
      <c r="E19" s="1067">
        <v>12</v>
      </c>
      <c r="F19" s="1067">
        <v>25</v>
      </c>
      <c r="G19" s="1067">
        <v>39</v>
      </c>
    </row>
    <row r="20" spans="1:7" x14ac:dyDescent="0.25">
      <c r="A20" s="1067" t="s">
        <v>203</v>
      </c>
      <c r="B20" s="1067" t="s">
        <v>258</v>
      </c>
      <c r="C20" s="1067" t="s">
        <v>304</v>
      </c>
      <c r="D20" s="1067">
        <v>7</v>
      </c>
      <c r="E20" s="1067">
        <v>1</v>
      </c>
      <c r="F20" s="1067"/>
      <c r="G20" s="1067">
        <v>8</v>
      </c>
    </row>
    <row r="21" spans="1:7" x14ac:dyDescent="0.25">
      <c r="A21" s="1067" t="s">
        <v>203</v>
      </c>
      <c r="B21" s="1067" t="s">
        <v>35</v>
      </c>
      <c r="C21" s="1067" t="s">
        <v>282</v>
      </c>
      <c r="D21" s="1067">
        <v>1</v>
      </c>
      <c r="E21" s="1067">
        <v>1</v>
      </c>
      <c r="F21" s="1067"/>
      <c r="G21" s="1067">
        <v>2</v>
      </c>
    </row>
    <row r="22" spans="1:7" x14ac:dyDescent="0.25">
      <c r="A22" s="1067" t="s">
        <v>203</v>
      </c>
      <c r="B22" s="1067" t="s">
        <v>36</v>
      </c>
      <c r="C22" s="1067" t="s">
        <v>283</v>
      </c>
      <c r="D22" s="1067">
        <v>1</v>
      </c>
      <c r="E22" s="1067">
        <v>15</v>
      </c>
      <c r="F22" s="1067">
        <v>1</v>
      </c>
      <c r="G22" s="1067">
        <v>17</v>
      </c>
    </row>
    <row r="23" spans="1:7" x14ac:dyDescent="0.25">
      <c r="A23" s="1067" t="s">
        <v>203</v>
      </c>
      <c r="B23" s="1067" t="s">
        <v>37</v>
      </c>
      <c r="C23" s="1067" t="s">
        <v>309</v>
      </c>
      <c r="D23" s="1067">
        <v>4</v>
      </c>
      <c r="E23" s="1067"/>
      <c r="F23" s="1067"/>
      <c r="G23" s="1067">
        <v>4</v>
      </c>
    </row>
    <row r="24" spans="1:7" x14ac:dyDescent="0.25">
      <c r="A24" s="1067" t="s">
        <v>203</v>
      </c>
      <c r="B24" s="1067" t="s">
        <v>38</v>
      </c>
      <c r="C24" s="1067" t="s">
        <v>284</v>
      </c>
      <c r="D24" s="1067">
        <v>1</v>
      </c>
      <c r="E24" s="1067">
        <v>7</v>
      </c>
      <c r="F24" s="1067"/>
      <c r="G24" s="1067">
        <v>8</v>
      </c>
    </row>
    <row r="25" spans="1:7" x14ac:dyDescent="0.25">
      <c r="A25" s="1067" t="s">
        <v>203</v>
      </c>
      <c r="B25" s="1067" t="s">
        <v>39</v>
      </c>
      <c r="C25" s="1067" t="s">
        <v>311</v>
      </c>
      <c r="D25" s="1067">
        <v>3</v>
      </c>
      <c r="E25" s="1067"/>
      <c r="F25" s="1067"/>
      <c r="G25" s="1067">
        <v>3</v>
      </c>
    </row>
    <row r="26" spans="1:7" x14ac:dyDescent="0.25">
      <c r="A26" s="1067" t="s">
        <v>203</v>
      </c>
      <c r="B26" s="1067" t="s">
        <v>40</v>
      </c>
      <c r="C26" s="1067" t="s">
        <v>285</v>
      </c>
      <c r="D26" s="1067">
        <v>1</v>
      </c>
      <c r="E26" s="1067">
        <v>5</v>
      </c>
      <c r="F26" s="1067"/>
      <c r="G26" s="1067">
        <v>6</v>
      </c>
    </row>
    <row r="27" spans="1:7" x14ac:dyDescent="0.25">
      <c r="A27" s="1067" t="s">
        <v>203</v>
      </c>
      <c r="B27" s="1067" t="s">
        <v>41</v>
      </c>
      <c r="C27" s="1067" t="s">
        <v>286</v>
      </c>
      <c r="D27" s="1067">
        <v>2</v>
      </c>
      <c r="E27" s="1067"/>
      <c r="F27" s="1067"/>
      <c r="G27" s="1067">
        <v>2</v>
      </c>
    </row>
    <row r="28" spans="1:7" x14ac:dyDescent="0.25">
      <c r="A28" s="1067" t="s">
        <v>203</v>
      </c>
      <c r="B28" s="1067" t="s">
        <v>42</v>
      </c>
      <c r="C28" s="1067" t="s">
        <v>288</v>
      </c>
      <c r="D28" s="1067">
        <v>3</v>
      </c>
      <c r="E28" s="1067">
        <v>2</v>
      </c>
      <c r="F28" s="1067"/>
      <c r="G28" s="1067">
        <v>5</v>
      </c>
    </row>
    <row r="29" spans="1:7" x14ac:dyDescent="0.25">
      <c r="A29" s="1067" t="s">
        <v>203</v>
      </c>
      <c r="B29" s="1067" t="s">
        <v>43</v>
      </c>
      <c r="C29" s="1067" t="s">
        <v>313</v>
      </c>
      <c r="D29" s="1067">
        <v>5</v>
      </c>
      <c r="E29" s="1067">
        <v>8</v>
      </c>
      <c r="F29" s="1067"/>
      <c r="G29" s="1067">
        <v>13</v>
      </c>
    </row>
    <row r="30" spans="1:7" x14ac:dyDescent="0.25">
      <c r="A30" s="1067" t="s">
        <v>203</v>
      </c>
      <c r="B30" s="1067" t="s">
        <v>121</v>
      </c>
      <c r="C30" s="1067" t="s">
        <v>312</v>
      </c>
      <c r="D30" s="1067">
        <v>11</v>
      </c>
      <c r="E30" s="1067"/>
      <c r="F30" s="1067"/>
      <c r="G30" s="1067">
        <v>11</v>
      </c>
    </row>
    <row r="31" spans="1:7" x14ac:dyDescent="0.25">
      <c r="A31" s="1067" t="s">
        <v>203</v>
      </c>
      <c r="B31" s="1067" t="s">
        <v>44</v>
      </c>
      <c r="C31" s="1067" t="s">
        <v>289</v>
      </c>
      <c r="D31" s="1067">
        <v>1</v>
      </c>
      <c r="E31" s="1067">
        <v>51</v>
      </c>
      <c r="F31" s="1067">
        <v>9</v>
      </c>
      <c r="G31" s="1067">
        <v>61</v>
      </c>
    </row>
    <row r="32" spans="1:7" x14ac:dyDescent="0.25">
      <c r="A32" s="1067" t="s">
        <v>203</v>
      </c>
      <c r="B32" s="1067" t="s">
        <v>45</v>
      </c>
      <c r="C32" s="1067" t="s">
        <v>290</v>
      </c>
      <c r="D32" s="1067">
        <v>2</v>
      </c>
      <c r="E32" s="1067">
        <v>1</v>
      </c>
      <c r="F32" s="1067"/>
      <c r="G32" s="1067">
        <v>3</v>
      </c>
    </row>
    <row r="33" spans="1:7" x14ac:dyDescent="0.25">
      <c r="A33" s="1067" t="s">
        <v>203</v>
      </c>
      <c r="B33" s="1067" t="s">
        <v>46</v>
      </c>
      <c r="C33" s="1067" t="s">
        <v>291</v>
      </c>
      <c r="D33" s="1067">
        <v>1</v>
      </c>
      <c r="E33" s="1067">
        <v>1</v>
      </c>
      <c r="F33" s="1067"/>
      <c r="G33" s="1067">
        <v>2</v>
      </c>
    </row>
    <row r="34" spans="1:7" x14ac:dyDescent="0.25">
      <c r="A34" s="1067" t="s">
        <v>203</v>
      </c>
      <c r="B34" s="1067" t="s">
        <v>47</v>
      </c>
      <c r="C34" s="1067" t="s">
        <v>292</v>
      </c>
      <c r="D34" s="1067">
        <v>1</v>
      </c>
      <c r="E34" s="1067">
        <v>10</v>
      </c>
      <c r="F34" s="1067">
        <v>1</v>
      </c>
      <c r="G34" s="1067">
        <v>12</v>
      </c>
    </row>
    <row r="35" spans="1:7" x14ac:dyDescent="0.25">
      <c r="A35" s="1067" t="s">
        <v>203</v>
      </c>
      <c r="B35" s="1067" t="s">
        <v>48</v>
      </c>
      <c r="C35" s="1067" t="s">
        <v>287</v>
      </c>
      <c r="D35" s="1067"/>
      <c r="E35" s="1067">
        <v>14</v>
      </c>
      <c r="F35" s="1067"/>
      <c r="G35" s="1067">
        <v>14</v>
      </c>
    </row>
    <row r="36" spans="1:7" x14ac:dyDescent="0.25">
      <c r="A36" s="1067" t="s">
        <v>203</v>
      </c>
      <c r="B36" s="1067" t="s">
        <v>49</v>
      </c>
      <c r="C36" s="1067" t="s">
        <v>293</v>
      </c>
      <c r="D36" s="1067">
        <v>3</v>
      </c>
      <c r="E36" s="1067">
        <v>8</v>
      </c>
      <c r="F36" s="1067">
        <v>3</v>
      </c>
      <c r="G36" s="1067">
        <v>14</v>
      </c>
    </row>
    <row r="37" spans="1:7" x14ac:dyDescent="0.25">
      <c r="A37" s="1067" t="s">
        <v>203</v>
      </c>
      <c r="B37" s="1067" t="s">
        <v>50</v>
      </c>
      <c r="C37" s="1067" t="s">
        <v>310</v>
      </c>
      <c r="D37" s="1067">
        <v>4</v>
      </c>
      <c r="E37" s="1067">
        <v>3</v>
      </c>
      <c r="F37" s="1067"/>
      <c r="G37" s="1067">
        <v>7</v>
      </c>
    </row>
    <row r="38" spans="1:7" x14ac:dyDescent="0.25">
      <c r="A38" s="1067" t="s">
        <v>203</v>
      </c>
      <c r="B38" s="1067" t="s">
        <v>51</v>
      </c>
      <c r="C38" s="1067" t="s">
        <v>294</v>
      </c>
      <c r="D38" s="1067"/>
      <c r="E38" s="1067">
        <v>12</v>
      </c>
      <c r="F38" s="1067"/>
      <c r="G38" s="1067">
        <v>12</v>
      </c>
    </row>
    <row r="39" spans="1:7" x14ac:dyDescent="0.25">
      <c r="A39" s="1067" t="s">
        <v>203</v>
      </c>
      <c r="B39" s="1067" t="s">
        <v>52</v>
      </c>
      <c r="C39" s="1067" t="s">
        <v>295</v>
      </c>
      <c r="D39" s="1067">
        <v>1</v>
      </c>
      <c r="E39" s="1067">
        <v>10</v>
      </c>
      <c r="F39" s="1067">
        <v>3</v>
      </c>
      <c r="G39" s="1067">
        <v>14</v>
      </c>
    </row>
    <row r="40" spans="1:7" x14ac:dyDescent="0.25">
      <c r="A40" s="1067" t="s">
        <v>203</v>
      </c>
      <c r="B40" s="1067" t="s">
        <v>53</v>
      </c>
      <c r="C40" s="1067" t="s">
        <v>305</v>
      </c>
      <c r="D40" s="1067">
        <v>3</v>
      </c>
      <c r="E40" s="1067"/>
      <c r="F40" s="1067"/>
      <c r="G40" s="1067">
        <v>3</v>
      </c>
    </row>
    <row r="41" spans="1:7" x14ac:dyDescent="0.25">
      <c r="A41" s="1067" t="s">
        <v>203</v>
      </c>
      <c r="B41" s="1067" t="s">
        <v>54</v>
      </c>
      <c r="C41" s="1067" t="s">
        <v>296</v>
      </c>
      <c r="D41" s="1067">
        <v>2</v>
      </c>
      <c r="E41" s="1067">
        <v>11</v>
      </c>
      <c r="F41" s="1067"/>
      <c r="G41" s="1067">
        <v>13</v>
      </c>
    </row>
    <row r="42" spans="1:7" x14ac:dyDescent="0.25">
      <c r="A42" s="1067" t="s">
        <v>203</v>
      </c>
      <c r="B42" s="1067" t="s">
        <v>55</v>
      </c>
      <c r="C42" s="1067" t="s">
        <v>297</v>
      </c>
      <c r="D42" s="1067"/>
      <c r="E42" s="1067">
        <v>14</v>
      </c>
      <c r="F42" s="1067"/>
      <c r="G42" s="1067">
        <v>14</v>
      </c>
    </row>
    <row r="43" spans="1:7" x14ac:dyDescent="0.25">
      <c r="A43" s="1067" t="s">
        <v>203</v>
      </c>
      <c r="B43" s="1067" t="s">
        <v>56</v>
      </c>
      <c r="C43" s="1067" t="s">
        <v>298</v>
      </c>
      <c r="D43" s="1067">
        <v>1</v>
      </c>
      <c r="E43" s="1067">
        <v>4</v>
      </c>
      <c r="F43" s="1067"/>
      <c r="G43" s="1067">
        <v>5</v>
      </c>
    </row>
    <row r="44" spans="1:7" x14ac:dyDescent="0.25">
      <c r="A44" s="1067" t="s">
        <v>203</v>
      </c>
      <c r="B44" s="1067" t="s">
        <v>57</v>
      </c>
      <c r="C44" s="1067" t="s">
        <v>299</v>
      </c>
      <c r="D44" s="1067">
        <v>4</v>
      </c>
      <c r="E44" s="1067">
        <v>7</v>
      </c>
      <c r="F44" s="1067">
        <v>1</v>
      </c>
      <c r="G44" s="1067">
        <v>12</v>
      </c>
    </row>
    <row r="45" spans="1:7" x14ac:dyDescent="0.25">
      <c r="A45" s="1067" t="s">
        <v>203</v>
      </c>
      <c r="B45" s="1067" t="s">
        <v>58</v>
      </c>
      <c r="C45" s="1067" t="s">
        <v>300</v>
      </c>
      <c r="D45" s="1067">
        <v>1</v>
      </c>
      <c r="E45" s="1067">
        <v>9</v>
      </c>
      <c r="F45" s="1067"/>
      <c r="G45" s="1067">
        <v>10</v>
      </c>
    </row>
    <row r="46" spans="1:7" x14ac:dyDescent="0.25">
      <c r="A46" s="1067" t="s">
        <v>203</v>
      </c>
      <c r="B46" s="1067" t="s">
        <v>59</v>
      </c>
      <c r="C46" s="1067" t="s">
        <v>306</v>
      </c>
      <c r="D46" s="1067">
        <v>2</v>
      </c>
      <c r="E46" s="1067">
        <v>1</v>
      </c>
      <c r="F46" s="1067"/>
      <c r="G46" s="1067">
        <v>3</v>
      </c>
    </row>
    <row r="47" spans="1:7" x14ac:dyDescent="0.25">
      <c r="A47" s="1067" t="s">
        <v>203</v>
      </c>
      <c r="B47" s="1067" t="s">
        <v>60</v>
      </c>
      <c r="C47" s="1067" t="s">
        <v>307</v>
      </c>
      <c r="D47" s="1067">
        <v>2</v>
      </c>
      <c r="E47" s="1067">
        <v>4</v>
      </c>
      <c r="F47" s="1067"/>
      <c r="G47" s="1067">
        <v>6</v>
      </c>
    </row>
    <row r="48" spans="1:7" x14ac:dyDescent="0.25">
      <c r="A48" s="1067" t="s">
        <v>202</v>
      </c>
      <c r="B48" s="1067" t="s">
        <v>31</v>
      </c>
      <c r="C48" s="1067" t="s">
        <v>301</v>
      </c>
      <c r="D48" s="1067">
        <v>3</v>
      </c>
      <c r="E48" s="1067">
        <v>1</v>
      </c>
      <c r="F48" s="1067"/>
      <c r="G48" s="1067">
        <v>4</v>
      </c>
    </row>
    <row r="49" spans="1:7" x14ac:dyDescent="0.25">
      <c r="A49" s="1067" t="s">
        <v>202</v>
      </c>
      <c r="B49" s="1067" t="s">
        <v>32</v>
      </c>
      <c r="C49" s="1067" t="s">
        <v>302</v>
      </c>
      <c r="D49" s="1067">
        <v>1</v>
      </c>
      <c r="E49" s="1067">
        <v>23</v>
      </c>
      <c r="F49" s="1067"/>
      <c r="G49" s="1067">
        <v>24</v>
      </c>
    </row>
    <row r="50" spans="1:7" x14ac:dyDescent="0.25">
      <c r="A50" s="1067" t="s">
        <v>202</v>
      </c>
      <c r="B50" s="1067" t="s">
        <v>33</v>
      </c>
      <c r="C50" s="1067" t="s">
        <v>308</v>
      </c>
      <c r="D50" s="1067">
        <v>1</v>
      </c>
      <c r="E50" s="1067">
        <v>5</v>
      </c>
      <c r="F50" s="1067"/>
      <c r="G50" s="1067">
        <v>6</v>
      </c>
    </row>
    <row r="51" spans="1:7" x14ac:dyDescent="0.25">
      <c r="A51" s="1067" t="s">
        <v>202</v>
      </c>
      <c r="B51" s="1067" t="s">
        <v>34</v>
      </c>
      <c r="C51" s="1067" t="s">
        <v>303</v>
      </c>
      <c r="D51" s="1067">
        <v>2</v>
      </c>
      <c r="E51" s="1067">
        <v>12</v>
      </c>
      <c r="F51" s="1067">
        <v>25</v>
      </c>
      <c r="G51" s="1067">
        <v>39</v>
      </c>
    </row>
    <row r="52" spans="1:7" x14ac:dyDescent="0.25">
      <c r="A52" s="1067" t="s">
        <v>202</v>
      </c>
      <c r="B52" s="1067" t="s">
        <v>258</v>
      </c>
      <c r="C52" s="1067" t="s">
        <v>304</v>
      </c>
      <c r="D52" s="1067">
        <v>7</v>
      </c>
      <c r="E52" s="1067">
        <v>1</v>
      </c>
      <c r="F52" s="1067"/>
      <c r="G52" s="1067">
        <v>8</v>
      </c>
    </row>
    <row r="53" spans="1:7" x14ac:dyDescent="0.25">
      <c r="A53" s="1067" t="s">
        <v>202</v>
      </c>
      <c r="B53" s="1067" t="s">
        <v>35</v>
      </c>
      <c r="C53" s="1067" t="s">
        <v>282</v>
      </c>
      <c r="D53" s="1067">
        <v>1</v>
      </c>
      <c r="E53" s="1067">
        <v>1</v>
      </c>
      <c r="F53" s="1067"/>
      <c r="G53" s="1067">
        <v>2</v>
      </c>
    </row>
    <row r="54" spans="1:7" x14ac:dyDescent="0.25">
      <c r="A54" s="1067" t="s">
        <v>202</v>
      </c>
      <c r="B54" s="1067" t="s">
        <v>36</v>
      </c>
      <c r="C54" s="1067" t="s">
        <v>283</v>
      </c>
      <c r="D54" s="1067">
        <v>1</v>
      </c>
      <c r="E54" s="1067">
        <v>15</v>
      </c>
      <c r="F54" s="1067">
        <v>1</v>
      </c>
      <c r="G54" s="1067">
        <v>17</v>
      </c>
    </row>
    <row r="55" spans="1:7" x14ac:dyDescent="0.25">
      <c r="A55" s="1067" t="s">
        <v>202</v>
      </c>
      <c r="B55" s="1067" t="s">
        <v>37</v>
      </c>
      <c r="C55" s="1067" t="s">
        <v>309</v>
      </c>
      <c r="D55" s="1067">
        <v>4</v>
      </c>
      <c r="E55" s="1067"/>
      <c r="F55" s="1067"/>
      <c r="G55" s="1067">
        <v>4</v>
      </c>
    </row>
    <row r="56" spans="1:7" x14ac:dyDescent="0.25">
      <c r="A56" s="1067" t="s">
        <v>202</v>
      </c>
      <c r="B56" s="1067" t="s">
        <v>38</v>
      </c>
      <c r="C56" s="1067" t="s">
        <v>284</v>
      </c>
      <c r="D56" s="1067">
        <v>1</v>
      </c>
      <c r="E56" s="1067">
        <v>7</v>
      </c>
      <c r="F56" s="1067"/>
      <c r="G56" s="1067">
        <v>8</v>
      </c>
    </row>
    <row r="57" spans="1:7" x14ac:dyDescent="0.25">
      <c r="A57" s="1067" t="s">
        <v>202</v>
      </c>
      <c r="B57" s="1067" t="s">
        <v>39</v>
      </c>
      <c r="C57" s="1067" t="s">
        <v>311</v>
      </c>
      <c r="D57" s="1067">
        <v>3</v>
      </c>
      <c r="E57" s="1067"/>
      <c r="F57" s="1067"/>
      <c r="G57" s="1067">
        <v>3</v>
      </c>
    </row>
    <row r="58" spans="1:7" x14ac:dyDescent="0.25">
      <c r="A58" s="1067" t="s">
        <v>202</v>
      </c>
      <c r="B58" s="1067" t="s">
        <v>40</v>
      </c>
      <c r="C58" s="1067" t="s">
        <v>285</v>
      </c>
      <c r="D58" s="1067">
        <v>1</v>
      </c>
      <c r="E58" s="1067">
        <v>5</v>
      </c>
      <c r="F58" s="1067"/>
      <c r="G58" s="1067">
        <v>6</v>
      </c>
    </row>
    <row r="59" spans="1:7" x14ac:dyDescent="0.25">
      <c r="A59" s="1067" t="s">
        <v>202</v>
      </c>
      <c r="B59" s="1067" t="s">
        <v>41</v>
      </c>
      <c r="C59" s="1067" t="s">
        <v>286</v>
      </c>
      <c r="D59" s="1067">
        <v>2</v>
      </c>
      <c r="E59" s="1067"/>
      <c r="F59" s="1067"/>
      <c r="G59" s="1067">
        <v>2</v>
      </c>
    </row>
    <row r="60" spans="1:7" x14ac:dyDescent="0.25">
      <c r="A60" s="1067" t="s">
        <v>202</v>
      </c>
      <c r="B60" s="1067" t="s">
        <v>42</v>
      </c>
      <c r="C60" s="1067" t="s">
        <v>288</v>
      </c>
      <c r="D60" s="1067">
        <v>3</v>
      </c>
      <c r="E60" s="1067">
        <v>2</v>
      </c>
      <c r="F60" s="1067"/>
      <c r="G60" s="1067">
        <v>5</v>
      </c>
    </row>
    <row r="61" spans="1:7" x14ac:dyDescent="0.25">
      <c r="A61" s="1067" t="s">
        <v>202</v>
      </c>
      <c r="B61" s="1067" t="s">
        <v>43</v>
      </c>
      <c r="C61" s="1067" t="s">
        <v>313</v>
      </c>
      <c r="D61" s="1067">
        <v>5</v>
      </c>
      <c r="E61" s="1067">
        <v>8</v>
      </c>
      <c r="F61" s="1067"/>
      <c r="G61" s="1067">
        <v>13</v>
      </c>
    </row>
    <row r="62" spans="1:7" x14ac:dyDescent="0.25">
      <c r="A62" s="1067" t="s">
        <v>202</v>
      </c>
      <c r="B62" s="1067" t="s">
        <v>121</v>
      </c>
      <c r="C62" s="1067" t="s">
        <v>312</v>
      </c>
      <c r="D62" s="1067">
        <v>11</v>
      </c>
      <c r="E62" s="1067"/>
      <c r="F62" s="1067"/>
      <c r="G62" s="1067">
        <v>11</v>
      </c>
    </row>
    <row r="63" spans="1:7" x14ac:dyDescent="0.25">
      <c r="A63" s="1067" t="s">
        <v>202</v>
      </c>
      <c r="B63" s="1067" t="s">
        <v>44</v>
      </c>
      <c r="C63" s="1067" t="s">
        <v>289</v>
      </c>
      <c r="D63" s="1067">
        <v>1</v>
      </c>
      <c r="E63" s="1067">
        <v>51</v>
      </c>
      <c r="F63" s="1067">
        <v>9</v>
      </c>
      <c r="G63" s="1067">
        <v>61</v>
      </c>
    </row>
    <row r="64" spans="1:7" x14ac:dyDescent="0.25">
      <c r="A64" s="1067" t="s">
        <v>202</v>
      </c>
      <c r="B64" s="1067" t="s">
        <v>45</v>
      </c>
      <c r="C64" s="1067" t="s">
        <v>290</v>
      </c>
      <c r="D64" s="1067">
        <v>2</v>
      </c>
      <c r="E64" s="1067">
        <v>1</v>
      </c>
      <c r="F64" s="1067"/>
      <c r="G64" s="1067">
        <v>3</v>
      </c>
    </row>
    <row r="65" spans="1:7" x14ac:dyDescent="0.25">
      <c r="A65" s="1067" t="s">
        <v>202</v>
      </c>
      <c r="B65" s="1067" t="s">
        <v>46</v>
      </c>
      <c r="C65" s="1067" t="s">
        <v>291</v>
      </c>
      <c r="D65" s="1067">
        <v>1</v>
      </c>
      <c r="E65" s="1067">
        <v>1</v>
      </c>
      <c r="F65" s="1067"/>
      <c r="G65" s="1067">
        <v>2</v>
      </c>
    </row>
    <row r="66" spans="1:7" x14ac:dyDescent="0.25">
      <c r="A66" s="1067" t="s">
        <v>202</v>
      </c>
      <c r="B66" s="1067" t="s">
        <v>47</v>
      </c>
      <c r="C66" s="1067" t="s">
        <v>292</v>
      </c>
      <c r="D66" s="1067">
        <v>1</v>
      </c>
      <c r="E66" s="1067">
        <v>10</v>
      </c>
      <c r="F66" s="1067">
        <v>1</v>
      </c>
      <c r="G66" s="1067">
        <v>12</v>
      </c>
    </row>
    <row r="67" spans="1:7" x14ac:dyDescent="0.25">
      <c r="A67" s="1067" t="s">
        <v>202</v>
      </c>
      <c r="B67" s="1067" t="s">
        <v>48</v>
      </c>
      <c r="C67" s="1067" t="s">
        <v>287</v>
      </c>
      <c r="D67" s="1067"/>
      <c r="E67" s="1067">
        <v>14</v>
      </c>
      <c r="F67" s="1067"/>
      <c r="G67" s="1067">
        <v>14</v>
      </c>
    </row>
    <row r="68" spans="1:7" x14ac:dyDescent="0.25">
      <c r="A68" s="1067" t="s">
        <v>202</v>
      </c>
      <c r="B68" s="1067" t="s">
        <v>49</v>
      </c>
      <c r="C68" s="1067" t="s">
        <v>293</v>
      </c>
      <c r="D68" s="1067">
        <v>3</v>
      </c>
      <c r="E68" s="1067">
        <v>8</v>
      </c>
      <c r="F68" s="1067">
        <v>3</v>
      </c>
      <c r="G68" s="1067">
        <v>14</v>
      </c>
    </row>
    <row r="69" spans="1:7" x14ac:dyDescent="0.25">
      <c r="A69" s="1067" t="s">
        <v>202</v>
      </c>
      <c r="B69" s="1067" t="s">
        <v>50</v>
      </c>
      <c r="C69" s="1067" t="s">
        <v>310</v>
      </c>
      <c r="D69" s="1067">
        <v>4</v>
      </c>
      <c r="E69" s="1067">
        <v>3</v>
      </c>
      <c r="F69" s="1067"/>
      <c r="G69" s="1067">
        <v>7</v>
      </c>
    </row>
    <row r="70" spans="1:7" x14ac:dyDescent="0.25">
      <c r="A70" s="1067" t="s">
        <v>202</v>
      </c>
      <c r="B70" s="1067" t="s">
        <v>51</v>
      </c>
      <c r="C70" s="1067" t="s">
        <v>294</v>
      </c>
      <c r="D70" s="1067"/>
      <c r="E70" s="1067">
        <v>12</v>
      </c>
      <c r="F70" s="1067"/>
      <c r="G70" s="1067">
        <v>12</v>
      </c>
    </row>
    <row r="71" spans="1:7" x14ac:dyDescent="0.25">
      <c r="A71" s="1067" t="s">
        <v>202</v>
      </c>
      <c r="B71" s="1067" t="s">
        <v>52</v>
      </c>
      <c r="C71" s="1067" t="s">
        <v>295</v>
      </c>
      <c r="D71" s="1067">
        <v>1</v>
      </c>
      <c r="E71" s="1067">
        <v>10</v>
      </c>
      <c r="F71" s="1067">
        <v>3</v>
      </c>
      <c r="G71" s="1067">
        <v>14</v>
      </c>
    </row>
    <row r="72" spans="1:7" x14ac:dyDescent="0.25">
      <c r="A72" s="1067" t="s">
        <v>202</v>
      </c>
      <c r="B72" s="1067" t="s">
        <v>53</v>
      </c>
      <c r="C72" s="1067" t="s">
        <v>305</v>
      </c>
      <c r="D72" s="1067">
        <v>3</v>
      </c>
      <c r="E72" s="1067"/>
      <c r="F72" s="1067"/>
      <c r="G72" s="1067">
        <v>3</v>
      </c>
    </row>
    <row r="73" spans="1:7" x14ac:dyDescent="0.25">
      <c r="A73" s="1067" t="s">
        <v>202</v>
      </c>
      <c r="B73" s="1067" t="s">
        <v>54</v>
      </c>
      <c r="C73" s="1067" t="s">
        <v>296</v>
      </c>
      <c r="D73" s="1067">
        <v>2</v>
      </c>
      <c r="E73" s="1067">
        <v>11</v>
      </c>
      <c r="F73" s="1067"/>
      <c r="G73" s="1067">
        <v>13</v>
      </c>
    </row>
    <row r="74" spans="1:7" x14ac:dyDescent="0.25">
      <c r="A74" s="1067" t="s">
        <v>202</v>
      </c>
      <c r="B74" s="1067" t="s">
        <v>55</v>
      </c>
      <c r="C74" s="1067" t="s">
        <v>297</v>
      </c>
      <c r="D74" s="1067"/>
      <c r="E74" s="1067">
        <v>14</v>
      </c>
      <c r="F74" s="1067"/>
      <c r="G74" s="1067">
        <v>14</v>
      </c>
    </row>
    <row r="75" spans="1:7" x14ac:dyDescent="0.25">
      <c r="A75" s="1067" t="s">
        <v>202</v>
      </c>
      <c r="B75" s="1067" t="s">
        <v>56</v>
      </c>
      <c r="C75" s="1067" t="s">
        <v>298</v>
      </c>
      <c r="D75" s="1067">
        <v>1</v>
      </c>
      <c r="E75" s="1067">
        <v>4</v>
      </c>
      <c r="F75" s="1067"/>
      <c r="G75" s="1067">
        <v>5</v>
      </c>
    </row>
    <row r="76" spans="1:7" x14ac:dyDescent="0.25">
      <c r="A76" s="1067" t="s">
        <v>202</v>
      </c>
      <c r="B76" s="1067" t="s">
        <v>57</v>
      </c>
      <c r="C76" s="1067" t="s">
        <v>299</v>
      </c>
      <c r="D76" s="1067">
        <v>4</v>
      </c>
      <c r="E76" s="1067">
        <v>7</v>
      </c>
      <c r="F76" s="1067">
        <v>1</v>
      </c>
      <c r="G76" s="1067">
        <v>12</v>
      </c>
    </row>
    <row r="77" spans="1:7" x14ac:dyDescent="0.25">
      <c r="A77" s="1067" t="s">
        <v>202</v>
      </c>
      <c r="B77" s="1067" t="s">
        <v>58</v>
      </c>
      <c r="C77" s="1067" t="s">
        <v>300</v>
      </c>
      <c r="D77" s="1067">
        <v>1</v>
      </c>
      <c r="E77" s="1067">
        <v>9</v>
      </c>
      <c r="F77" s="1067"/>
      <c r="G77" s="1067">
        <v>10</v>
      </c>
    </row>
    <row r="78" spans="1:7" x14ac:dyDescent="0.25">
      <c r="A78" s="1067" t="s">
        <v>202</v>
      </c>
      <c r="B78" s="1067" t="s">
        <v>59</v>
      </c>
      <c r="C78" s="1067" t="s">
        <v>306</v>
      </c>
      <c r="D78" s="1067">
        <v>2</v>
      </c>
      <c r="E78" s="1067">
        <v>1</v>
      </c>
      <c r="F78" s="1067"/>
      <c r="G78" s="1067">
        <v>3</v>
      </c>
    </row>
    <row r="79" spans="1:7" x14ac:dyDescent="0.25">
      <c r="A79" s="1067" t="s">
        <v>202</v>
      </c>
      <c r="B79" s="1067" t="s">
        <v>60</v>
      </c>
      <c r="C79" s="1067" t="s">
        <v>307</v>
      </c>
      <c r="D79" s="1067">
        <v>2</v>
      </c>
      <c r="E79" s="1067">
        <v>4</v>
      </c>
      <c r="F79" s="1067"/>
      <c r="G79" s="1067">
        <v>6</v>
      </c>
    </row>
    <row r="80" spans="1:7" x14ac:dyDescent="0.25">
      <c r="A80" s="1067" t="s">
        <v>273</v>
      </c>
      <c r="B80" s="1067" t="s">
        <v>31</v>
      </c>
      <c r="C80" s="1067" t="s">
        <v>301</v>
      </c>
      <c r="D80" s="1067">
        <v>3</v>
      </c>
      <c r="E80" s="1067">
        <v>1</v>
      </c>
      <c r="F80" s="1067"/>
      <c r="G80" s="1067">
        <v>4</v>
      </c>
    </row>
    <row r="81" spans="1:7" x14ac:dyDescent="0.25">
      <c r="A81" s="1067" t="s">
        <v>273</v>
      </c>
      <c r="B81" s="1067" t="s">
        <v>32</v>
      </c>
      <c r="C81" s="1067" t="s">
        <v>302</v>
      </c>
      <c r="D81" s="1067">
        <v>1</v>
      </c>
      <c r="E81" s="1067">
        <v>23</v>
      </c>
      <c r="F81" s="1067"/>
      <c r="G81" s="1067">
        <v>24</v>
      </c>
    </row>
    <row r="82" spans="1:7" x14ac:dyDescent="0.25">
      <c r="A82" s="1067" t="s">
        <v>273</v>
      </c>
      <c r="B82" s="1067" t="s">
        <v>33</v>
      </c>
      <c r="C82" s="1067" t="s">
        <v>308</v>
      </c>
      <c r="D82" s="1067">
        <v>1</v>
      </c>
      <c r="E82" s="1067">
        <v>5</v>
      </c>
      <c r="F82" s="1067"/>
      <c r="G82" s="1067">
        <v>6</v>
      </c>
    </row>
    <row r="83" spans="1:7" x14ac:dyDescent="0.25">
      <c r="A83" s="1067" t="s">
        <v>273</v>
      </c>
      <c r="B83" s="1067" t="s">
        <v>34</v>
      </c>
      <c r="C83" s="1067" t="s">
        <v>303</v>
      </c>
      <c r="D83" s="1067">
        <v>2</v>
      </c>
      <c r="E83" s="1067">
        <v>12</v>
      </c>
      <c r="F83" s="1067">
        <v>25</v>
      </c>
      <c r="G83" s="1067">
        <v>39</v>
      </c>
    </row>
    <row r="84" spans="1:7" x14ac:dyDescent="0.25">
      <c r="A84" s="1067" t="s">
        <v>273</v>
      </c>
      <c r="B84" s="1067" t="s">
        <v>258</v>
      </c>
      <c r="C84" s="1067" t="s">
        <v>304</v>
      </c>
      <c r="D84" s="1067">
        <v>7</v>
      </c>
      <c r="E84" s="1067">
        <v>1</v>
      </c>
      <c r="F84" s="1067"/>
      <c r="G84" s="1067">
        <v>8</v>
      </c>
    </row>
    <row r="85" spans="1:7" x14ac:dyDescent="0.25">
      <c r="A85" s="1067" t="s">
        <v>273</v>
      </c>
      <c r="B85" s="1067" t="s">
        <v>35</v>
      </c>
      <c r="C85" s="1067" t="s">
        <v>282</v>
      </c>
      <c r="D85" s="1067">
        <v>1</v>
      </c>
      <c r="E85" s="1067">
        <v>1</v>
      </c>
      <c r="F85" s="1067"/>
      <c r="G85" s="1067">
        <v>2</v>
      </c>
    </row>
    <row r="86" spans="1:7" x14ac:dyDescent="0.25">
      <c r="A86" s="1067" t="s">
        <v>273</v>
      </c>
      <c r="B86" s="1067" t="s">
        <v>36</v>
      </c>
      <c r="C86" s="1067" t="s">
        <v>283</v>
      </c>
      <c r="D86" s="1067">
        <v>1</v>
      </c>
      <c r="E86" s="1067">
        <v>15</v>
      </c>
      <c r="F86" s="1067">
        <v>1</v>
      </c>
      <c r="G86" s="1067">
        <v>17</v>
      </c>
    </row>
    <row r="87" spans="1:7" x14ac:dyDescent="0.25">
      <c r="A87" s="1067" t="s">
        <v>273</v>
      </c>
      <c r="B87" s="1067" t="s">
        <v>37</v>
      </c>
      <c r="C87" s="1067" t="s">
        <v>309</v>
      </c>
      <c r="D87" s="1067">
        <v>4</v>
      </c>
      <c r="E87" s="1067"/>
      <c r="F87" s="1067"/>
      <c r="G87" s="1067">
        <v>4</v>
      </c>
    </row>
    <row r="88" spans="1:7" x14ac:dyDescent="0.25">
      <c r="A88" s="1067" t="s">
        <v>273</v>
      </c>
      <c r="B88" s="1067" t="s">
        <v>38</v>
      </c>
      <c r="C88" s="1067" t="s">
        <v>284</v>
      </c>
      <c r="D88" s="1067">
        <v>1</v>
      </c>
      <c r="E88" s="1067">
        <v>7</v>
      </c>
      <c r="F88" s="1067"/>
      <c r="G88" s="1067">
        <v>8</v>
      </c>
    </row>
    <row r="89" spans="1:7" x14ac:dyDescent="0.25">
      <c r="A89" s="1067" t="s">
        <v>273</v>
      </c>
      <c r="B89" s="1067" t="s">
        <v>39</v>
      </c>
      <c r="C89" s="1067" t="s">
        <v>311</v>
      </c>
      <c r="D89" s="1067">
        <v>3</v>
      </c>
      <c r="E89" s="1067"/>
      <c r="F89" s="1067"/>
      <c r="G89" s="1067">
        <v>3</v>
      </c>
    </row>
    <row r="90" spans="1:7" x14ac:dyDescent="0.25">
      <c r="A90" s="1067" t="s">
        <v>273</v>
      </c>
      <c r="B90" s="1067" t="s">
        <v>40</v>
      </c>
      <c r="C90" s="1067" t="s">
        <v>285</v>
      </c>
      <c r="D90" s="1067">
        <v>1</v>
      </c>
      <c r="E90" s="1067">
        <v>5</v>
      </c>
      <c r="F90" s="1067"/>
      <c r="G90" s="1067">
        <v>6</v>
      </c>
    </row>
    <row r="91" spans="1:7" x14ac:dyDescent="0.25">
      <c r="A91" s="1067" t="s">
        <v>273</v>
      </c>
      <c r="B91" s="1067" t="s">
        <v>41</v>
      </c>
      <c r="C91" s="1067" t="s">
        <v>286</v>
      </c>
      <c r="D91" s="1067">
        <v>2</v>
      </c>
      <c r="E91" s="1067"/>
      <c r="F91" s="1067"/>
      <c r="G91" s="1067">
        <v>2</v>
      </c>
    </row>
    <row r="92" spans="1:7" x14ac:dyDescent="0.25">
      <c r="A92" s="1067" t="s">
        <v>273</v>
      </c>
      <c r="B92" s="1067" t="s">
        <v>42</v>
      </c>
      <c r="C92" s="1067" t="s">
        <v>288</v>
      </c>
      <c r="D92" s="1067">
        <v>3</v>
      </c>
      <c r="E92" s="1067">
        <v>2</v>
      </c>
      <c r="F92" s="1067"/>
      <c r="G92" s="1067">
        <v>5</v>
      </c>
    </row>
    <row r="93" spans="1:7" x14ac:dyDescent="0.25">
      <c r="A93" s="1067" t="s">
        <v>273</v>
      </c>
      <c r="B93" s="1067" t="s">
        <v>43</v>
      </c>
      <c r="C93" s="1067" t="s">
        <v>313</v>
      </c>
      <c r="D93" s="1067">
        <v>5</v>
      </c>
      <c r="E93" s="1067">
        <v>8</v>
      </c>
      <c r="F93" s="1067"/>
      <c r="G93" s="1067">
        <v>13</v>
      </c>
    </row>
    <row r="94" spans="1:7" x14ac:dyDescent="0.25">
      <c r="A94" s="1067" t="s">
        <v>273</v>
      </c>
      <c r="B94" s="1067" t="s">
        <v>121</v>
      </c>
      <c r="C94" s="1067" t="s">
        <v>312</v>
      </c>
      <c r="D94" s="1067">
        <v>11</v>
      </c>
      <c r="E94" s="1067"/>
      <c r="F94" s="1067"/>
      <c r="G94" s="1067">
        <v>11</v>
      </c>
    </row>
    <row r="95" spans="1:7" x14ac:dyDescent="0.25">
      <c r="A95" s="1067" t="s">
        <v>273</v>
      </c>
      <c r="B95" s="1067" t="s">
        <v>44</v>
      </c>
      <c r="C95" s="1067" t="s">
        <v>289</v>
      </c>
      <c r="D95" s="1067">
        <v>1</v>
      </c>
      <c r="E95" s="1067">
        <v>51</v>
      </c>
      <c r="F95" s="1067">
        <v>9</v>
      </c>
      <c r="G95" s="1067">
        <v>61</v>
      </c>
    </row>
    <row r="96" spans="1:7" x14ac:dyDescent="0.25">
      <c r="A96" s="1067" t="s">
        <v>273</v>
      </c>
      <c r="B96" s="1067" t="s">
        <v>45</v>
      </c>
      <c r="C96" s="1067" t="s">
        <v>290</v>
      </c>
      <c r="D96" s="1067">
        <v>2</v>
      </c>
      <c r="E96" s="1067">
        <v>1</v>
      </c>
      <c r="F96" s="1067"/>
      <c r="G96" s="1067">
        <v>3</v>
      </c>
    </row>
    <row r="97" spans="1:7" x14ac:dyDescent="0.25">
      <c r="A97" s="1067" t="s">
        <v>273</v>
      </c>
      <c r="B97" s="1067" t="s">
        <v>46</v>
      </c>
      <c r="C97" s="1067" t="s">
        <v>291</v>
      </c>
      <c r="D97" s="1067">
        <v>1</v>
      </c>
      <c r="E97" s="1067">
        <v>1</v>
      </c>
      <c r="F97" s="1067"/>
      <c r="G97" s="1067">
        <v>2</v>
      </c>
    </row>
    <row r="98" spans="1:7" x14ac:dyDescent="0.25">
      <c r="A98" s="1067" t="s">
        <v>273</v>
      </c>
      <c r="B98" s="1067" t="s">
        <v>47</v>
      </c>
      <c r="C98" s="1067" t="s">
        <v>292</v>
      </c>
      <c r="D98" s="1067">
        <v>1</v>
      </c>
      <c r="E98" s="1067">
        <v>10</v>
      </c>
      <c r="F98" s="1067">
        <v>1</v>
      </c>
      <c r="G98" s="1067">
        <v>12</v>
      </c>
    </row>
    <row r="99" spans="1:7" x14ac:dyDescent="0.25">
      <c r="A99" s="1067" t="s">
        <v>273</v>
      </c>
      <c r="B99" s="1067" t="s">
        <v>48</v>
      </c>
      <c r="C99" s="1067" t="s">
        <v>287</v>
      </c>
      <c r="D99" s="1067"/>
      <c r="E99" s="1067">
        <v>14</v>
      </c>
      <c r="F99" s="1067"/>
      <c r="G99" s="1067">
        <v>14</v>
      </c>
    </row>
    <row r="100" spans="1:7" x14ac:dyDescent="0.25">
      <c r="A100" s="1067" t="s">
        <v>273</v>
      </c>
      <c r="B100" s="1067" t="s">
        <v>49</v>
      </c>
      <c r="C100" s="1067" t="s">
        <v>293</v>
      </c>
      <c r="D100" s="1067">
        <v>3</v>
      </c>
      <c r="E100" s="1067">
        <v>8</v>
      </c>
      <c r="F100" s="1067">
        <v>3</v>
      </c>
      <c r="G100" s="1067">
        <v>14</v>
      </c>
    </row>
    <row r="101" spans="1:7" x14ac:dyDescent="0.25">
      <c r="A101" s="1067" t="s">
        <v>273</v>
      </c>
      <c r="B101" s="1067" t="s">
        <v>50</v>
      </c>
      <c r="C101" s="1067" t="s">
        <v>310</v>
      </c>
      <c r="D101" s="1067">
        <v>4</v>
      </c>
      <c r="E101" s="1067">
        <v>3</v>
      </c>
      <c r="F101" s="1067"/>
      <c r="G101" s="1067">
        <v>7</v>
      </c>
    </row>
    <row r="102" spans="1:7" x14ac:dyDescent="0.25">
      <c r="A102" s="1067" t="s">
        <v>273</v>
      </c>
      <c r="B102" s="1067" t="s">
        <v>51</v>
      </c>
      <c r="C102" s="1067" t="s">
        <v>294</v>
      </c>
      <c r="D102" s="1067"/>
      <c r="E102" s="1067">
        <v>12</v>
      </c>
      <c r="F102" s="1067"/>
      <c r="G102" s="1067">
        <v>12</v>
      </c>
    </row>
    <row r="103" spans="1:7" x14ac:dyDescent="0.25">
      <c r="A103" s="1067" t="s">
        <v>273</v>
      </c>
      <c r="B103" s="1067" t="s">
        <v>52</v>
      </c>
      <c r="C103" s="1067" t="s">
        <v>295</v>
      </c>
      <c r="D103" s="1067">
        <v>1</v>
      </c>
      <c r="E103" s="1067">
        <v>10</v>
      </c>
      <c r="F103" s="1067">
        <v>3</v>
      </c>
      <c r="G103" s="1067">
        <v>14</v>
      </c>
    </row>
    <row r="104" spans="1:7" x14ac:dyDescent="0.25">
      <c r="A104" s="1067" t="s">
        <v>273</v>
      </c>
      <c r="B104" s="1067" t="s">
        <v>53</v>
      </c>
      <c r="C104" s="1067" t="s">
        <v>305</v>
      </c>
      <c r="D104" s="1067">
        <v>3</v>
      </c>
      <c r="E104" s="1067"/>
      <c r="F104" s="1067"/>
      <c r="G104" s="1067">
        <v>3</v>
      </c>
    </row>
    <row r="105" spans="1:7" x14ac:dyDescent="0.25">
      <c r="A105" s="1067" t="s">
        <v>273</v>
      </c>
      <c r="B105" s="1067" t="s">
        <v>54</v>
      </c>
      <c r="C105" s="1067" t="s">
        <v>296</v>
      </c>
      <c r="D105" s="1067">
        <v>2</v>
      </c>
      <c r="E105" s="1067">
        <v>11</v>
      </c>
      <c r="F105" s="1067"/>
      <c r="G105" s="1067">
        <v>13</v>
      </c>
    </row>
    <row r="106" spans="1:7" x14ac:dyDescent="0.25">
      <c r="A106" s="1067" t="s">
        <v>273</v>
      </c>
      <c r="B106" s="1067" t="s">
        <v>55</v>
      </c>
      <c r="C106" s="1067" t="s">
        <v>297</v>
      </c>
      <c r="D106" s="1067"/>
      <c r="E106" s="1067">
        <v>14</v>
      </c>
      <c r="F106" s="1067"/>
      <c r="G106" s="1067">
        <v>14</v>
      </c>
    </row>
    <row r="107" spans="1:7" x14ac:dyDescent="0.25">
      <c r="A107" s="1067" t="s">
        <v>273</v>
      </c>
      <c r="B107" s="1067" t="s">
        <v>56</v>
      </c>
      <c r="C107" s="1067" t="s">
        <v>298</v>
      </c>
      <c r="D107" s="1067">
        <v>1</v>
      </c>
      <c r="E107" s="1067">
        <v>4</v>
      </c>
      <c r="F107" s="1067"/>
      <c r="G107" s="1067">
        <v>5</v>
      </c>
    </row>
    <row r="108" spans="1:7" x14ac:dyDescent="0.25">
      <c r="A108" s="1067" t="s">
        <v>273</v>
      </c>
      <c r="B108" s="1067" t="s">
        <v>57</v>
      </c>
      <c r="C108" s="1067" t="s">
        <v>299</v>
      </c>
      <c r="D108" s="1067">
        <v>4</v>
      </c>
      <c r="E108" s="1067">
        <v>7</v>
      </c>
      <c r="F108" s="1067">
        <v>1</v>
      </c>
      <c r="G108" s="1067">
        <v>12</v>
      </c>
    </row>
    <row r="109" spans="1:7" x14ac:dyDescent="0.25">
      <c r="A109" s="1067" t="s">
        <v>273</v>
      </c>
      <c r="B109" s="1067" t="s">
        <v>58</v>
      </c>
      <c r="C109" s="1067" t="s">
        <v>300</v>
      </c>
      <c r="D109" s="1067">
        <v>1</v>
      </c>
      <c r="E109" s="1067">
        <v>9</v>
      </c>
      <c r="F109" s="1067"/>
      <c r="G109" s="1067">
        <v>10</v>
      </c>
    </row>
    <row r="110" spans="1:7" x14ac:dyDescent="0.25">
      <c r="A110" s="1067" t="s">
        <v>273</v>
      </c>
      <c r="B110" s="1067" t="s">
        <v>59</v>
      </c>
      <c r="C110" s="1067" t="s">
        <v>306</v>
      </c>
      <c r="D110" s="1067">
        <v>2</v>
      </c>
      <c r="E110" s="1067">
        <v>1</v>
      </c>
      <c r="F110" s="1067"/>
      <c r="G110" s="1067">
        <v>3</v>
      </c>
    </row>
    <row r="111" spans="1:7" x14ac:dyDescent="0.25">
      <c r="A111" s="1067" t="s">
        <v>273</v>
      </c>
      <c r="B111" s="1067" t="s">
        <v>60</v>
      </c>
      <c r="C111" s="1067" t="s">
        <v>307</v>
      </c>
      <c r="D111" s="1067">
        <v>2</v>
      </c>
      <c r="E111" s="1067">
        <v>4</v>
      </c>
      <c r="F111" s="1067"/>
      <c r="G111" s="1067">
        <v>6</v>
      </c>
    </row>
    <row r="112" spans="1:7" x14ac:dyDescent="0.25">
      <c r="A112" s="1067" t="s">
        <v>255</v>
      </c>
      <c r="B112" s="1067" t="s">
        <v>31</v>
      </c>
      <c r="C112" s="1067" t="s">
        <v>301</v>
      </c>
      <c r="D112" s="1067">
        <v>3</v>
      </c>
      <c r="E112" s="1067">
        <v>1</v>
      </c>
      <c r="F112" s="1067"/>
      <c r="G112" s="1067">
        <v>4</v>
      </c>
    </row>
    <row r="113" spans="1:7" x14ac:dyDescent="0.25">
      <c r="A113" s="1067" t="s">
        <v>255</v>
      </c>
      <c r="B113" s="1067" t="s">
        <v>32</v>
      </c>
      <c r="C113" s="1067" t="s">
        <v>302</v>
      </c>
      <c r="D113" s="1067">
        <v>1</v>
      </c>
      <c r="E113" s="1067">
        <v>23</v>
      </c>
      <c r="F113" s="1067"/>
      <c r="G113" s="1067">
        <v>24</v>
      </c>
    </row>
    <row r="114" spans="1:7" x14ac:dyDescent="0.25">
      <c r="A114" s="1067" t="s">
        <v>255</v>
      </c>
      <c r="B114" s="1067" t="s">
        <v>33</v>
      </c>
      <c r="C114" s="1067" t="s">
        <v>308</v>
      </c>
      <c r="D114" s="1067">
        <v>1</v>
      </c>
      <c r="E114" s="1067">
        <v>5</v>
      </c>
      <c r="F114" s="1067"/>
      <c r="G114" s="1067">
        <v>6</v>
      </c>
    </row>
    <row r="115" spans="1:7" x14ac:dyDescent="0.25">
      <c r="A115" s="1067" t="s">
        <v>255</v>
      </c>
      <c r="B115" s="1067" t="s">
        <v>34</v>
      </c>
      <c r="C115" s="1067" t="s">
        <v>303</v>
      </c>
      <c r="D115" s="1067">
        <v>2</v>
      </c>
      <c r="E115" s="1067">
        <v>12</v>
      </c>
      <c r="F115" s="1067">
        <v>25</v>
      </c>
      <c r="G115" s="1067">
        <v>39</v>
      </c>
    </row>
    <row r="116" spans="1:7" x14ac:dyDescent="0.25">
      <c r="A116" s="1067" t="s">
        <v>255</v>
      </c>
      <c r="B116" s="1067" t="s">
        <v>258</v>
      </c>
      <c r="C116" s="1067" t="s">
        <v>304</v>
      </c>
      <c r="D116" s="1067">
        <v>7</v>
      </c>
      <c r="E116" s="1067">
        <v>1</v>
      </c>
      <c r="F116" s="1067"/>
      <c r="G116" s="1067">
        <v>8</v>
      </c>
    </row>
    <row r="117" spans="1:7" x14ac:dyDescent="0.25">
      <c r="A117" s="1067" t="s">
        <v>255</v>
      </c>
      <c r="B117" s="1067" t="s">
        <v>35</v>
      </c>
      <c r="C117" s="1067" t="s">
        <v>282</v>
      </c>
      <c r="D117" s="1067">
        <v>1</v>
      </c>
      <c r="E117" s="1067">
        <v>1</v>
      </c>
      <c r="F117" s="1067"/>
      <c r="G117" s="1067">
        <v>2</v>
      </c>
    </row>
    <row r="118" spans="1:7" x14ac:dyDescent="0.25">
      <c r="A118" s="1067" t="s">
        <v>255</v>
      </c>
      <c r="B118" s="1067" t="s">
        <v>36</v>
      </c>
      <c r="C118" s="1067" t="s">
        <v>283</v>
      </c>
      <c r="D118" s="1067">
        <v>1</v>
      </c>
      <c r="E118" s="1067">
        <v>15</v>
      </c>
      <c r="F118" s="1067">
        <v>1</v>
      </c>
      <c r="G118" s="1067">
        <v>17</v>
      </c>
    </row>
    <row r="119" spans="1:7" x14ac:dyDescent="0.25">
      <c r="A119" s="1067" t="s">
        <v>255</v>
      </c>
      <c r="B119" s="1067" t="s">
        <v>37</v>
      </c>
      <c r="C119" s="1067" t="s">
        <v>309</v>
      </c>
      <c r="D119" s="1067">
        <v>4</v>
      </c>
      <c r="E119" s="1067"/>
      <c r="F119" s="1067"/>
      <c r="G119" s="1067">
        <v>4</v>
      </c>
    </row>
    <row r="120" spans="1:7" x14ac:dyDescent="0.25">
      <c r="A120" s="1067" t="s">
        <v>255</v>
      </c>
      <c r="B120" s="1067" t="s">
        <v>38</v>
      </c>
      <c r="C120" s="1067" t="s">
        <v>284</v>
      </c>
      <c r="D120" s="1067">
        <v>1</v>
      </c>
      <c r="E120" s="1067">
        <v>7</v>
      </c>
      <c r="F120" s="1067"/>
      <c r="G120" s="1067">
        <v>8</v>
      </c>
    </row>
    <row r="121" spans="1:7" x14ac:dyDescent="0.25">
      <c r="A121" s="1067" t="s">
        <v>255</v>
      </c>
      <c r="B121" s="1067" t="s">
        <v>39</v>
      </c>
      <c r="C121" s="1067" t="s">
        <v>311</v>
      </c>
      <c r="D121" s="1067">
        <v>3</v>
      </c>
      <c r="E121" s="1067"/>
      <c r="F121" s="1067"/>
      <c r="G121" s="1067">
        <v>3</v>
      </c>
    </row>
    <row r="122" spans="1:7" x14ac:dyDescent="0.25">
      <c r="A122" s="1067" t="s">
        <v>255</v>
      </c>
      <c r="B122" s="1067" t="s">
        <v>40</v>
      </c>
      <c r="C122" s="1067" t="s">
        <v>285</v>
      </c>
      <c r="D122" s="1067">
        <v>1</v>
      </c>
      <c r="E122" s="1067">
        <v>5</v>
      </c>
      <c r="F122" s="1067"/>
      <c r="G122" s="1067">
        <v>6</v>
      </c>
    </row>
    <row r="123" spans="1:7" x14ac:dyDescent="0.25">
      <c r="A123" s="1067" t="s">
        <v>255</v>
      </c>
      <c r="B123" s="1067" t="s">
        <v>41</v>
      </c>
      <c r="C123" s="1067" t="s">
        <v>286</v>
      </c>
      <c r="D123" s="1067">
        <v>2</v>
      </c>
      <c r="E123" s="1067"/>
      <c r="F123" s="1067"/>
      <c r="G123" s="1067">
        <v>2</v>
      </c>
    </row>
    <row r="124" spans="1:7" x14ac:dyDescent="0.25">
      <c r="A124" s="1067" t="s">
        <v>255</v>
      </c>
      <c r="B124" s="1067" t="s">
        <v>42</v>
      </c>
      <c r="C124" s="1067" t="s">
        <v>288</v>
      </c>
      <c r="D124" s="1067">
        <v>3</v>
      </c>
      <c r="E124" s="1067">
        <v>2</v>
      </c>
      <c r="F124" s="1067"/>
      <c r="G124" s="1067">
        <v>5</v>
      </c>
    </row>
    <row r="125" spans="1:7" x14ac:dyDescent="0.25">
      <c r="A125" s="1067" t="s">
        <v>255</v>
      </c>
      <c r="B125" s="1067" t="s">
        <v>43</v>
      </c>
      <c r="C125" s="1067" t="s">
        <v>313</v>
      </c>
      <c r="D125" s="1067">
        <v>5</v>
      </c>
      <c r="E125" s="1067">
        <v>8</v>
      </c>
      <c r="F125" s="1067"/>
      <c r="G125" s="1067">
        <v>13</v>
      </c>
    </row>
    <row r="126" spans="1:7" x14ac:dyDescent="0.25">
      <c r="A126" s="1067" t="s">
        <v>255</v>
      </c>
      <c r="B126" s="1067" t="s">
        <v>121</v>
      </c>
      <c r="C126" s="1067" t="s">
        <v>312</v>
      </c>
      <c r="D126" s="1067">
        <v>11</v>
      </c>
      <c r="E126" s="1067"/>
      <c r="F126" s="1067"/>
      <c r="G126" s="1067">
        <v>11</v>
      </c>
    </row>
    <row r="127" spans="1:7" x14ac:dyDescent="0.25">
      <c r="A127" s="1067" t="s">
        <v>255</v>
      </c>
      <c r="B127" s="1067" t="s">
        <v>44</v>
      </c>
      <c r="C127" s="1067" t="s">
        <v>289</v>
      </c>
      <c r="D127" s="1067">
        <v>1</v>
      </c>
      <c r="E127" s="1067">
        <v>51</v>
      </c>
      <c r="F127" s="1067">
        <v>9</v>
      </c>
      <c r="G127" s="1067">
        <v>61</v>
      </c>
    </row>
    <row r="128" spans="1:7" x14ac:dyDescent="0.25">
      <c r="A128" s="1067" t="s">
        <v>255</v>
      </c>
      <c r="B128" s="1067" t="s">
        <v>45</v>
      </c>
      <c r="C128" s="1067" t="s">
        <v>290</v>
      </c>
      <c r="D128" s="1067">
        <v>2</v>
      </c>
      <c r="E128" s="1067">
        <v>1</v>
      </c>
      <c r="F128" s="1067"/>
      <c r="G128" s="1067">
        <v>3</v>
      </c>
    </row>
    <row r="129" spans="1:7" x14ac:dyDescent="0.25">
      <c r="A129" s="1067" t="s">
        <v>255</v>
      </c>
      <c r="B129" s="1067" t="s">
        <v>46</v>
      </c>
      <c r="C129" s="1067" t="s">
        <v>291</v>
      </c>
      <c r="D129" s="1067">
        <v>1</v>
      </c>
      <c r="E129" s="1067">
        <v>1</v>
      </c>
      <c r="F129" s="1067"/>
      <c r="G129" s="1067">
        <v>2</v>
      </c>
    </row>
    <row r="130" spans="1:7" x14ac:dyDescent="0.25">
      <c r="A130" s="1067" t="s">
        <v>255</v>
      </c>
      <c r="B130" s="1067" t="s">
        <v>47</v>
      </c>
      <c r="C130" s="1067" t="s">
        <v>292</v>
      </c>
      <c r="D130" s="1067">
        <v>1</v>
      </c>
      <c r="E130" s="1067">
        <v>10</v>
      </c>
      <c r="F130" s="1067">
        <v>1</v>
      </c>
      <c r="G130" s="1067">
        <v>12</v>
      </c>
    </row>
    <row r="131" spans="1:7" x14ac:dyDescent="0.25">
      <c r="A131" s="1067" t="s">
        <v>255</v>
      </c>
      <c r="B131" s="1067" t="s">
        <v>48</v>
      </c>
      <c r="C131" s="1067" t="s">
        <v>287</v>
      </c>
      <c r="D131" s="1067"/>
      <c r="E131" s="1067">
        <v>14</v>
      </c>
      <c r="F131" s="1067"/>
      <c r="G131" s="1067">
        <v>14</v>
      </c>
    </row>
    <row r="132" spans="1:7" x14ac:dyDescent="0.25">
      <c r="A132" s="1067" t="s">
        <v>255</v>
      </c>
      <c r="B132" s="1067" t="s">
        <v>49</v>
      </c>
      <c r="C132" s="1067" t="s">
        <v>293</v>
      </c>
      <c r="D132" s="1067">
        <v>3</v>
      </c>
      <c r="E132" s="1067">
        <v>8</v>
      </c>
      <c r="F132" s="1067">
        <v>3</v>
      </c>
      <c r="G132" s="1067">
        <v>14</v>
      </c>
    </row>
    <row r="133" spans="1:7" x14ac:dyDescent="0.25">
      <c r="A133" s="1067" t="s">
        <v>255</v>
      </c>
      <c r="B133" s="1067" t="s">
        <v>50</v>
      </c>
      <c r="C133" s="1067" t="s">
        <v>310</v>
      </c>
      <c r="D133" s="1067">
        <v>4</v>
      </c>
      <c r="E133" s="1067">
        <v>3</v>
      </c>
      <c r="F133" s="1067"/>
      <c r="G133" s="1067">
        <v>7</v>
      </c>
    </row>
    <row r="134" spans="1:7" x14ac:dyDescent="0.25">
      <c r="A134" s="1067" t="s">
        <v>255</v>
      </c>
      <c r="B134" s="1067" t="s">
        <v>51</v>
      </c>
      <c r="C134" s="1067" t="s">
        <v>294</v>
      </c>
      <c r="D134" s="1067"/>
      <c r="E134" s="1067">
        <v>12</v>
      </c>
      <c r="F134" s="1067"/>
      <c r="G134" s="1067">
        <v>12</v>
      </c>
    </row>
    <row r="135" spans="1:7" x14ac:dyDescent="0.25">
      <c r="A135" s="1067" t="s">
        <v>255</v>
      </c>
      <c r="B135" s="1067" t="s">
        <v>52</v>
      </c>
      <c r="C135" s="1067" t="s">
        <v>295</v>
      </c>
      <c r="D135" s="1067">
        <v>1</v>
      </c>
      <c r="E135" s="1067">
        <v>10</v>
      </c>
      <c r="F135" s="1067">
        <v>3</v>
      </c>
      <c r="G135" s="1067">
        <v>14</v>
      </c>
    </row>
    <row r="136" spans="1:7" x14ac:dyDescent="0.25">
      <c r="A136" s="1067" t="s">
        <v>255</v>
      </c>
      <c r="B136" s="1067" t="s">
        <v>53</v>
      </c>
      <c r="C136" s="1067" t="s">
        <v>305</v>
      </c>
      <c r="D136" s="1067">
        <v>3</v>
      </c>
      <c r="E136" s="1067"/>
      <c r="F136" s="1067"/>
      <c r="G136" s="1067">
        <v>3</v>
      </c>
    </row>
    <row r="137" spans="1:7" x14ac:dyDescent="0.25">
      <c r="A137" s="1067" t="s">
        <v>255</v>
      </c>
      <c r="B137" s="1067" t="s">
        <v>54</v>
      </c>
      <c r="C137" s="1067" t="s">
        <v>296</v>
      </c>
      <c r="D137" s="1067">
        <v>2</v>
      </c>
      <c r="E137" s="1067">
        <v>11</v>
      </c>
      <c r="F137" s="1067"/>
      <c r="G137" s="1067">
        <v>13</v>
      </c>
    </row>
    <row r="138" spans="1:7" x14ac:dyDescent="0.25">
      <c r="A138" s="1067" t="s">
        <v>255</v>
      </c>
      <c r="B138" s="1067" t="s">
        <v>55</v>
      </c>
      <c r="C138" s="1067" t="s">
        <v>297</v>
      </c>
      <c r="D138" s="1067"/>
      <c r="E138" s="1067">
        <v>14</v>
      </c>
      <c r="F138" s="1067"/>
      <c r="G138" s="1067">
        <v>14</v>
      </c>
    </row>
    <row r="139" spans="1:7" x14ac:dyDescent="0.25">
      <c r="A139" s="1067" t="s">
        <v>255</v>
      </c>
      <c r="B139" s="1067" t="s">
        <v>56</v>
      </c>
      <c r="C139" s="1067" t="s">
        <v>298</v>
      </c>
      <c r="D139" s="1067">
        <v>1</v>
      </c>
      <c r="E139" s="1067">
        <v>4</v>
      </c>
      <c r="F139" s="1067"/>
      <c r="G139" s="1067">
        <v>5</v>
      </c>
    </row>
    <row r="140" spans="1:7" x14ac:dyDescent="0.25">
      <c r="A140" s="1067" t="s">
        <v>255</v>
      </c>
      <c r="B140" s="1067" t="s">
        <v>57</v>
      </c>
      <c r="C140" s="1067" t="s">
        <v>299</v>
      </c>
      <c r="D140" s="1067">
        <v>4</v>
      </c>
      <c r="E140" s="1067">
        <v>7</v>
      </c>
      <c r="F140" s="1067">
        <v>1</v>
      </c>
      <c r="G140" s="1067">
        <v>12</v>
      </c>
    </row>
    <row r="141" spans="1:7" x14ac:dyDescent="0.25">
      <c r="A141" s="1067" t="s">
        <v>255</v>
      </c>
      <c r="B141" s="1067" t="s">
        <v>58</v>
      </c>
      <c r="C141" s="1067" t="s">
        <v>300</v>
      </c>
      <c r="D141" s="1067">
        <v>1</v>
      </c>
      <c r="E141" s="1067">
        <v>9</v>
      </c>
      <c r="F141" s="1067"/>
      <c r="G141" s="1067">
        <v>10</v>
      </c>
    </row>
    <row r="142" spans="1:7" x14ac:dyDescent="0.25">
      <c r="A142" s="1067" t="s">
        <v>255</v>
      </c>
      <c r="B142" s="1067" t="s">
        <v>59</v>
      </c>
      <c r="C142" s="1067" t="s">
        <v>306</v>
      </c>
      <c r="D142" s="1067">
        <v>2</v>
      </c>
      <c r="E142" s="1067">
        <v>1</v>
      </c>
      <c r="F142" s="1067"/>
      <c r="G142" s="1067">
        <v>3</v>
      </c>
    </row>
    <row r="143" spans="1:7" x14ac:dyDescent="0.25">
      <c r="A143" s="1067" t="s">
        <v>255</v>
      </c>
      <c r="B143" s="1067" t="s">
        <v>60</v>
      </c>
      <c r="C143" s="1067" t="s">
        <v>307</v>
      </c>
      <c r="D143" s="1067">
        <v>2</v>
      </c>
      <c r="E143" s="1067">
        <v>4</v>
      </c>
      <c r="F143" s="1067"/>
      <c r="G143" s="1067">
        <v>6</v>
      </c>
    </row>
    <row r="144" spans="1:7" x14ac:dyDescent="0.25">
      <c r="A144" s="1067" t="s">
        <v>254</v>
      </c>
      <c r="B144" s="1067" t="s">
        <v>31</v>
      </c>
      <c r="C144" s="1067" t="s">
        <v>301</v>
      </c>
      <c r="D144" s="1067">
        <v>3</v>
      </c>
      <c r="E144" s="1067">
        <v>1</v>
      </c>
      <c r="F144" s="1067"/>
      <c r="G144" s="1067">
        <v>4</v>
      </c>
    </row>
    <row r="145" spans="1:7" x14ac:dyDescent="0.25">
      <c r="A145" s="1067" t="s">
        <v>254</v>
      </c>
      <c r="B145" s="1067" t="s">
        <v>32</v>
      </c>
      <c r="C145" s="1067" t="s">
        <v>302</v>
      </c>
      <c r="D145" s="1067">
        <v>1</v>
      </c>
      <c r="E145" s="1067">
        <v>23</v>
      </c>
      <c r="F145" s="1067"/>
      <c r="G145" s="1067">
        <v>24</v>
      </c>
    </row>
    <row r="146" spans="1:7" x14ac:dyDescent="0.25">
      <c r="A146" s="1067" t="s">
        <v>254</v>
      </c>
      <c r="B146" s="1067" t="s">
        <v>33</v>
      </c>
      <c r="C146" s="1067" t="s">
        <v>308</v>
      </c>
      <c r="D146" s="1067">
        <v>1</v>
      </c>
      <c r="E146" s="1067">
        <v>5</v>
      </c>
      <c r="F146" s="1067"/>
      <c r="G146" s="1067">
        <v>6</v>
      </c>
    </row>
    <row r="147" spans="1:7" x14ac:dyDescent="0.25">
      <c r="A147" s="1067" t="s">
        <v>254</v>
      </c>
      <c r="B147" s="1067" t="s">
        <v>34</v>
      </c>
      <c r="C147" s="1067" t="s">
        <v>303</v>
      </c>
      <c r="D147" s="1067">
        <v>2</v>
      </c>
      <c r="E147" s="1067">
        <v>12</v>
      </c>
      <c r="F147" s="1067">
        <v>25</v>
      </c>
      <c r="G147" s="1067">
        <v>39</v>
      </c>
    </row>
    <row r="148" spans="1:7" x14ac:dyDescent="0.25">
      <c r="A148" s="1067" t="s">
        <v>254</v>
      </c>
      <c r="B148" s="1067" t="s">
        <v>258</v>
      </c>
      <c r="C148" s="1067" t="s">
        <v>304</v>
      </c>
      <c r="D148" s="1067">
        <v>7</v>
      </c>
      <c r="E148" s="1067">
        <v>1</v>
      </c>
      <c r="F148" s="1067"/>
      <c r="G148" s="1067">
        <v>8</v>
      </c>
    </row>
    <row r="149" spans="1:7" x14ac:dyDescent="0.25">
      <c r="A149" s="1067" t="s">
        <v>254</v>
      </c>
      <c r="B149" s="1067" t="s">
        <v>35</v>
      </c>
      <c r="C149" s="1067" t="s">
        <v>282</v>
      </c>
      <c r="D149" s="1067">
        <v>1</v>
      </c>
      <c r="E149" s="1067">
        <v>1</v>
      </c>
      <c r="F149" s="1067"/>
      <c r="G149" s="1067">
        <v>2</v>
      </c>
    </row>
    <row r="150" spans="1:7" x14ac:dyDescent="0.25">
      <c r="A150" s="1067" t="s">
        <v>254</v>
      </c>
      <c r="B150" s="1067" t="s">
        <v>36</v>
      </c>
      <c r="C150" s="1067" t="s">
        <v>283</v>
      </c>
      <c r="D150" s="1067">
        <v>1</v>
      </c>
      <c r="E150" s="1067">
        <v>15</v>
      </c>
      <c r="F150" s="1067">
        <v>1</v>
      </c>
      <c r="G150" s="1067">
        <v>17</v>
      </c>
    </row>
    <row r="151" spans="1:7" x14ac:dyDescent="0.25">
      <c r="A151" s="1067" t="s">
        <v>254</v>
      </c>
      <c r="B151" s="1067" t="s">
        <v>37</v>
      </c>
      <c r="C151" s="1067" t="s">
        <v>309</v>
      </c>
      <c r="D151" s="1067">
        <v>4</v>
      </c>
      <c r="E151" s="1067"/>
      <c r="F151" s="1067"/>
      <c r="G151" s="1067">
        <v>4</v>
      </c>
    </row>
    <row r="152" spans="1:7" x14ac:dyDescent="0.25">
      <c r="A152" s="1067" t="s">
        <v>254</v>
      </c>
      <c r="B152" s="1067" t="s">
        <v>38</v>
      </c>
      <c r="C152" s="1067" t="s">
        <v>284</v>
      </c>
      <c r="D152" s="1067">
        <v>1</v>
      </c>
      <c r="E152" s="1067">
        <v>7</v>
      </c>
      <c r="F152" s="1067"/>
      <c r="G152" s="1067">
        <v>8</v>
      </c>
    </row>
    <row r="153" spans="1:7" x14ac:dyDescent="0.25">
      <c r="A153" s="1067" t="s">
        <v>254</v>
      </c>
      <c r="B153" s="1067" t="s">
        <v>39</v>
      </c>
      <c r="C153" s="1067" t="s">
        <v>311</v>
      </c>
      <c r="D153" s="1067">
        <v>3</v>
      </c>
      <c r="E153" s="1067"/>
      <c r="F153" s="1067"/>
      <c r="G153" s="1067">
        <v>3</v>
      </c>
    </row>
    <row r="154" spans="1:7" x14ac:dyDescent="0.25">
      <c r="A154" s="1067" t="s">
        <v>254</v>
      </c>
      <c r="B154" s="1067" t="s">
        <v>40</v>
      </c>
      <c r="C154" s="1067" t="s">
        <v>285</v>
      </c>
      <c r="D154" s="1067">
        <v>1</v>
      </c>
      <c r="E154" s="1067">
        <v>5</v>
      </c>
      <c r="F154" s="1067"/>
      <c r="G154" s="1067">
        <v>6</v>
      </c>
    </row>
    <row r="155" spans="1:7" x14ac:dyDescent="0.25">
      <c r="A155" s="1067" t="s">
        <v>254</v>
      </c>
      <c r="B155" s="1067" t="s">
        <v>41</v>
      </c>
      <c r="C155" s="1067" t="s">
        <v>286</v>
      </c>
      <c r="D155" s="1067">
        <v>2</v>
      </c>
      <c r="E155" s="1067"/>
      <c r="F155" s="1067"/>
      <c r="G155" s="1067">
        <v>2</v>
      </c>
    </row>
    <row r="156" spans="1:7" x14ac:dyDescent="0.25">
      <c r="A156" s="1067" t="s">
        <v>254</v>
      </c>
      <c r="B156" s="1067" t="s">
        <v>42</v>
      </c>
      <c r="C156" s="1067" t="s">
        <v>288</v>
      </c>
      <c r="D156" s="1067">
        <v>3</v>
      </c>
      <c r="E156" s="1067">
        <v>2</v>
      </c>
      <c r="F156" s="1067"/>
      <c r="G156" s="1067">
        <v>5</v>
      </c>
    </row>
    <row r="157" spans="1:7" x14ac:dyDescent="0.25">
      <c r="A157" s="1067" t="s">
        <v>254</v>
      </c>
      <c r="B157" s="1067" t="s">
        <v>43</v>
      </c>
      <c r="C157" s="1067" t="s">
        <v>313</v>
      </c>
      <c r="D157" s="1067">
        <v>5</v>
      </c>
      <c r="E157" s="1067">
        <v>8</v>
      </c>
      <c r="F157" s="1067"/>
      <c r="G157" s="1067">
        <v>13</v>
      </c>
    </row>
    <row r="158" spans="1:7" x14ac:dyDescent="0.25">
      <c r="A158" s="1067" t="s">
        <v>254</v>
      </c>
      <c r="B158" s="1067" t="s">
        <v>121</v>
      </c>
      <c r="C158" s="1067" t="s">
        <v>1076</v>
      </c>
      <c r="D158" s="1067">
        <v>11</v>
      </c>
      <c r="E158" s="1067"/>
      <c r="F158" s="1067"/>
      <c r="G158" s="1067">
        <v>11</v>
      </c>
    </row>
    <row r="159" spans="1:7" x14ac:dyDescent="0.25">
      <c r="A159" s="1067" t="s">
        <v>254</v>
      </c>
      <c r="B159" s="1067" t="s">
        <v>44</v>
      </c>
      <c r="C159" s="1067" t="s">
        <v>289</v>
      </c>
      <c r="D159" s="1067">
        <v>1</v>
      </c>
      <c r="E159" s="1067">
        <v>51</v>
      </c>
      <c r="F159" s="1067">
        <v>9</v>
      </c>
      <c r="G159" s="1067">
        <v>61</v>
      </c>
    </row>
    <row r="160" spans="1:7" x14ac:dyDescent="0.25">
      <c r="A160" s="1067" t="s">
        <v>254</v>
      </c>
      <c r="B160" s="1067" t="s">
        <v>45</v>
      </c>
      <c r="C160" s="1067" t="s">
        <v>290</v>
      </c>
      <c r="D160" s="1067">
        <v>2</v>
      </c>
      <c r="E160" s="1067">
        <v>1</v>
      </c>
      <c r="F160" s="1067"/>
      <c r="G160" s="1067">
        <v>3</v>
      </c>
    </row>
    <row r="161" spans="1:7" x14ac:dyDescent="0.25">
      <c r="A161" s="1067" t="s">
        <v>254</v>
      </c>
      <c r="B161" s="1067" t="s">
        <v>46</v>
      </c>
      <c r="C161" s="1067" t="s">
        <v>291</v>
      </c>
      <c r="D161" s="1067">
        <v>1</v>
      </c>
      <c r="E161" s="1067">
        <v>1</v>
      </c>
      <c r="F161" s="1067"/>
      <c r="G161" s="1067">
        <v>2</v>
      </c>
    </row>
    <row r="162" spans="1:7" x14ac:dyDescent="0.25">
      <c r="A162" s="1067" t="s">
        <v>254</v>
      </c>
      <c r="B162" s="1067" t="s">
        <v>47</v>
      </c>
      <c r="C162" s="1067" t="s">
        <v>292</v>
      </c>
      <c r="D162" s="1067">
        <v>1</v>
      </c>
      <c r="E162" s="1067">
        <v>10</v>
      </c>
      <c r="F162" s="1067">
        <v>1</v>
      </c>
      <c r="G162" s="1067">
        <v>12</v>
      </c>
    </row>
    <row r="163" spans="1:7" x14ac:dyDescent="0.25">
      <c r="A163" s="1067" t="s">
        <v>254</v>
      </c>
      <c r="B163" s="1067" t="s">
        <v>48</v>
      </c>
      <c r="C163" s="1067" t="s">
        <v>287</v>
      </c>
      <c r="D163" s="1067"/>
      <c r="E163" s="1067">
        <v>14</v>
      </c>
      <c r="F163" s="1067"/>
      <c r="G163" s="1067">
        <v>14</v>
      </c>
    </row>
    <row r="164" spans="1:7" x14ac:dyDescent="0.25">
      <c r="A164" s="1067" t="s">
        <v>254</v>
      </c>
      <c r="B164" s="1067" t="s">
        <v>49</v>
      </c>
      <c r="C164" s="1067" t="s">
        <v>293</v>
      </c>
      <c r="D164" s="1067">
        <v>3</v>
      </c>
      <c r="E164" s="1067">
        <v>8</v>
      </c>
      <c r="F164" s="1067">
        <v>3</v>
      </c>
      <c r="G164" s="1067">
        <v>14</v>
      </c>
    </row>
    <row r="165" spans="1:7" x14ac:dyDescent="0.25">
      <c r="A165" s="1067" t="s">
        <v>254</v>
      </c>
      <c r="B165" s="1067" t="s">
        <v>50</v>
      </c>
      <c r="C165" s="1067" t="s">
        <v>1078</v>
      </c>
      <c r="D165" s="1067">
        <v>4</v>
      </c>
      <c r="E165" s="1067">
        <v>3</v>
      </c>
      <c r="F165" s="1067"/>
      <c r="G165" s="1067">
        <v>7</v>
      </c>
    </row>
    <row r="166" spans="1:7" x14ac:dyDescent="0.25">
      <c r="A166" s="1067" t="s">
        <v>254</v>
      </c>
      <c r="B166" s="1067" t="s">
        <v>51</v>
      </c>
      <c r="C166" s="1067" t="s">
        <v>294</v>
      </c>
      <c r="D166" s="1067"/>
      <c r="E166" s="1067">
        <v>12</v>
      </c>
      <c r="F166" s="1067"/>
      <c r="G166" s="1067">
        <v>12</v>
      </c>
    </row>
    <row r="167" spans="1:7" x14ac:dyDescent="0.25">
      <c r="A167" s="1067" t="s">
        <v>254</v>
      </c>
      <c r="B167" s="1067" t="s">
        <v>52</v>
      </c>
      <c r="C167" s="1067" t="s">
        <v>295</v>
      </c>
      <c r="D167" s="1067">
        <v>1</v>
      </c>
      <c r="E167" s="1067">
        <v>10</v>
      </c>
      <c r="F167" s="1067">
        <v>3</v>
      </c>
      <c r="G167" s="1067">
        <v>14</v>
      </c>
    </row>
    <row r="168" spans="1:7" x14ac:dyDescent="0.25">
      <c r="A168" s="1067" t="s">
        <v>254</v>
      </c>
      <c r="B168" s="1067" t="s">
        <v>53</v>
      </c>
      <c r="C168" s="1067" t="s">
        <v>305</v>
      </c>
      <c r="D168" s="1067">
        <v>3</v>
      </c>
      <c r="E168" s="1067"/>
      <c r="F168" s="1067"/>
      <c r="G168" s="1067">
        <v>3</v>
      </c>
    </row>
    <row r="169" spans="1:7" x14ac:dyDescent="0.25">
      <c r="A169" s="1067" t="s">
        <v>254</v>
      </c>
      <c r="B169" s="1067" t="s">
        <v>54</v>
      </c>
      <c r="C169" s="1067" t="s">
        <v>296</v>
      </c>
      <c r="D169" s="1067">
        <v>2</v>
      </c>
      <c r="E169" s="1067">
        <v>11</v>
      </c>
      <c r="F169" s="1067"/>
      <c r="G169" s="1067">
        <v>13</v>
      </c>
    </row>
    <row r="170" spans="1:7" x14ac:dyDescent="0.25">
      <c r="A170" s="1067" t="s">
        <v>254</v>
      </c>
      <c r="B170" s="1067" t="s">
        <v>55</v>
      </c>
      <c r="C170" s="1067" t="s">
        <v>297</v>
      </c>
      <c r="D170" s="1067"/>
      <c r="E170" s="1067">
        <v>14</v>
      </c>
      <c r="F170" s="1067"/>
      <c r="G170" s="1067">
        <v>14</v>
      </c>
    </row>
    <row r="171" spans="1:7" x14ac:dyDescent="0.25">
      <c r="A171" s="1067" t="s">
        <v>254</v>
      </c>
      <c r="B171" s="1067" t="s">
        <v>56</v>
      </c>
      <c r="C171" s="1067" t="s">
        <v>298</v>
      </c>
      <c r="D171" s="1067">
        <v>1</v>
      </c>
      <c r="E171" s="1067">
        <v>4</v>
      </c>
      <c r="F171" s="1067"/>
      <c r="G171" s="1067">
        <v>5</v>
      </c>
    </row>
    <row r="172" spans="1:7" x14ac:dyDescent="0.25">
      <c r="A172" s="1067" t="s">
        <v>254</v>
      </c>
      <c r="B172" s="1067" t="s">
        <v>57</v>
      </c>
      <c r="C172" s="1067" t="s">
        <v>299</v>
      </c>
      <c r="D172" s="1067">
        <v>4</v>
      </c>
      <c r="E172" s="1067">
        <v>7</v>
      </c>
      <c r="F172" s="1067">
        <v>1</v>
      </c>
      <c r="G172" s="1067">
        <v>12</v>
      </c>
    </row>
    <row r="173" spans="1:7" x14ac:dyDescent="0.25">
      <c r="A173" s="1067" t="s">
        <v>254</v>
      </c>
      <c r="B173" s="1067" t="s">
        <v>58</v>
      </c>
      <c r="C173" s="1067" t="s">
        <v>300</v>
      </c>
      <c r="D173" s="1067">
        <v>1</v>
      </c>
      <c r="E173" s="1067">
        <v>9</v>
      </c>
      <c r="F173" s="1067"/>
      <c r="G173" s="1067">
        <v>10</v>
      </c>
    </row>
    <row r="174" spans="1:7" x14ac:dyDescent="0.25">
      <c r="A174" s="1067" t="s">
        <v>254</v>
      </c>
      <c r="B174" s="1067" t="s">
        <v>59</v>
      </c>
      <c r="C174" s="1067" t="s">
        <v>306</v>
      </c>
      <c r="D174" s="1067">
        <v>2</v>
      </c>
      <c r="E174" s="1067">
        <v>1</v>
      </c>
      <c r="F174" s="1067"/>
      <c r="G174" s="1067">
        <v>3</v>
      </c>
    </row>
    <row r="175" spans="1:7" x14ac:dyDescent="0.25">
      <c r="A175" s="1067" t="s">
        <v>254</v>
      </c>
      <c r="B175" s="1067" t="s">
        <v>60</v>
      </c>
      <c r="C175" s="1067" t="s">
        <v>307</v>
      </c>
      <c r="D175" s="1067">
        <v>2</v>
      </c>
      <c r="E175" s="1067">
        <v>4</v>
      </c>
      <c r="F175" s="1067"/>
      <c r="G175" s="1067">
        <v>6</v>
      </c>
    </row>
    <row r="176" spans="1:7" x14ac:dyDescent="0.25">
      <c r="A176" s="1067" t="s">
        <v>851</v>
      </c>
      <c r="B176" s="1067" t="s">
        <v>31</v>
      </c>
      <c r="C176" s="1067" t="s">
        <v>301</v>
      </c>
      <c r="D176" s="1067">
        <v>3</v>
      </c>
      <c r="E176" s="1067">
        <v>1</v>
      </c>
      <c r="F176" s="1067"/>
      <c r="G176" s="1067">
        <v>4</v>
      </c>
    </row>
    <row r="177" spans="1:7" x14ac:dyDescent="0.25">
      <c r="A177" s="1067" t="s">
        <v>851</v>
      </c>
      <c r="B177" s="1067" t="s">
        <v>32</v>
      </c>
      <c r="C177" s="1067" t="s">
        <v>302</v>
      </c>
      <c r="D177" s="1067">
        <v>1</v>
      </c>
      <c r="E177" s="1067">
        <v>23</v>
      </c>
      <c r="F177" s="1067"/>
      <c r="G177" s="1067">
        <v>24</v>
      </c>
    </row>
    <row r="178" spans="1:7" x14ac:dyDescent="0.25">
      <c r="A178" s="1067" t="s">
        <v>851</v>
      </c>
      <c r="B178" s="1067" t="s">
        <v>33</v>
      </c>
      <c r="C178" s="1067" t="s">
        <v>308</v>
      </c>
      <c r="D178" s="1067">
        <v>1</v>
      </c>
      <c r="E178" s="1067">
        <v>5</v>
      </c>
      <c r="F178" s="1067"/>
      <c r="G178" s="1067">
        <v>6</v>
      </c>
    </row>
    <row r="179" spans="1:7" x14ac:dyDescent="0.25">
      <c r="A179" s="1067" t="s">
        <v>851</v>
      </c>
      <c r="B179" s="1067" t="s">
        <v>34</v>
      </c>
      <c r="C179" s="1067" t="s">
        <v>303</v>
      </c>
      <c r="D179" s="1067">
        <v>2</v>
      </c>
      <c r="E179" s="1067">
        <v>12</v>
      </c>
      <c r="F179" s="1067">
        <v>25</v>
      </c>
      <c r="G179" s="1067">
        <v>39</v>
      </c>
    </row>
    <row r="180" spans="1:7" x14ac:dyDescent="0.25">
      <c r="A180" s="1067" t="s">
        <v>851</v>
      </c>
      <c r="B180" s="1067" t="s">
        <v>258</v>
      </c>
      <c r="C180" s="1067" t="s">
        <v>304</v>
      </c>
      <c r="D180" s="1067">
        <v>7</v>
      </c>
      <c r="E180" s="1067">
        <v>1</v>
      </c>
      <c r="F180" s="1067"/>
      <c r="G180" s="1067">
        <v>8</v>
      </c>
    </row>
    <row r="181" spans="1:7" x14ac:dyDescent="0.25">
      <c r="A181" s="1067" t="s">
        <v>851</v>
      </c>
      <c r="B181" s="1067" t="s">
        <v>35</v>
      </c>
      <c r="C181" s="1067" t="s">
        <v>282</v>
      </c>
      <c r="D181" s="1067">
        <v>1</v>
      </c>
      <c r="E181" s="1067">
        <v>1</v>
      </c>
      <c r="F181" s="1067"/>
      <c r="G181" s="1067">
        <v>2</v>
      </c>
    </row>
    <row r="182" spans="1:7" x14ac:dyDescent="0.25">
      <c r="A182" s="1067" t="s">
        <v>851</v>
      </c>
      <c r="B182" s="1067" t="s">
        <v>36</v>
      </c>
      <c r="C182" s="1067" t="s">
        <v>283</v>
      </c>
      <c r="D182" s="1067">
        <v>1</v>
      </c>
      <c r="E182" s="1067">
        <v>15</v>
      </c>
      <c r="F182" s="1067">
        <v>1</v>
      </c>
      <c r="G182" s="1067">
        <v>17</v>
      </c>
    </row>
    <row r="183" spans="1:7" x14ac:dyDescent="0.25">
      <c r="A183" s="1067" t="s">
        <v>851</v>
      </c>
      <c r="B183" s="1067" t="s">
        <v>37</v>
      </c>
      <c r="C183" s="1067" t="s">
        <v>309</v>
      </c>
      <c r="D183" s="1067">
        <v>4</v>
      </c>
      <c r="E183" s="1067"/>
      <c r="F183" s="1067"/>
      <c r="G183" s="1067">
        <v>4</v>
      </c>
    </row>
    <row r="184" spans="1:7" x14ac:dyDescent="0.25">
      <c r="A184" s="1067" t="s">
        <v>851</v>
      </c>
      <c r="B184" s="1067" t="s">
        <v>38</v>
      </c>
      <c r="C184" s="1067" t="s">
        <v>284</v>
      </c>
      <c r="D184" s="1067">
        <v>1</v>
      </c>
      <c r="E184" s="1067">
        <v>7</v>
      </c>
      <c r="F184" s="1067"/>
      <c r="G184" s="1067">
        <v>8</v>
      </c>
    </row>
    <row r="185" spans="1:7" x14ac:dyDescent="0.25">
      <c r="A185" s="1067" t="s">
        <v>851</v>
      </c>
      <c r="B185" s="1067" t="s">
        <v>39</v>
      </c>
      <c r="C185" s="1067" t="s">
        <v>311</v>
      </c>
      <c r="D185" s="1067">
        <v>3</v>
      </c>
      <c r="E185" s="1067"/>
      <c r="F185" s="1067"/>
      <c r="G185" s="1067">
        <v>3</v>
      </c>
    </row>
    <row r="186" spans="1:7" x14ac:dyDescent="0.25">
      <c r="A186" s="1067" t="s">
        <v>851</v>
      </c>
      <c r="B186" s="1067" t="s">
        <v>40</v>
      </c>
      <c r="C186" s="1067" t="s">
        <v>285</v>
      </c>
      <c r="D186" s="1067">
        <v>1</v>
      </c>
      <c r="E186" s="1067">
        <v>5</v>
      </c>
      <c r="F186" s="1067"/>
      <c r="G186" s="1067">
        <v>6</v>
      </c>
    </row>
    <row r="187" spans="1:7" x14ac:dyDescent="0.25">
      <c r="A187" s="1067" t="s">
        <v>851</v>
      </c>
      <c r="B187" s="1067" t="s">
        <v>41</v>
      </c>
      <c r="C187" s="1067" t="s">
        <v>286</v>
      </c>
      <c r="D187" s="1067">
        <v>2</v>
      </c>
      <c r="E187" s="1067"/>
      <c r="F187" s="1067"/>
      <c r="G187" s="1067">
        <v>2</v>
      </c>
    </row>
    <row r="188" spans="1:7" x14ac:dyDescent="0.25">
      <c r="A188" s="1067" t="s">
        <v>851</v>
      </c>
      <c r="B188" s="1067" t="s">
        <v>42</v>
      </c>
      <c r="C188" s="1067" t="s">
        <v>288</v>
      </c>
      <c r="D188" s="1067">
        <v>3</v>
      </c>
      <c r="E188" s="1067">
        <v>2</v>
      </c>
      <c r="F188" s="1067"/>
      <c r="G188" s="1067">
        <v>5</v>
      </c>
    </row>
    <row r="189" spans="1:7" x14ac:dyDescent="0.25">
      <c r="A189" s="1067" t="s">
        <v>851</v>
      </c>
      <c r="B189" s="1067" t="s">
        <v>43</v>
      </c>
      <c r="C189" s="1067" t="s">
        <v>313</v>
      </c>
      <c r="D189" s="1067">
        <v>5</v>
      </c>
      <c r="E189" s="1067">
        <v>8</v>
      </c>
      <c r="F189" s="1067"/>
      <c r="G189" s="1067">
        <v>13</v>
      </c>
    </row>
    <row r="190" spans="1:7" x14ac:dyDescent="0.25">
      <c r="A190" s="1067" t="s">
        <v>851</v>
      </c>
      <c r="B190" s="1067" t="s">
        <v>121</v>
      </c>
      <c r="C190" s="1067" t="s">
        <v>1076</v>
      </c>
      <c r="D190" s="1067">
        <v>11</v>
      </c>
      <c r="E190" s="1067"/>
      <c r="F190" s="1067"/>
      <c r="G190" s="1067">
        <v>11</v>
      </c>
    </row>
    <row r="191" spans="1:7" x14ac:dyDescent="0.25">
      <c r="A191" s="1067" t="s">
        <v>851</v>
      </c>
      <c r="B191" s="1067" t="s">
        <v>44</v>
      </c>
      <c r="C191" s="1067" t="s">
        <v>289</v>
      </c>
      <c r="D191" s="1067">
        <v>1</v>
      </c>
      <c r="E191" s="1067">
        <v>51</v>
      </c>
      <c r="F191" s="1067">
        <v>9</v>
      </c>
      <c r="G191" s="1067">
        <v>61</v>
      </c>
    </row>
    <row r="192" spans="1:7" x14ac:dyDescent="0.25">
      <c r="A192" s="1067" t="s">
        <v>851</v>
      </c>
      <c r="B192" s="1067" t="s">
        <v>45</v>
      </c>
      <c r="C192" s="1067" t="s">
        <v>290</v>
      </c>
      <c r="D192" s="1067">
        <v>2</v>
      </c>
      <c r="E192" s="1067">
        <v>1</v>
      </c>
      <c r="F192" s="1067"/>
      <c r="G192" s="1067">
        <v>3</v>
      </c>
    </row>
    <row r="193" spans="1:7" x14ac:dyDescent="0.25">
      <c r="A193" s="1067" t="s">
        <v>851</v>
      </c>
      <c r="B193" s="1067" t="s">
        <v>46</v>
      </c>
      <c r="C193" s="1067" t="s">
        <v>291</v>
      </c>
      <c r="D193" s="1067">
        <v>1</v>
      </c>
      <c r="E193" s="1067">
        <v>1</v>
      </c>
      <c r="F193" s="1067"/>
      <c r="G193" s="1067">
        <v>2</v>
      </c>
    </row>
    <row r="194" spans="1:7" x14ac:dyDescent="0.25">
      <c r="A194" s="1067" t="s">
        <v>851</v>
      </c>
      <c r="B194" s="1067" t="s">
        <v>47</v>
      </c>
      <c r="C194" s="1067" t="s">
        <v>292</v>
      </c>
      <c r="D194" s="1067">
        <v>1</v>
      </c>
      <c r="E194" s="1067">
        <v>10</v>
      </c>
      <c r="F194" s="1067">
        <v>1</v>
      </c>
      <c r="G194" s="1067">
        <v>12</v>
      </c>
    </row>
    <row r="195" spans="1:7" x14ac:dyDescent="0.25">
      <c r="A195" s="1067" t="s">
        <v>851</v>
      </c>
      <c r="B195" s="1067" t="s">
        <v>48</v>
      </c>
      <c r="C195" s="1067" t="s">
        <v>287</v>
      </c>
      <c r="D195" s="1067"/>
      <c r="E195" s="1067">
        <v>14</v>
      </c>
      <c r="F195" s="1067"/>
      <c r="G195" s="1067">
        <v>14</v>
      </c>
    </row>
    <row r="196" spans="1:7" x14ac:dyDescent="0.25">
      <c r="A196" s="1067" t="s">
        <v>851</v>
      </c>
      <c r="B196" s="1067" t="s">
        <v>49</v>
      </c>
      <c r="C196" s="1067" t="s">
        <v>293</v>
      </c>
      <c r="D196" s="1067">
        <v>3</v>
      </c>
      <c r="E196" s="1067">
        <v>8</v>
      </c>
      <c r="F196" s="1067">
        <v>3</v>
      </c>
      <c r="G196" s="1067">
        <v>14</v>
      </c>
    </row>
    <row r="197" spans="1:7" x14ac:dyDescent="0.25">
      <c r="A197" s="1067" t="s">
        <v>851</v>
      </c>
      <c r="B197" s="1067" t="s">
        <v>50</v>
      </c>
      <c r="C197" s="1067" t="s">
        <v>1078</v>
      </c>
      <c r="D197" s="1067">
        <v>4</v>
      </c>
      <c r="E197" s="1067">
        <v>3</v>
      </c>
      <c r="F197" s="1067"/>
      <c r="G197" s="1067">
        <v>7</v>
      </c>
    </row>
    <row r="198" spans="1:7" x14ac:dyDescent="0.25">
      <c r="A198" s="1067" t="s">
        <v>851</v>
      </c>
      <c r="B198" s="1067" t="s">
        <v>51</v>
      </c>
      <c r="C198" s="1067" t="s">
        <v>294</v>
      </c>
      <c r="D198" s="1067"/>
      <c r="E198" s="1067">
        <v>12</v>
      </c>
      <c r="F198" s="1067"/>
      <c r="G198" s="1067">
        <v>12</v>
      </c>
    </row>
    <row r="199" spans="1:7" x14ac:dyDescent="0.25">
      <c r="A199" s="1067" t="s">
        <v>851</v>
      </c>
      <c r="B199" s="1067" t="s">
        <v>52</v>
      </c>
      <c r="C199" s="1067" t="s">
        <v>295</v>
      </c>
      <c r="D199" s="1067">
        <v>1</v>
      </c>
      <c r="E199" s="1067">
        <v>10</v>
      </c>
      <c r="F199" s="1067">
        <v>3</v>
      </c>
      <c r="G199" s="1067">
        <v>14</v>
      </c>
    </row>
    <row r="200" spans="1:7" x14ac:dyDescent="0.25">
      <c r="A200" s="1067" t="s">
        <v>851</v>
      </c>
      <c r="B200" s="1067" t="s">
        <v>53</v>
      </c>
      <c r="C200" s="1067" t="s">
        <v>305</v>
      </c>
      <c r="D200" s="1067">
        <v>3</v>
      </c>
      <c r="E200" s="1067"/>
      <c r="F200" s="1067"/>
      <c r="G200" s="1067">
        <v>3</v>
      </c>
    </row>
    <row r="201" spans="1:7" x14ac:dyDescent="0.25">
      <c r="A201" s="1067" t="s">
        <v>851</v>
      </c>
      <c r="B201" s="1067" t="s">
        <v>54</v>
      </c>
      <c r="C201" s="1067" t="s">
        <v>296</v>
      </c>
      <c r="D201" s="1067">
        <v>2</v>
      </c>
      <c r="E201" s="1067">
        <v>11</v>
      </c>
      <c r="F201" s="1067"/>
      <c r="G201" s="1067">
        <v>13</v>
      </c>
    </row>
    <row r="202" spans="1:7" x14ac:dyDescent="0.25">
      <c r="A202" s="1067" t="s">
        <v>851</v>
      </c>
      <c r="B202" s="1067" t="s">
        <v>55</v>
      </c>
      <c r="C202" s="1067" t="s">
        <v>297</v>
      </c>
      <c r="D202" s="1067"/>
      <c r="E202" s="1067">
        <v>14</v>
      </c>
      <c r="F202" s="1067"/>
      <c r="G202" s="1067">
        <v>14</v>
      </c>
    </row>
    <row r="203" spans="1:7" x14ac:dyDescent="0.25">
      <c r="A203" s="1067" t="s">
        <v>851</v>
      </c>
      <c r="B203" s="1067" t="s">
        <v>56</v>
      </c>
      <c r="C203" s="1067" t="s">
        <v>298</v>
      </c>
      <c r="D203" s="1067">
        <v>1</v>
      </c>
      <c r="E203" s="1067">
        <v>4</v>
      </c>
      <c r="F203" s="1067"/>
      <c r="G203" s="1067">
        <v>5</v>
      </c>
    </row>
    <row r="204" spans="1:7" x14ac:dyDescent="0.25">
      <c r="A204" s="1067" t="s">
        <v>851</v>
      </c>
      <c r="B204" s="1067" t="s">
        <v>57</v>
      </c>
      <c r="C204" s="1067" t="s">
        <v>299</v>
      </c>
      <c r="D204" s="1067">
        <v>4</v>
      </c>
      <c r="E204" s="1067">
        <v>7</v>
      </c>
      <c r="F204" s="1067">
        <v>1</v>
      </c>
      <c r="G204" s="1067">
        <v>12</v>
      </c>
    </row>
    <row r="205" spans="1:7" x14ac:dyDescent="0.25">
      <c r="A205" s="1067" t="s">
        <v>851</v>
      </c>
      <c r="B205" s="1067" t="s">
        <v>58</v>
      </c>
      <c r="C205" s="1067" t="s">
        <v>300</v>
      </c>
      <c r="D205" s="1067">
        <v>1</v>
      </c>
      <c r="E205" s="1067">
        <v>9</v>
      </c>
      <c r="F205" s="1067"/>
      <c r="G205" s="1067">
        <v>10</v>
      </c>
    </row>
    <row r="206" spans="1:7" x14ac:dyDescent="0.25">
      <c r="A206" s="1067" t="s">
        <v>851</v>
      </c>
      <c r="B206" s="1067" t="s">
        <v>59</v>
      </c>
      <c r="C206" s="1067" t="s">
        <v>306</v>
      </c>
      <c r="D206" s="1067">
        <v>2</v>
      </c>
      <c r="E206" s="1067">
        <v>1</v>
      </c>
      <c r="F206" s="1067"/>
      <c r="G206" s="1067">
        <v>3</v>
      </c>
    </row>
    <row r="207" spans="1:7" x14ac:dyDescent="0.25">
      <c r="A207" s="1067" t="s">
        <v>851</v>
      </c>
      <c r="B207" s="1067" t="s">
        <v>60</v>
      </c>
      <c r="C207" s="1067" t="s">
        <v>307</v>
      </c>
      <c r="D207" s="1067">
        <v>2</v>
      </c>
      <c r="E207" s="1067">
        <v>4</v>
      </c>
      <c r="F207" s="1067"/>
      <c r="G207" s="1067">
        <v>6</v>
      </c>
    </row>
  </sheetData>
  <sheetProtection algorithmName="SHA-512" hashValue="xTfPuLsv9xhbVyKZFGxUWmKAnJbWQ7JP5q0AyIN1E/YAUvx9FXgB1D2/oLfnMa3VLLd80Y019eygUORkW99t9A==" saltValue="ilFRRfkzbmj31psFT4Jdmw==" spinCount="100000" sheet="1" scenarios="1" formatCells="0" formatColumns="0" formatRows="0" sort="0" autoFilter="0" pivotTables="0"/>
  <pageMargins left="0.7" right="0.7" top="0.75" bottom="0.75" header="0.3" footer="0.3"/>
  <pageSetup paperSize="9" fitToHeight="50"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I89"/>
  <sheetViews>
    <sheetView zoomScale="85" zoomScaleNormal="85" workbookViewId="0">
      <pane ySplit="4" topLeftCell="A68" activePane="bottomLeft" state="frozen"/>
      <selection pane="bottomLeft"/>
    </sheetView>
  </sheetViews>
  <sheetFormatPr defaultRowHeight="15" x14ac:dyDescent="0.25"/>
  <sheetData>
    <row r="4" spans="1:7" x14ac:dyDescent="0.25">
      <c r="A4" s="1066" t="s">
        <v>329</v>
      </c>
      <c r="B4" s="1066" t="s">
        <v>1241</v>
      </c>
      <c r="C4" s="1066" t="s">
        <v>195</v>
      </c>
      <c r="D4" s="1066" t="s">
        <v>29</v>
      </c>
      <c r="E4" s="1066" t="s">
        <v>119</v>
      </c>
      <c r="F4" s="1066" t="s">
        <v>385</v>
      </c>
      <c r="G4" s="1066" t="s">
        <v>384</v>
      </c>
    </row>
    <row r="5" spans="1:7" x14ac:dyDescent="0.25">
      <c r="A5" s="1067" t="s">
        <v>254</v>
      </c>
      <c r="B5" s="1067">
        <v>357</v>
      </c>
      <c r="C5" s="1067">
        <v>240</v>
      </c>
      <c r="D5" s="1067">
        <v>43</v>
      </c>
      <c r="E5" s="1067">
        <v>50</v>
      </c>
      <c r="F5" s="1067">
        <v>1</v>
      </c>
      <c r="G5" s="1067">
        <v>23</v>
      </c>
    </row>
    <row r="6" spans="1:7" x14ac:dyDescent="0.25">
      <c r="A6" s="1067" t="s">
        <v>851</v>
      </c>
      <c r="B6" s="1067">
        <v>357</v>
      </c>
      <c r="C6" s="1067">
        <v>240</v>
      </c>
      <c r="D6" s="1067">
        <v>43</v>
      </c>
      <c r="E6" s="1067">
        <v>50</v>
      </c>
      <c r="F6" s="1067">
        <v>1</v>
      </c>
      <c r="G6" s="1067">
        <v>23</v>
      </c>
    </row>
    <row r="25" spans="1:9" x14ac:dyDescent="0.25">
      <c r="A25" s="1069" t="s">
        <v>329</v>
      </c>
      <c r="B25" s="1069" t="s">
        <v>928</v>
      </c>
      <c r="C25" s="1069" t="s">
        <v>929</v>
      </c>
      <c r="D25" s="1069" t="s">
        <v>26</v>
      </c>
      <c r="E25" s="1069" t="s">
        <v>195</v>
      </c>
      <c r="F25" s="1069" t="s">
        <v>29</v>
      </c>
      <c r="G25" s="1069" t="s">
        <v>119</v>
      </c>
      <c r="H25" s="1069" t="s">
        <v>385</v>
      </c>
      <c r="I25" s="1069" t="s">
        <v>384</v>
      </c>
    </row>
    <row r="26" spans="1:9" x14ac:dyDescent="0.25">
      <c r="A26" s="1067" t="s">
        <v>254</v>
      </c>
      <c r="B26" s="1067" t="s">
        <v>31</v>
      </c>
      <c r="C26" s="1067" t="s">
        <v>301</v>
      </c>
      <c r="D26" s="1067">
        <v>4</v>
      </c>
      <c r="E26" s="1067">
        <v>1</v>
      </c>
      <c r="F26" s="1067"/>
      <c r="G26" s="1067">
        <v>3</v>
      </c>
      <c r="H26" s="1067"/>
      <c r="I26" s="1067"/>
    </row>
    <row r="27" spans="1:9" x14ac:dyDescent="0.25">
      <c r="A27" s="1067" t="s">
        <v>254</v>
      </c>
      <c r="B27" s="1067" t="s">
        <v>32</v>
      </c>
      <c r="C27" s="1067" t="s">
        <v>302</v>
      </c>
      <c r="D27" s="1067">
        <v>24</v>
      </c>
      <c r="E27" s="1067">
        <v>23</v>
      </c>
      <c r="F27" s="1067"/>
      <c r="G27" s="1067"/>
      <c r="H27" s="1067"/>
      <c r="I27" s="1067">
        <v>1</v>
      </c>
    </row>
    <row r="28" spans="1:9" x14ac:dyDescent="0.25">
      <c r="A28" s="1067" t="s">
        <v>254</v>
      </c>
      <c r="B28" s="1067" t="s">
        <v>33</v>
      </c>
      <c r="C28" s="1067" t="s">
        <v>308</v>
      </c>
      <c r="D28" s="1067">
        <v>6</v>
      </c>
      <c r="E28" s="1067">
        <v>5</v>
      </c>
      <c r="F28" s="1067"/>
      <c r="G28" s="1067"/>
      <c r="H28" s="1067"/>
      <c r="I28" s="1067">
        <v>1</v>
      </c>
    </row>
    <row r="29" spans="1:9" x14ac:dyDescent="0.25">
      <c r="A29" s="1067" t="s">
        <v>254</v>
      </c>
      <c r="B29" s="1067" t="s">
        <v>34</v>
      </c>
      <c r="C29" s="1067" t="s">
        <v>303</v>
      </c>
      <c r="D29" s="1067">
        <v>39</v>
      </c>
      <c r="E29" s="1067">
        <v>12</v>
      </c>
      <c r="F29" s="1067">
        <v>25</v>
      </c>
      <c r="G29" s="1067"/>
      <c r="H29" s="1067"/>
      <c r="I29" s="1067">
        <v>2</v>
      </c>
    </row>
    <row r="30" spans="1:9" x14ac:dyDescent="0.25">
      <c r="A30" s="1067" t="s">
        <v>254</v>
      </c>
      <c r="B30" s="1067" t="s">
        <v>258</v>
      </c>
      <c r="C30" s="1067" t="s">
        <v>304</v>
      </c>
      <c r="D30" s="1067">
        <v>8</v>
      </c>
      <c r="E30" s="1067">
        <v>1</v>
      </c>
      <c r="F30" s="1067"/>
      <c r="G30" s="1067">
        <v>7</v>
      </c>
      <c r="H30" s="1067"/>
      <c r="I30" s="1067"/>
    </row>
    <row r="31" spans="1:9" x14ac:dyDescent="0.25">
      <c r="A31" s="1067" t="s">
        <v>254</v>
      </c>
      <c r="B31" s="1067" t="s">
        <v>35</v>
      </c>
      <c r="C31" s="1067" t="s">
        <v>282</v>
      </c>
      <c r="D31" s="1067">
        <v>2</v>
      </c>
      <c r="E31" s="1067">
        <v>1</v>
      </c>
      <c r="F31" s="1067"/>
      <c r="G31" s="1067"/>
      <c r="H31" s="1067"/>
      <c r="I31" s="1067">
        <v>1</v>
      </c>
    </row>
    <row r="32" spans="1:9" x14ac:dyDescent="0.25">
      <c r="A32" s="1067" t="s">
        <v>254</v>
      </c>
      <c r="B32" s="1067" t="s">
        <v>36</v>
      </c>
      <c r="C32" s="1067" t="s">
        <v>283</v>
      </c>
      <c r="D32" s="1067">
        <v>17</v>
      </c>
      <c r="E32" s="1067">
        <v>15</v>
      </c>
      <c r="F32" s="1067">
        <v>1</v>
      </c>
      <c r="G32" s="1067"/>
      <c r="H32" s="1067"/>
      <c r="I32" s="1067">
        <v>1</v>
      </c>
    </row>
    <row r="33" spans="1:9" x14ac:dyDescent="0.25">
      <c r="A33" s="1067" t="s">
        <v>254</v>
      </c>
      <c r="B33" s="1067" t="s">
        <v>37</v>
      </c>
      <c r="C33" s="1067" t="s">
        <v>309</v>
      </c>
      <c r="D33" s="1067">
        <v>4</v>
      </c>
      <c r="E33" s="1067"/>
      <c r="F33" s="1067"/>
      <c r="G33" s="1067">
        <v>3</v>
      </c>
      <c r="H33" s="1067"/>
      <c r="I33" s="1067">
        <v>1</v>
      </c>
    </row>
    <row r="34" spans="1:9" x14ac:dyDescent="0.25">
      <c r="A34" s="1067" t="s">
        <v>254</v>
      </c>
      <c r="B34" s="1067" t="s">
        <v>38</v>
      </c>
      <c r="C34" s="1067" t="s">
        <v>284</v>
      </c>
      <c r="D34" s="1067">
        <v>8</v>
      </c>
      <c r="E34" s="1067">
        <v>7</v>
      </c>
      <c r="F34" s="1067"/>
      <c r="G34" s="1067">
        <v>1</v>
      </c>
      <c r="H34" s="1067"/>
      <c r="I34" s="1067"/>
    </row>
    <row r="35" spans="1:9" x14ac:dyDescent="0.25">
      <c r="A35" s="1067" t="s">
        <v>254</v>
      </c>
      <c r="B35" s="1067" t="s">
        <v>39</v>
      </c>
      <c r="C35" s="1067" t="s">
        <v>311</v>
      </c>
      <c r="D35" s="1067">
        <v>3</v>
      </c>
      <c r="E35" s="1067"/>
      <c r="F35" s="1067"/>
      <c r="G35" s="1067">
        <v>3</v>
      </c>
      <c r="H35" s="1067"/>
      <c r="I35" s="1067"/>
    </row>
    <row r="36" spans="1:9" x14ac:dyDescent="0.25">
      <c r="A36" s="1067" t="s">
        <v>254</v>
      </c>
      <c r="B36" s="1067" t="s">
        <v>40</v>
      </c>
      <c r="C36" s="1067" t="s">
        <v>285</v>
      </c>
      <c r="D36" s="1067">
        <v>6</v>
      </c>
      <c r="E36" s="1067">
        <v>5</v>
      </c>
      <c r="F36" s="1067"/>
      <c r="G36" s="1067">
        <v>1</v>
      </c>
      <c r="H36" s="1067"/>
      <c r="I36" s="1067"/>
    </row>
    <row r="37" spans="1:9" x14ac:dyDescent="0.25">
      <c r="A37" s="1067" t="s">
        <v>254</v>
      </c>
      <c r="B37" s="1067" t="s">
        <v>41</v>
      </c>
      <c r="C37" s="1067" t="s">
        <v>286</v>
      </c>
      <c r="D37" s="1067">
        <v>2</v>
      </c>
      <c r="E37" s="1067"/>
      <c r="F37" s="1067"/>
      <c r="G37" s="1067">
        <v>2</v>
      </c>
      <c r="H37" s="1067"/>
      <c r="I37" s="1067"/>
    </row>
    <row r="38" spans="1:9" x14ac:dyDescent="0.25">
      <c r="A38" s="1067" t="s">
        <v>254</v>
      </c>
      <c r="B38" s="1067" t="s">
        <v>42</v>
      </c>
      <c r="C38" s="1067" t="s">
        <v>288</v>
      </c>
      <c r="D38" s="1067">
        <v>5</v>
      </c>
      <c r="E38" s="1067">
        <v>2</v>
      </c>
      <c r="F38" s="1067"/>
      <c r="G38" s="1067"/>
      <c r="H38" s="1067"/>
      <c r="I38" s="1067">
        <v>3</v>
      </c>
    </row>
    <row r="39" spans="1:9" x14ac:dyDescent="0.25">
      <c r="A39" s="1067" t="s">
        <v>254</v>
      </c>
      <c r="B39" s="1067" t="s">
        <v>43</v>
      </c>
      <c r="C39" s="1067" t="s">
        <v>313</v>
      </c>
      <c r="D39" s="1067">
        <v>13</v>
      </c>
      <c r="E39" s="1067">
        <v>8</v>
      </c>
      <c r="F39" s="1067"/>
      <c r="G39" s="1067">
        <v>5</v>
      </c>
      <c r="H39" s="1067"/>
      <c r="I39" s="1067"/>
    </row>
    <row r="40" spans="1:9" x14ac:dyDescent="0.25">
      <c r="A40" s="1067" t="s">
        <v>254</v>
      </c>
      <c r="B40" s="1067" t="s">
        <v>121</v>
      </c>
      <c r="C40" s="1067" t="s">
        <v>1076</v>
      </c>
      <c r="D40" s="1067">
        <v>11</v>
      </c>
      <c r="E40" s="1067"/>
      <c r="F40" s="1067"/>
      <c r="G40" s="1067">
        <v>11</v>
      </c>
      <c r="H40" s="1067"/>
      <c r="I40" s="1067"/>
    </row>
    <row r="41" spans="1:9" x14ac:dyDescent="0.25">
      <c r="A41" s="1067" t="s">
        <v>254</v>
      </c>
      <c r="B41" s="1067" t="s">
        <v>44</v>
      </c>
      <c r="C41" s="1067" t="s">
        <v>289</v>
      </c>
      <c r="D41" s="1067">
        <v>61</v>
      </c>
      <c r="E41" s="1067">
        <v>51</v>
      </c>
      <c r="F41" s="1067">
        <v>9</v>
      </c>
      <c r="G41" s="1067"/>
      <c r="H41" s="1067"/>
      <c r="I41" s="1067">
        <v>1</v>
      </c>
    </row>
    <row r="42" spans="1:9" x14ac:dyDescent="0.25">
      <c r="A42" s="1067" t="s">
        <v>254</v>
      </c>
      <c r="B42" s="1067" t="s">
        <v>45</v>
      </c>
      <c r="C42" s="1067" t="s">
        <v>290</v>
      </c>
      <c r="D42" s="1067">
        <v>3</v>
      </c>
      <c r="E42" s="1067">
        <v>1</v>
      </c>
      <c r="F42" s="1067"/>
      <c r="G42" s="1067"/>
      <c r="H42" s="1067"/>
      <c r="I42" s="1067">
        <v>2</v>
      </c>
    </row>
    <row r="43" spans="1:9" x14ac:dyDescent="0.25">
      <c r="A43" s="1067" t="s">
        <v>254</v>
      </c>
      <c r="B43" s="1067" t="s">
        <v>46</v>
      </c>
      <c r="C43" s="1067" t="s">
        <v>291</v>
      </c>
      <c r="D43" s="1067">
        <v>2</v>
      </c>
      <c r="E43" s="1067">
        <v>1</v>
      </c>
      <c r="F43" s="1067"/>
      <c r="G43" s="1067">
        <v>1</v>
      </c>
      <c r="H43" s="1067"/>
      <c r="I43" s="1067"/>
    </row>
    <row r="44" spans="1:9" x14ac:dyDescent="0.25">
      <c r="A44" s="1067" t="s">
        <v>254</v>
      </c>
      <c r="B44" s="1067" t="s">
        <v>47</v>
      </c>
      <c r="C44" s="1067" t="s">
        <v>292</v>
      </c>
      <c r="D44" s="1067">
        <v>12</v>
      </c>
      <c r="E44" s="1067">
        <v>10</v>
      </c>
      <c r="F44" s="1067">
        <v>1</v>
      </c>
      <c r="G44" s="1067"/>
      <c r="H44" s="1067"/>
      <c r="I44" s="1067">
        <v>1</v>
      </c>
    </row>
    <row r="45" spans="1:9" x14ac:dyDescent="0.25">
      <c r="A45" s="1067" t="s">
        <v>254</v>
      </c>
      <c r="B45" s="1067" t="s">
        <v>48</v>
      </c>
      <c r="C45" s="1067" t="s">
        <v>287</v>
      </c>
      <c r="D45" s="1067">
        <v>14</v>
      </c>
      <c r="E45" s="1067">
        <v>14</v>
      </c>
      <c r="F45" s="1067"/>
      <c r="G45" s="1067"/>
      <c r="H45" s="1067"/>
      <c r="I45" s="1067"/>
    </row>
    <row r="46" spans="1:9" x14ac:dyDescent="0.25">
      <c r="A46" s="1067" t="s">
        <v>254</v>
      </c>
      <c r="B46" s="1067" t="s">
        <v>49</v>
      </c>
      <c r="C46" s="1067" t="s">
        <v>293</v>
      </c>
      <c r="D46" s="1067">
        <v>14</v>
      </c>
      <c r="E46" s="1067">
        <v>8</v>
      </c>
      <c r="F46" s="1067">
        <v>3</v>
      </c>
      <c r="G46" s="1067">
        <v>1</v>
      </c>
      <c r="H46" s="1067"/>
      <c r="I46" s="1067">
        <v>2</v>
      </c>
    </row>
    <row r="47" spans="1:9" x14ac:dyDescent="0.25">
      <c r="A47" s="1067" t="s">
        <v>254</v>
      </c>
      <c r="B47" s="1067" t="s">
        <v>50</v>
      </c>
      <c r="C47" s="1067" t="s">
        <v>1078</v>
      </c>
      <c r="D47" s="1067">
        <v>7</v>
      </c>
      <c r="E47" s="1067">
        <v>3</v>
      </c>
      <c r="F47" s="1067"/>
      <c r="G47" s="1067">
        <v>4</v>
      </c>
      <c r="H47" s="1067"/>
      <c r="I47" s="1067"/>
    </row>
    <row r="48" spans="1:9" x14ac:dyDescent="0.25">
      <c r="A48" s="1067" t="s">
        <v>254</v>
      </c>
      <c r="B48" s="1067" t="s">
        <v>51</v>
      </c>
      <c r="C48" s="1067" t="s">
        <v>294</v>
      </c>
      <c r="D48" s="1067">
        <v>12</v>
      </c>
      <c r="E48" s="1067">
        <v>12</v>
      </c>
      <c r="F48" s="1067"/>
      <c r="G48" s="1067"/>
      <c r="H48" s="1067"/>
      <c r="I48" s="1067"/>
    </row>
    <row r="49" spans="1:9" x14ac:dyDescent="0.25">
      <c r="A49" s="1067" t="s">
        <v>254</v>
      </c>
      <c r="B49" s="1067" t="s">
        <v>52</v>
      </c>
      <c r="C49" s="1067" t="s">
        <v>295</v>
      </c>
      <c r="D49" s="1067">
        <v>14</v>
      </c>
      <c r="E49" s="1067">
        <v>10</v>
      </c>
      <c r="F49" s="1067">
        <v>3</v>
      </c>
      <c r="G49" s="1067">
        <v>1</v>
      </c>
      <c r="H49" s="1067"/>
      <c r="I49" s="1067"/>
    </row>
    <row r="50" spans="1:9" x14ac:dyDescent="0.25">
      <c r="A50" s="1067" t="s">
        <v>254</v>
      </c>
      <c r="B50" s="1067" t="s">
        <v>53</v>
      </c>
      <c r="C50" s="1067" t="s">
        <v>305</v>
      </c>
      <c r="D50" s="1067">
        <v>3</v>
      </c>
      <c r="E50" s="1067"/>
      <c r="F50" s="1067"/>
      <c r="G50" s="1067">
        <v>2</v>
      </c>
      <c r="H50" s="1067"/>
      <c r="I50" s="1067">
        <v>1</v>
      </c>
    </row>
    <row r="51" spans="1:9" x14ac:dyDescent="0.25">
      <c r="A51" s="1067" t="s">
        <v>254</v>
      </c>
      <c r="B51" s="1067" t="s">
        <v>54</v>
      </c>
      <c r="C51" s="1067" t="s">
        <v>296</v>
      </c>
      <c r="D51" s="1067">
        <v>13</v>
      </c>
      <c r="E51" s="1067">
        <v>11</v>
      </c>
      <c r="F51" s="1067"/>
      <c r="G51" s="1067"/>
      <c r="H51" s="1067"/>
      <c r="I51" s="1067">
        <v>2</v>
      </c>
    </row>
    <row r="52" spans="1:9" x14ac:dyDescent="0.25">
      <c r="A52" s="1067" t="s">
        <v>254</v>
      </c>
      <c r="B52" s="1067" t="s">
        <v>55</v>
      </c>
      <c r="C52" s="1067" t="s">
        <v>297</v>
      </c>
      <c r="D52" s="1067">
        <v>14</v>
      </c>
      <c r="E52" s="1067">
        <v>14</v>
      </c>
      <c r="F52" s="1067"/>
      <c r="G52" s="1067"/>
      <c r="H52" s="1067"/>
      <c r="I52" s="1067"/>
    </row>
    <row r="53" spans="1:9" x14ac:dyDescent="0.25">
      <c r="A53" s="1067" t="s">
        <v>254</v>
      </c>
      <c r="B53" s="1067" t="s">
        <v>56</v>
      </c>
      <c r="C53" s="1067" t="s">
        <v>298</v>
      </c>
      <c r="D53" s="1067">
        <v>5</v>
      </c>
      <c r="E53" s="1067">
        <v>4</v>
      </c>
      <c r="F53" s="1067"/>
      <c r="G53" s="1067"/>
      <c r="H53" s="1067"/>
      <c r="I53" s="1067">
        <v>1</v>
      </c>
    </row>
    <row r="54" spans="1:9" x14ac:dyDescent="0.25">
      <c r="A54" s="1067" t="s">
        <v>254</v>
      </c>
      <c r="B54" s="1067" t="s">
        <v>57</v>
      </c>
      <c r="C54" s="1067" t="s">
        <v>299</v>
      </c>
      <c r="D54" s="1067">
        <v>12</v>
      </c>
      <c r="E54" s="1067">
        <v>7</v>
      </c>
      <c r="F54" s="1067">
        <v>1</v>
      </c>
      <c r="G54" s="1067">
        <v>3</v>
      </c>
      <c r="H54" s="1067"/>
      <c r="I54" s="1067">
        <v>1</v>
      </c>
    </row>
    <row r="55" spans="1:9" x14ac:dyDescent="0.25">
      <c r="A55" s="1067" t="s">
        <v>254</v>
      </c>
      <c r="B55" s="1067" t="s">
        <v>58</v>
      </c>
      <c r="C55" s="1067" t="s">
        <v>300</v>
      </c>
      <c r="D55" s="1067">
        <v>10</v>
      </c>
      <c r="E55" s="1067">
        <v>9</v>
      </c>
      <c r="F55" s="1067"/>
      <c r="G55" s="1067">
        <v>1</v>
      </c>
      <c r="H55" s="1067"/>
      <c r="I55" s="1067"/>
    </row>
    <row r="56" spans="1:9" x14ac:dyDescent="0.25">
      <c r="A56" s="1067" t="s">
        <v>254</v>
      </c>
      <c r="B56" s="1067" t="s">
        <v>59</v>
      </c>
      <c r="C56" s="1067" t="s">
        <v>306</v>
      </c>
      <c r="D56" s="1067">
        <v>3</v>
      </c>
      <c r="E56" s="1067">
        <v>1</v>
      </c>
      <c r="F56" s="1067"/>
      <c r="G56" s="1067">
        <v>1</v>
      </c>
      <c r="H56" s="1067"/>
      <c r="I56" s="1067">
        <v>1</v>
      </c>
    </row>
    <row r="57" spans="1:9" x14ac:dyDescent="0.25">
      <c r="A57" s="1067" t="s">
        <v>254</v>
      </c>
      <c r="B57" s="1067" t="s">
        <v>60</v>
      </c>
      <c r="C57" s="1067" t="s">
        <v>307</v>
      </c>
      <c r="D57" s="1067">
        <v>6</v>
      </c>
      <c r="E57" s="1067">
        <v>4</v>
      </c>
      <c r="F57" s="1067"/>
      <c r="G57" s="1067"/>
      <c r="H57" s="1067">
        <v>1</v>
      </c>
      <c r="I57" s="1067">
        <v>1</v>
      </c>
    </row>
    <row r="58" spans="1:9" x14ac:dyDescent="0.25">
      <c r="A58" s="1067" t="s">
        <v>851</v>
      </c>
      <c r="B58" s="1067" t="s">
        <v>31</v>
      </c>
      <c r="C58" s="1067" t="s">
        <v>301</v>
      </c>
      <c r="D58" s="1067">
        <v>4</v>
      </c>
      <c r="E58" s="1067">
        <v>1</v>
      </c>
      <c r="F58" s="1067"/>
      <c r="G58" s="1067">
        <v>3</v>
      </c>
      <c r="H58" s="1067"/>
      <c r="I58" s="1067"/>
    </row>
    <row r="59" spans="1:9" x14ac:dyDescent="0.25">
      <c r="A59" s="1067" t="s">
        <v>851</v>
      </c>
      <c r="B59" s="1067" t="s">
        <v>32</v>
      </c>
      <c r="C59" s="1067" t="s">
        <v>302</v>
      </c>
      <c r="D59" s="1067">
        <v>24</v>
      </c>
      <c r="E59" s="1067">
        <v>23</v>
      </c>
      <c r="F59" s="1067"/>
      <c r="G59" s="1067"/>
      <c r="H59" s="1067"/>
      <c r="I59" s="1067">
        <v>1</v>
      </c>
    </row>
    <row r="60" spans="1:9" x14ac:dyDescent="0.25">
      <c r="A60" s="1067" t="s">
        <v>851</v>
      </c>
      <c r="B60" s="1067" t="s">
        <v>33</v>
      </c>
      <c r="C60" s="1067" t="s">
        <v>308</v>
      </c>
      <c r="D60" s="1067">
        <v>6</v>
      </c>
      <c r="E60" s="1067">
        <v>5</v>
      </c>
      <c r="F60" s="1067"/>
      <c r="G60" s="1067"/>
      <c r="H60" s="1067"/>
      <c r="I60" s="1067">
        <v>1</v>
      </c>
    </row>
    <row r="61" spans="1:9" x14ac:dyDescent="0.25">
      <c r="A61" s="1067" t="s">
        <v>851</v>
      </c>
      <c r="B61" s="1067" t="s">
        <v>34</v>
      </c>
      <c r="C61" s="1067" t="s">
        <v>303</v>
      </c>
      <c r="D61" s="1067">
        <v>39</v>
      </c>
      <c r="E61" s="1067">
        <v>12</v>
      </c>
      <c r="F61" s="1067">
        <v>25</v>
      </c>
      <c r="G61" s="1067"/>
      <c r="H61" s="1067"/>
      <c r="I61" s="1067">
        <v>2</v>
      </c>
    </row>
    <row r="62" spans="1:9" x14ac:dyDescent="0.25">
      <c r="A62" s="1067" t="s">
        <v>851</v>
      </c>
      <c r="B62" s="1067" t="s">
        <v>258</v>
      </c>
      <c r="C62" s="1067" t="s">
        <v>304</v>
      </c>
      <c r="D62" s="1067">
        <v>8</v>
      </c>
      <c r="E62" s="1067">
        <v>1</v>
      </c>
      <c r="F62" s="1067"/>
      <c r="G62" s="1067">
        <v>7</v>
      </c>
      <c r="H62" s="1067"/>
      <c r="I62" s="1067"/>
    </row>
    <row r="63" spans="1:9" x14ac:dyDescent="0.25">
      <c r="A63" s="1067" t="s">
        <v>851</v>
      </c>
      <c r="B63" s="1067" t="s">
        <v>35</v>
      </c>
      <c r="C63" s="1067" t="s">
        <v>282</v>
      </c>
      <c r="D63" s="1067">
        <v>2</v>
      </c>
      <c r="E63" s="1067">
        <v>1</v>
      </c>
      <c r="F63" s="1067"/>
      <c r="G63" s="1067"/>
      <c r="H63" s="1067"/>
      <c r="I63" s="1067">
        <v>1</v>
      </c>
    </row>
    <row r="64" spans="1:9" x14ac:dyDescent="0.25">
      <c r="A64" s="1067" t="s">
        <v>851</v>
      </c>
      <c r="B64" s="1067" t="s">
        <v>36</v>
      </c>
      <c r="C64" s="1067" t="s">
        <v>283</v>
      </c>
      <c r="D64" s="1067">
        <v>17</v>
      </c>
      <c r="E64" s="1067">
        <v>15</v>
      </c>
      <c r="F64" s="1067">
        <v>1</v>
      </c>
      <c r="G64" s="1067"/>
      <c r="H64" s="1067"/>
      <c r="I64" s="1067">
        <v>1</v>
      </c>
    </row>
    <row r="65" spans="1:9" x14ac:dyDescent="0.25">
      <c r="A65" s="1067" t="s">
        <v>851</v>
      </c>
      <c r="B65" s="1067" t="s">
        <v>37</v>
      </c>
      <c r="C65" s="1067" t="s">
        <v>309</v>
      </c>
      <c r="D65" s="1067">
        <v>4</v>
      </c>
      <c r="E65" s="1067"/>
      <c r="F65" s="1067"/>
      <c r="G65" s="1067">
        <v>3</v>
      </c>
      <c r="H65" s="1067"/>
      <c r="I65" s="1067">
        <v>1</v>
      </c>
    </row>
    <row r="66" spans="1:9" x14ac:dyDescent="0.25">
      <c r="A66" s="1067" t="s">
        <v>851</v>
      </c>
      <c r="B66" s="1067" t="s">
        <v>38</v>
      </c>
      <c r="C66" s="1067" t="s">
        <v>284</v>
      </c>
      <c r="D66" s="1067">
        <v>8</v>
      </c>
      <c r="E66" s="1067">
        <v>7</v>
      </c>
      <c r="F66" s="1067"/>
      <c r="G66" s="1067">
        <v>1</v>
      </c>
      <c r="H66" s="1067"/>
      <c r="I66" s="1067"/>
    </row>
    <row r="67" spans="1:9" x14ac:dyDescent="0.25">
      <c r="A67" s="1067" t="s">
        <v>851</v>
      </c>
      <c r="B67" s="1067" t="s">
        <v>39</v>
      </c>
      <c r="C67" s="1067" t="s">
        <v>311</v>
      </c>
      <c r="D67" s="1067">
        <v>3</v>
      </c>
      <c r="E67" s="1067"/>
      <c r="F67" s="1067"/>
      <c r="G67" s="1067">
        <v>3</v>
      </c>
      <c r="H67" s="1067"/>
      <c r="I67" s="1067"/>
    </row>
    <row r="68" spans="1:9" x14ac:dyDescent="0.25">
      <c r="A68" s="1067" t="s">
        <v>851</v>
      </c>
      <c r="B68" s="1067" t="s">
        <v>40</v>
      </c>
      <c r="C68" s="1067" t="s">
        <v>285</v>
      </c>
      <c r="D68" s="1067">
        <v>6</v>
      </c>
      <c r="E68" s="1067">
        <v>5</v>
      </c>
      <c r="F68" s="1067"/>
      <c r="G68" s="1067">
        <v>1</v>
      </c>
      <c r="H68" s="1067"/>
      <c r="I68" s="1067"/>
    </row>
    <row r="69" spans="1:9" x14ac:dyDescent="0.25">
      <c r="A69" s="1067" t="s">
        <v>851</v>
      </c>
      <c r="B69" s="1067" t="s">
        <v>41</v>
      </c>
      <c r="C69" s="1067" t="s">
        <v>286</v>
      </c>
      <c r="D69" s="1067">
        <v>2</v>
      </c>
      <c r="E69" s="1067"/>
      <c r="F69" s="1067"/>
      <c r="G69" s="1067">
        <v>2</v>
      </c>
      <c r="H69" s="1067"/>
      <c r="I69" s="1067"/>
    </row>
    <row r="70" spans="1:9" x14ac:dyDescent="0.25">
      <c r="A70" s="1067" t="s">
        <v>851</v>
      </c>
      <c r="B70" s="1067" t="s">
        <v>42</v>
      </c>
      <c r="C70" s="1067" t="s">
        <v>288</v>
      </c>
      <c r="D70" s="1067">
        <v>5</v>
      </c>
      <c r="E70" s="1067">
        <v>2</v>
      </c>
      <c r="F70" s="1067"/>
      <c r="G70" s="1067"/>
      <c r="H70" s="1067"/>
      <c r="I70" s="1067">
        <v>3</v>
      </c>
    </row>
    <row r="71" spans="1:9" x14ac:dyDescent="0.25">
      <c r="A71" s="1067" t="s">
        <v>851</v>
      </c>
      <c r="B71" s="1067" t="s">
        <v>43</v>
      </c>
      <c r="C71" s="1067" t="s">
        <v>313</v>
      </c>
      <c r="D71" s="1067">
        <v>13</v>
      </c>
      <c r="E71" s="1067">
        <v>8</v>
      </c>
      <c r="F71" s="1067"/>
      <c r="G71" s="1067">
        <v>5</v>
      </c>
      <c r="H71" s="1067"/>
      <c r="I71" s="1067"/>
    </row>
    <row r="72" spans="1:9" x14ac:dyDescent="0.25">
      <c r="A72" s="1067" t="s">
        <v>851</v>
      </c>
      <c r="B72" s="1067" t="s">
        <v>121</v>
      </c>
      <c r="C72" s="1067" t="s">
        <v>1076</v>
      </c>
      <c r="D72" s="1067">
        <v>11</v>
      </c>
      <c r="E72" s="1067"/>
      <c r="F72" s="1067"/>
      <c r="G72" s="1067">
        <v>11</v>
      </c>
      <c r="H72" s="1067"/>
      <c r="I72" s="1067"/>
    </row>
    <row r="73" spans="1:9" x14ac:dyDescent="0.25">
      <c r="A73" s="1067" t="s">
        <v>851</v>
      </c>
      <c r="B73" s="1067" t="s">
        <v>44</v>
      </c>
      <c r="C73" s="1067" t="s">
        <v>289</v>
      </c>
      <c r="D73" s="1067">
        <v>61</v>
      </c>
      <c r="E73" s="1067">
        <v>51</v>
      </c>
      <c r="F73" s="1067">
        <v>9</v>
      </c>
      <c r="G73" s="1067"/>
      <c r="H73" s="1067"/>
      <c r="I73" s="1067">
        <v>1</v>
      </c>
    </row>
    <row r="74" spans="1:9" x14ac:dyDescent="0.25">
      <c r="A74" s="1067" t="s">
        <v>851</v>
      </c>
      <c r="B74" s="1067" t="s">
        <v>45</v>
      </c>
      <c r="C74" s="1067" t="s">
        <v>290</v>
      </c>
      <c r="D74" s="1067">
        <v>3</v>
      </c>
      <c r="E74" s="1067">
        <v>1</v>
      </c>
      <c r="F74" s="1067"/>
      <c r="G74" s="1067"/>
      <c r="H74" s="1067"/>
      <c r="I74" s="1067">
        <v>2</v>
      </c>
    </row>
    <row r="75" spans="1:9" x14ac:dyDescent="0.25">
      <c r="A75" s="1067" t="s">
        <v>851</v>
      </c>
      <c r="B75" s="1067" t="s">
        <v>46</v>
      </c>
      <c r="C75" s="1067" t="s">
        <v>291</v>
      </c>
      <c r="D75" s="1067">
        <v>2</v>
      </c>
      <c r="E75" s="1067">
        <v>1</v>
      </c>
      <c r="F75" s="1067"/>
      <c r="G75" s="1067">
        <v>1</v>
      </c>
      <c r="H75" s="1067"/>
      <c r="I75" s="1067"/>
    </row>
    <row r="76" spans="1:9" x14ac:dyDescent="0.25">
      <c r="A76" s="1067" t="s">
        <v>851</v>
      </c>
      <c r="B76" s="1067" t="s">
        <v>47</v>
      </c>
      <c r="C76" s="1067" t="s">
        <v>292</v>
      </c>
      <c r="D76" s="1067">
        <v>12</v>
      </c>
      <c r="E76" s="1067">
        <v>10</v>
      </c>
      <c r="F76" s="1067">
        <v>1</v>
      </c>
      <c r="G76" s="1067"/>
      <c r="H76" s="1067"/>
      <c r="I76" s="1067">
        <v>1</v>
      </c>
    </row>
    <row r="77" spans="1:9" x14ac:dyDescent="0.25">
      <c r="A77" s="1067" t="s">
        <v>851</v>
      </c>
      <c r="B77" s="1067" t="s">
        <v>48</v>
      </c>
      <c r="C77" s="1067" t="s">
        <v>287</v>
      </c>
      <c r="D77" s="1067">
        <v>14</v>
      </c>
      <c r="E77" s="1067">
        <v>14</v>
      </c>
      <c r="F77" s="1067"/>
      <c r="G77" s="1067"/>
      <c r="H77" s="1067"/>
      <c r="I77" s="1067"/>
    </row>
    <row r="78" spans="1:9" x14ac:dyDescent="0.25">
      <c r="A78" s="1067" t="s">
        <v>851</v>
      </c>
      <c r="B78" s="1067" t="s">
        <v>49</v>
      </c>
      <c r="C78" s="1067" t="s">
        <v>293</v>
      </c>
      <c r="D78" s="1067">
        <v>14</v>
      </c>
      <c r="E78" s="1067">
        <v>8</v>
      </c>
      <c r="F78" s="1067">
        <v>3</v>
      </c>
      <c r="G78" s="1067">
        <v>1</v>
      </c>
      <c r="H78" s="1067"/>
      <c r="I78" s="1067">
        <v>2</v>
      </c>
    </row>
    <row r="79" spans="1:9" x14ac:dyDescent="0.25">
      <c r="A79" s="1067" t="s">
        <v>851</v>
      </c>
      <c r="B79" s="1067" t="s">
        <v>50</v>
      </c>
      <c r="C79" s="1067" t="s">
        <v>1078</v>
      </c>
      <c r="D79" s="1067">
        <v>7</v>
      </c>
      <c r="E79" s="1067">
        <v>3</v>
      </c>
      <c r="F79" s="1067"/>
      <c r="G79" s="1067">
        <v>4</v>
      </c>
      <c r="H79" s="1067"/>
      <c r="I79" s="1067"/>
    </row>
    <row r="80" spans="1:9" x14ac:dyDescent="0.25">
      <c r="A80" s="1067" t="s">
        <v>851</v>
      </c>
      <c r="B80" s="1067" t="s">
        <v>51</v>
      </c>
      <c r="C80" s="1067" t="s">
        <v>294</v>
      </c>
      <c r="D80" s="1067">
        <v>12</v>
      </c>
      <c r="E80" s="1067">
        <v>12</v>
      </c>
      <c r="F80" s="1067"/>
      <c r="G80" s="1067"/>
      <c r="H80" s="1067"/>
      <c r="I80" s="1067"/>
    </row>
    <row r="81" spans="1:9" x14ac:dyDescent="0.25">
      <c r="A81" s="1067" t="s">
        <v>851</v>
      </c>
      <c r="B81" s="1067" t="s">
        <v>52</v>
      </c>
      <c r="C81" s="1067" t="s">
        <v>295</v>
      </c>
      <c r="D81" s="1067">
        <v>14</v>
      </c>
      <c r="E81" s="1067">
        <v>10</v>
      </c>
      <c r="F81" s="1067">
        <v>3</v>
      </c>
      <c r="G81" s="1067">
        <v>1</v>
      </c>
      <c r="H81" s="1067"/>
      <c r="I81" s="1067"/>
    </row>
    <row r="82" spans="1:9" x14ac:dyDescent="0.25">
      <c r="A82" s="1067" t="s">
        <v>851</v>
      </c>
      <c r="B82" s="1067" t="s">
        <v>53</v>
      </c>
      <c r="C82" s="1067" t="s">
        <v>305</v>
      </c>
      <c r="D82" s="1067">
        <v>3</v>
      </c>
      <c r="E82" s="1067"/>
      <c r="F82" s="1067"/>
      <c r="G82" s="1067">
        <v>2</v>
      </c>
      <c r="H82" s="1067"/>
      <c r="I82" s="1067">
        <v>1</v>
      </c>
    </row>
    <row r="83" spans="1:9" x14ac:dyDescent="0.25">
      <c r="A83" s="1067" t="s">
        <v>851</v>
      </c>
      <c r="B83" s="1067" t="s">
        <v>54</v>
      </c>
      <c r="C83" s="1067" t="s">
        <v>296</v>
      </c>
      <c r="D83" s="1067">
        <v>13</v>
      </c>
      <c r="E83" s="1067">
        <v>11</v>
      </c>
      <c r="F83" s="1067"/>
      <c r="G83" s="1067"/>
      <c r="H83" s="1067"/>
      <c r="I83" s="1067">
        <v>2</v>
      </c>
    </row>
    <row r="84" spans="1:9" x14ac:dyDescent="0.25">
      <c r="A84" s="1067" t="s">
        <v>851</v>
      </c>
      <c r="B84" s="1067" t="s">
        <v>55</v>
      </c>
      <c r="C84" s="1067" t="s">
        <v>297</v>
      </c>
      <c r="D84" s="1067">
        <v>14</v>
      </c>
      <c r="E84" s="1067">
        <v>14</v>
      </c>
      <c r="F84" s="1067"/>
      <c r="G84" s="1067"/>
      <c r="H84" s="1067"/>
      <c r="I84" s="1067"/>
    </row>
    <row r="85" spans="1:9" x14ac:dyDescent="0.25">
      <c r="A85" s="1067" t="s">
        <v>851</v>
      </c>
      <c r="B85" s="1067" t="s">
        <v>56</v>
      </c>
      <c r="C85" s="1067" t="s">
        <v>298</v>
      </c>
      <c r="D85" s="1067">
        <v>5</v>
      </c>
      <c r="E85" s="1067">
        <v>4</v>
      </c>
      <c r="F85" s="1067"/>
      <c r="G85" s="1067"/>
      <c r="H85" s="1067"/>
      <c r="I85" s="1067">
        <v>1</v>
      </c>
    </row>
    <row r="86" spans="1:9" x14ac:dyDescent="0.25">
      <c r="A86" s="1067" t="s">
        <v>851</v>
      </c>
      <c r="B86" s="1067" t="s">
        <v>57</v>
      </c>
      <c r="C86" s="1067" t="s">
        <v>299</v>
      </c>
      <c r="D86" s="1067">
        <v>12</v>
      </c>
      <c r="E86" s="1067">
        <v>7</v>
      </c>
      <c r="F86" s="1067">
        <v>1</v>
      </c>
      <c r="G86" s="1067">
        <v>3</v>
      </c>
      <c r="H86" s="1067"/>
      <c r="I86" s="1067">
        <v>1</v>
      </c>
    </row>
    <row r="87" spans="1:9" x14ac:dyDescent="0.25">
      <c r="A87" s="1067" t="s">
        <v>851</v>
      </c>
      <c r="B87" s="1067" t="s">
        <v>58</v>
      </c>
      <c r="C87" s="1067" t="s">
        <v>300</v>
      </c>
      <c r="D87" s="1067">
        <v>10</v>
      </c>
      <c r="E87" s="1067">
        <v>9</v>
      </c>
      <c r="F87" s="1067"/>
      <c r="G87" s="1067">
        <v>1</v>
      </c>
      <c r="H87" s="1067"/>
      <c r="I87" s="1067"/>
    </row>
    <row r="88" spans="1:9" x14ac:dyDescent="0.25">
      <c r="A88" s="1067" t="s">
        <v>851</v>
      </c>
      <c r="B88" s="1067" t="s">
        <v>59</v>
      </c>
      <c r="C88" s="1067" t="s">
        <v>306</v>
      </c>
      <c r="D88" s="1067">
        <v>3</v>
      </c>
      <c r="E88" s="1067">
        <v>1</v>
      </c>
      <c r="F88" s="1067"/>
      <c r="G88" s="1067">
        <v>1</v>
      </c>
      <c r="H88" s="1067"/>
      <c r="I88" s="1067">
        <v>1</v>
      </c>
    </row>
    <row r="89" spans="1:9" x14ac:dyDescent="0.25">
      <c r="A89" s="1067" t="s">
        <v>851</v>
      </c>
      <c r="B89" s="1067" t="s">
        <v>60</v>
      </c>
      <c r="C89" s="1067" t="s">
        <v>307</v>
      </c>
      <c r="D89" s="1067">
        <v>6</v>
      </c>
      <c r="E89" s="1067">
        <v>4</v>
      </c>
      <c r="F89" s="1067"/>
      <c r="G89" s="1067"/>
      <c r="H89" s="1067">
        <v>1</v>
      </c>
      <c r="I89" s="1067">
        <v>1</v>
      </c>
    </row>
  </sheetData>
  <sheetProtection algorithmName="SHA-512" hashValue="H//QSHNsRHzNLT6N2H7lZfAfK0ecza5V637p4UQL8BUqJeIpMBzBn+2gFR0lOMvGGr/19DcF6BNy2ozskibSuw==" saltValue="UIuZtQr8cSkSldp6WnKbVw==" spinCount="100000" sheet="1" scenarios="1" formatCells="0" formatColumns="0" formatRows="0" sort="0" autoFilter="0" pivotTables="0"/>
  <pageMargins left="0.7" right="0.7" top="0.75" bottom="0.75" header="0.3" footer="0.3"/>
  <pageSetup paperSize="9" fitToHeight="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6"/>
  <sheetViews>
    <sheetView showGridLines="0" workbookViewId="0">
      <pane ySplit="2" topLeftCell="A3" activePane="bottomLeft" state="frozen"/>
      <selection pane="bottomLeft" sqref="A1:C1"/>
    </sheetView>
  </sheetViews>
  <sheetFormatPr defaultRowHeight="15" x14ac:dyDescent="0.25"/>
  <sheetData>
    <row r="1" spans="1:8" ht="15.75" x14ac:dyDescent="0.25">
      <c r="A1" s="1077" t="s">
        <v>590</v>
      </c>
      <c r="B1" s="1077"/>
      <c r="C1" s="1077"/>
    </row>
    <row r="2" spans="1:8" ht="15.75" x14ac:dyDescent="0.25">
      <c r="A2" s="772" t="s">
        <v>578</v>
      </c>
      <c r="B2" s="774"/>
      <c r="C2" s="774"/>
    </row>
    <row r="4" spans="1:8" ht="15.75" x14ac:dyDescent="0.25">
      <c r="A4" s="1087" t="s">
        <v>594</v>
      </c>
      <c r="B4" s="1087"/>
      <c r="C4" s="1087"/>
      <c r="D4" s="1087"/>
      <c r="E4" s="1087"/>
      <c r="F4" s="1087"/>
      <c r="G4" s="1087"/>
      <c r="H4" s="1087"/>
    </row>
    <row r="5" spans="1:8" x14ac:dyDescent="0.25">
      <c r="A5" s="944" t="s">
        <v>798</v>
      </c>
    </row>
    <row r="6" spans="1:8" x14ac:dyDescent="0.25">
      <c r="A6" s="944" t="s">
        <v>716</v>
      </c>
    </row>
  </sheetData>
  <sheetProtection algorithmName="SHA-512" hashValue="UQEauGpLZiiLUocc0mQhDh5pG2z63ZryXkWEVjSFEnp0VKE5M9387A4qEMXSbqVux00uWXnyZAe6zDYfFO9hCQ==" saltValue="Kez8QU9D2Sy1UPRTbEJDSA=="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H14"/>
  <sheetViews>
    <sheetView zoomScale="85" zoomScaleNormal="85" workbookViewId="0">
      <pane ySplit="4" topLeftCell="A5" activePane="bottomLeft" state="frozen"/>
      <selection pane="bottomLeft"/>
    </sheetView>
  </sheetViews>
  <sheetFormatPr defaultRowHeight="15" x14ac:dyDescent="0.25"/>
  <sheetData>
    <row r="4" spans="1:8" x14ac:dyDescent="0.25">
      <c r="A4" s="1066" t="s">
        <v>1242</v>
      </c>
      <c r="B4" s="1066" t="s">
        <v>465</v>
      </c>
      <c r="C4" s="1066" t="s">
        <v>245</v>
      </c>
      <c r="D4" s="1066" t="s">
        <v>1243</v>
      </c>
      <c r="E4" s="1066" t="s">
        <v>1244</v>
      </c>
      <c r="F4" s="1066" t="s">
        <v>1245</v>
      </c>
      <c r="G4" s="1066" t="s">
        <v>1246</v>
      </c>
      <c r="H4" s="1066" t="s">
        <v>26</v>
      </c>
    </row>
    <row r="5" spans="1:8" x14ac:dyDescent="0.25">
      <c r="A5" s="1067" t="s">
        <v>343</v>
      </c>
      <c r="B5" s="1067" t="s">
        <v>213</v>
      </c>
      <c r="C5" s="1067" t="s">
        <v>325</v>
      </c>
      <c r="D5" s="1067">
        <v>0</v>
      </c>
      <c r="E5" s="1067">
        <v>0</v>
      </c>
      <c r="F5" s="1067">
        <v>0</v>
      </c>
      <c r="G5" s="1067">
        <v>1</v>
      </c>
      <c r="H5" s="1067">
        <v>1</v>
      </c>
    </row>
    <row r="6" spans="1:8" x14ac:dyDescent="0.25">
      <c r="A6" s="1067" t="s">
        <v>343</v>
      </c>
      <c r="B6" s="1067" t="s">
        <v>213</v>
      </c>
      <c r="C6" s="1067" t="s">
        <v>205</v>
      </c>
      <c r="D6" s="1067">
        <v>1</v>
      </c>
      <c r="E6" s="1067">
        <v>3</v>
      </c>
      <c r="F6" s="1067">
        <v>0</v>
      </c>
      <c r="G6" s="1067">
        <v>0</v>
      </c>
      <c r="H6" s="1067">
        <v>4</v>
      </c>
    </row>
    <row r="7" spans="1:8" x14ac:dyDescent="0.25">
      <c r="A7" s="1067" t="s">
        <v>343</v>
      </c>
      <c r="B7" s="1067" t="s">
        <v>213</v>
      </c>
      <c r="C7" s="1067" t="s">
        <v>204</v>
      </c>
      <c r="D7" s="1067">
        <v>1</v>
      </c>
      <c r="E7" s="1067">
        <v>1</v>
      </c>
      <c r="F7" s="1067">
        <v>0</v>
      </c>
      <c r="G7" s="1067">
        <v>0</v>
      </c>
      <c r="H7" s="1067">
        <v>2</v>
      </c>
    </row>
    <row r="8" spans="1:8" x14ac:dyDescent="0.25">
      <c r="A8" s="1067" t="s">
        <v>343</v>
      </c>
      <c r="B8" s="1067" t="s">
        <v>213</v>
      </c>
      <c r="C8" s="1067" t="s">
        <v>203</v>
      </c>
      <c r="D8" s="1067">
        <v>1</v>
      </c>
      <c r="E8" s="1067">
        <v>1</v>
      </c>
      <c r="F8" s="1067">
        <v>1</v>
      </c>
      <c r="G8" s="1067">
        <v>2</v>
      </c>
      <c r="H8" s="1067">
        <v>5</v>
      </c>
    </row>
    <row r="9" spans="1:8" x14ac:dyDescent="0.25">
      <c r="A9" s="1067" t="s">
        <v>343</v>
      </c>
      <c r="B9" s="1067" t="s">
        <v>213</v>
      </c>
      <c r="C9" s="1067" t="s">
        <v>202</v>
      </c>
      <c r="D9" s="1067"/>
      <c r="E9" s="1067">
        <v>2</v>
      </c>
      <c r="F9" s="1067"/>
      <c r="G9" s="1067"/>
      <c r="H9" s="1067">
        <v>2</v>
      </c>
    </row>
    <row r="10" spans="1:8" x14ac:dyDescent="0.25">
      <c r="A10" s="1067" t="s">
        <v>343</v>
      </c>
      <c r="B10" s="1067" t="s">
        <v>213</v>
      </c>
      <c r="C10" s="1067" t="s">
        <v>273</v>
      </c>
      <c r="D10" s="1067">
        <v>2</v>
      </c>
      <c r="E10" s="1067">
        <v>3</v>
      </c>
      <c r="F10" s="1067"/>
      <c r="G10" s="1067"/>
      <c r="H10" s="1067">
        <v>5</v>
      </c>
    </row>
    <row r="11" spans="1:8" x14ac:dyDescent="0.25">
      <c r="A11" s="1067" t="s">
        <v>343</v>
      </c>
      <c r="B11" s="1067" t="s">
        <v>213</v>
      </c>
      <c r="C11" s="1067" t="s">
        <v>255</v>
      </c>
      <c r="D11" s="1067">
        <v>3</v>
      </c>
      <c r="E11" s="1067">
        <v>4</v>
      </c>
      <c r="F11" s="1067"/>
      <c r="G11" s="1067"/>
      <c r="H11" s="1067">
        <v>7</v>
      </c>
    </row>
    <row r="12" spans="1:8" x14ac:dyDescent="0.25">
      <c r="A12" s="1067" t="s">
        <v>343</v>
      </c>
      <c r="B12" s="1067" t="s">
        <v>197</v>
      </c>
      <c r="C12" s="1067" t="s">
        <v>254</v>
      </c>
      <c r="D12" s="1067"/>
      <c r="E12" s="1067">
        <v>2</v>
      </c>
      <c r="F12" s="1067"/>
      <c r="G12" s="1067"/>
      <c r="H12" s="1067">
        <v>2</v>
      </c>
    </row>
    <row r="13" spans="1:8" x14ac:dyDescent="0.25">
      <c r="A13" s="1067" t="s">
        <v>343</v>
      </c>
      <c r="B13" s="1067" t="s">
        <v>213</v>
      </c>
      <c r="C13" s="1067" t="s">
        <v>254</v>
      </c>
      <c r="D13" s="1067">
        <v>1</v>
      </c>
      <c r="E13" s="1067"/>
      <c r="F13" s="1067"/>
      <c r="G13" s="1067"/>
      <c r="H13" s="1067">
        <v>1</v>
      </c>
    </row>
    <row r="14" spans="1:8" x14ac:dyDescent="0.25">
      <c r="A14" s="1067" t="s">
        <v>343</v>
      </c>
      <c r="B14" s="1067" t="s">
        <v>213</v>
      </c>
      <c r="C14" s="1067" t="s">
        <v>851</v>
      </c>
      <c r="D14" s="1067"/>
      <c r="E14" s="1067">
        <v>2</v>
      </c>
      <c r="F14" s="1067"/>
      <c r="G14" s="1067"/>
      <c r="H14" s="1067">
        <v>2</v>
      </c>
    </row>
  </sheetData>
  <sheetProtection algorithmName="SHA-512" hashValue="oBjcAJFcm80snQY0Jf+pW+IN8LvGE3/QynKBZQgMMpAanb3lMgGErp1qW3LH23rOL1h21nopqiVJksWOxaLY6Q==" saltValue="wkqtrI4U7euticPVsQ1vJA==" spinCount="100000" sheet="1" scenarios="1" formatCells="0" formatColumns="0" formatRows="0" sort="0" autoFilter="0" pivotTables="0"/>
  <pageMargins left="0.7" right="0.7" top="0.75" bottom="0.75" header="0.3" footer="0.3"/>
  <pageSetup paperSize="9" fitToHeight="50"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5:A26"/>
  <sheetViews>
    <sheetView zoomScale="85" zoomScaleNormal="85" workbookViewId="0">
      <pane ySplit="25" topLeftCell="A26" activePane="bottomLeft" state="frozen"/>
      <selection pane="bottomLeft"/>
    </sheetView>
  </sheetViews>
  <sheetFormatPr defaultRowHeight="15" x14ac:dyDescent="0.25"/>
  <sheetData>
    <row r="25" spans="1:1" x14ac:dyDescent="0.25">
      <c r="A25" s="1066" t="s">
        <v>1247</v>
      </c>
    </row>
    <row r="26" spans="1:1" x14ac:dyDescent="0.25">
      <c r="A26" s="1067"/>
    </row>
  </sheetData>
  <sheetProtection algorithmName="SHA-512" hashValue="e7IRf8xPaqrOTKUbwzJ+1ESJBUeFg4+Go/TDzMYyOSV3tAIdLWAVkfDl16Vk5lfBegt9doH9rp997esEk7xcIA==" saltValue="Jeizmxj9XX3VneUY2xOtNA==" spinCount="100000" sheet="1" scenarios="1" formatCells="0" formatColumns="0" formatRows="0" sort="0" autoFilter="0" pivotTables="0"/>
  <pageMargins left="0.7" right="0.7" top="0.75" bottom="0.75" header="0.3" footer="0.3"/>
  <pageSetup paperSize="9" fitToHeight="50"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D153"/>
  <sheetViews>
    <sheetView zoomScale="85" zoomScaleNormal="85" workbookViewId="0">
      <pane ySplit="4" topLeftCell="A57" activePane="bottomLeft" state="frozen"/>
      <selection pane="bottomLeft"/>
    </sheetView>
  </sheetViews>
  <sheetFormatPr defaultRowHeight="15" x14ac:dyDescent="0.25"/>
  <sheetData>
    <row r="4" spans="1:4" x14ac:dyDescent="0.25">
      <c r="A4" s="1066" t="s">
        <v>245</v>
      </c>
      <c r="B4" s="1066" t="s">
        <v>705</v>
      </c>
      <c r="C4" s="1066" t="s">
        <v>462</v>
      </c>
      <c r="D4" s="1066" t="s">
        <v>255</v>
      </c>
    </row>
    <row r="5" spans="1:4" x14ac:dyDescent="0.25">
      <c r="A5" s="1067" t="s">
        <v>273</v>
      </c>
      <c r="B5" s="1067" t="s">
        <v>464</v>
      </c>
      <c r="C5" s="1067" t="s">
        <v>197</v>
      </c>
      <c r="D5" s="1067">
        <v>777</v>
      </c>
    </row>
    <row r="6" spans="1:4" x14ac:dyDescent="0.25">
      <c r="A6" s="1067" t="s">
        <v>273</v>
      </c>
      <c r="B6" s="1067" t="s">
        <v>464</v>
      </c>
      <c r="C6" s="1067" t="s">
        <v>215</v>
      </c>
      <c r="D6" s="1067">
        <v>11</v>
      </c>
    </row>
    <row r="7" spans="1:4" x14ac:dyDescent="0.25">
      <c r="A7" s="1067" t="s">
        <v>273</v>
      </c>
      <c r="B7" s="1067" t="s">
        <v>465</v>
      </c>
      <c r="C7" s="1067" t="s">
        <v>189</v>
      </c>
      <c r="D7" s="1067">
        <v>26</v>
      </c>
    </row>
    <row r="8" spans="1:4" x14ac:dyDescent="0.25">
      <c r="A8" s="1067" t="s">
        <v>273</v>
      </c>
      <c r="B8" s="1067" t="s">
        <v>465</v>
      </c>
      <c r="C8" s="1067" t="s">
        <v>190</v>
      </c>
      <c r="D8" s="1067">
        <v>145</v>
      </c>
    </row>
    <row r="9" spans="1:4" x14ac:dyDescent="0.25">
      <c r="A9" s="1067" t="s">
        <v>273</v>
      </c>
      <c r="B9" s="1067" t="s">
        <v>465</v>
      </c>
      <c r="C9" s="1067" t="s">
        <v>122</v>
      </c>
      <c r="D9" s="1067">
        <v>418</v>
      </c>
    </row>
    <row r="10" spans="1:4" x14ac:dyDescent="0.25">
      <c r="A10" s="1067" t="s">
        <v>273</v>
      </c>
      <c r="B10" s="1067" t="s">
        <v>465</v>
      </c>
      <c r="C10" s="1067" t="s">
        <v>191</v>
      </c>
      <c r="D10" s="1067">
        <v>43</v>
      </c>
    </row>
    <row r="11" spans="1:4" x14ac:dyDescent="0.25">
      <c r="A11" s="1067" t="s">
        <v>273</v>
      </c>
      <c r="B11" s="1067" t="s">
        <v>335</v>
      </c>
      <c r="C11" s="1067" t="s">
        <v>189</v>
      </c>
      <c r="D11" s="1067">
        <v>2</v>
      </c>
    </row>
    <row r="12" spans="1:4" x14ac:dyDescent="0.25">
      <c r="A12" s="1067" t="s">
        <v>273</v>
      </c>
      <c r="B12" s="1067" t="s">
        <v>335</v>
      </c>
      <c r="C12" s="1067" t="s">
        <v>190</v>
      </c>
      <c r="D12" s="1067">
        <v>10</v>
      </c>
    </row>
    <row r="13" spans="1:4" x14ac:dyDescent="0.25">
      <c r="A13" s="1067" t="s">
        <v>273</v>
      </c>
      <c r="B13" s="1067" t="s">
        <v>335</v>
      </c>
      <c r="C13" s="1067" t="s">
        <v>122</v>
      </c>
      <c r="D13" s="1067">
        <v>51</v>
      </c>
    </row>
    <row r="14" spans="1:4" x14ac:dyDescent="0.25">
      <c r="A14" s="1067" t="s">
        <v>273</v>
      </c>
      <c r="B14" s="1067" t="s">
        <v>335</v>
      </c>
      <c r="C14" s="1067" t="s">
        <v>191</v>
      </c>
      <c r="D14" s="1067">
        <v>2</v>
      </c>
    </row>
    <row r="15" spans="1:4" x14ac:dyDescent="0.25">
      <c r="A15" s="1067" t="s">
        <v>273</v>
      </c>
      <c r="B15" s="1067" t="s">
        <v>336</v>
      </c>
      <c r="C15" s="1067" t="s">
        <v>190</v>
      </c>
      <c r="D15" s="1067">
        <v>18</v>
      </c>
    </row>
    <row r="16" spans="1:4" x14ac:dyDescent="0.25">
      <c r="A16" s="1067" t="s">
        <v>273</v>
      </c>
      <c r="B16" s="1067" t="s">
        <v>336</v>
      </c>
      <c r="C16" s="1067" t="s">
        <v>122</v>
      </c>
      <c r="D16" s="1067">
        <v>36</v>
      </c>
    </row>
    <row r="17" spans="1:4" x14ac:dyDescent="0.25">
      <c r="A17" s="1067" t="s">
        <v>273</v>
      </c>
      <c r="B17" s="1067" t="s">
        <v>336</v>
      </c>
      <c r="C17" s="1067" t="s">
        <v>191</v>
      </c>
      <c r="D17" s="1067">
        <v>8</v>
      </c>
    </row>
    <row r="18" spans="1:4" x14ac:dyDescent="0.25">
      <c r="A18" s="1067" t="s">
        <v>255</v>
      </c>
      <c r="B18" s="1067" t="s">
        <v>464</v>
      </c>
      <c r="C18" s="1067" t="s">
        <v>197</v>
      </c>
      <c r="D18" s="1067">
        <v>602</v>
      </c>
    </row>
    <row r="19" spans="1:4" x14ac:dyDescent="0.25">
      <c r="A19" s="1067" t="s">
        <v>255</v>
      </c>
      <c r="B19" s="1067" t="s">
        <v>464</v>
      </c>
      <c r="C19" s="1067" t="s">
        <v>215</v>
      </c>
      <c r="D19" s="1067">
        <v>39</v>
      </c>
    </row>
    <row r="20" spans="1:4" x14ac:dyDescent="0.25">
      <c r="A20" s="1067" t="s">
        <v>255</v>
      </c>
      <c r="B20" s="1067" t="s">
        <v>465</v>
      </c>
      <c r="C20" s="1067" t="s">
        <v>189</v>
      </c>
      <c r="D20" s="1067">
        <v>25</v>
      </c>
    </row>
    <row r="21" spans="1:4" x14ac:dyDescent="0.25">
      <c r="A21" s="1067" t="s">
        <v>255</v>
      </c>
      <c r="B21" s="1067" t="s">
        <v>465</v>
      </c>
      <c r="C21" s="1067" t="s">
        <v>215</v>
      </c>
      <c r="D21" s="1067">
        <v>95</v>
      </c>
    </row>
    <row r="22" spans="1:4" x14ac:dyDescent="0.25">
      <c r="A22" s="1067" t="s">
        <v>255</v>
      </c>
      <c r="B22" s="1067" t="s">
        <v>465</v>
      </c>
      <c r="C22" s="1067" t="s">
        <v>190</v>
      </c>
      <c r="D22" s="1067">
        <v>147</v>
      </c>
    </row>
    <row r="23" spans="1:4" x14ac:dyDescent="0.25">
      <c r="A23" s="1067" t="s">
        <v>255</v>
      </c>
      <c r="B23" s="1067" t="s">
        <v>465</v>
      </c>
      <c r="C23" s="1067" t="s">
        <v>122</v>
      </c>
      <c r="D23" s="1067">
        <v>417</v>
      </c>
    </row>
    <row r="24" spans="1:4" x14ac:dyDescent="0.25">
      <c r="A24" s="1067" t="s">
        <v>255</v>
      </c>
      <c r="B24" s="1067" t="s">
        <v>465</v>
      </c>
      <c r="C24" s="1067" t="s">
        <v>191</v>
      </c>
      <c r="D24" s="1067">
        <v>43</v>
      </c>
    </row>
    <row r="25" spans="1:4" x14ac:dyDescent="0.25">
      <c r="A25" s="1067" t="s">
        <v>255</v>
      </c>
      <c r="B25" s="1067" t="s">
        <v>335</v>
      </c>
      <c r="C25" s="1067" t="s">
        <v>189</v>
      </c>
      <c r="D25" s="1067">
        <v>3</v>
      </c>
    </row>
    <row r="26" spans="1:4" x14ac:dyDescent="0.25">
      <c r="A26" s="1067" t="s">
        <v>255</v>
      </c>
      <c r="B26" s="1067" t="s">
        <v>335</v>
      </c>
      <c r="C26" s="1067" t="s">
        <v>190</v>
      </c>
      <c r="D26" s="1067">
        <v>11</v>
      </c>
    </row>
    <row r="27" spans="1:4" x14ac:dyDescent="0.25">
      <c r="A27" s="1067" t="s">
        <v>255</v>
      </c>
      <c r="B27" s="1067" t="s">
        <v>335</v>
      </c>
      <c r="C27" s="1067" t="s">
        <v>122</v>
      </c>
      <c r="D27" s="1067">
        <v>59</v>
      </c>
    </row>
    <row r="28" spans="1:4" x14ac:dyDescent="0.25">
      <c r="A28" s="1067" t="s">
        <v>255</v>
      </c>
      <c r="B28" s="1067" t="s">
        <v>335</v>
      </c>
      <c r="C28" s="1067" t="s">
        <v>191</v>
      </c>
      <c r="D28" s="1067">
        <v>1</v>
      </c>
    </row>
    <row r="29" spans="1:4" x14ac:dyDescent="0.25">
      <c r="A29" s="1067" t="s">
        <v>255</v>
      </c>
      <c r="B29" s="1067" t="s">
        <v>336</v>
      </c>
      <c r="C29" s="1067" t="s">
        <v>190</v>
      </c>
      <c r="D29" s="1067">
        <v>24</v>
      </c>
    </row>
    <row r="30" spans="1:4" x14ac:dyDescent="0.25">
      <c r="A30" s="1067" t="s">
        <v>255</v>
      </c>
      <c r="B30" s="1067" t="s">
        <v>336</v>
      </c>
      <c r="C30" s="1067" t="s">
        <v>122</v>
      </c>
      <c r="D30" s="1067">
        <v>30</v>
      </c>
    </row>
    <row r="31" spans="1:4" x14ac:dyDescent="0.25">
      <c r="A31" s="1067" t="s">
        <v>255</v>
      </c>
      <c r="B31" s="1067" t="s">
        <v>336</v>
      </c>
      <c r="C31" s="1067" t="s">
        <v>191</v>
      </c>
      <c r="D31" s="1067">
        <v>10</v>
      </c>
    </row>
    <row r="32" spans="1:4" x14ac:dyDescent="0.25">
      <c r="A32" s="1067" t="s">
        <v>254</v>
      </c>
      <c r="B32" s="1067" t="s">
        <v>464</v>
      </c>
      <c r="C32" s="1067" t="s">
        <v>197</v>
      </c>
      <c r="D32" s="1067">
        <v>509</v>
      </c>
    </row>
    <row r="33" spans="1:4" x14ac:dyDescent="0.25">
      <c r="A33" s="1067" t="s">
        <v>254</v>
      </c>
      <c r="B33" s="1067" t="s">
        <v>464</v>
      </c>
      <c r="C33" s="1067" t="s">
        <v>215</v>
      </c>
      <c r="D33" s="1067">
        <v>23</v>
      </c>
    </row>
    <row r="34" spans="1:4" x14ac:dyDescent="0.25">
      <c r="A34" s="1067" t="s">
        <v>254</v>
      </c>
      <c r="B34" s="1067" t="s">
        <v>465</v>
      </c>
      <c r="C34" s="1067" t="s">
        <v>189</v>
      </c>
      <c r="D34" s="1067">
        <v>28</v>
      </c>
    </row>
    <row r="35" spans="1:4" x14ac:dyDescent="0.25">
      <c r="A35" s="1067" t="s">
        <v>254</v>
      </c>
      <c r="B35" s="1067" t="s">
        <v>465</v>
      </c>
      <c r="C35" s="1067" t="s">
        <v>215</v>
      </c>
      <c r="D35" s="1067">
        <v>198</v>
      </c>
    </row>
    <row r="36" spans="1:4" x14ac:dyDescent="0.25">
      <c r="A36" s="1067" t="s">
        <v>254</v>
      </c>
      <c r="B36" s="1067" t="s">
        <v>465</v>
      </c>
      <c r="C36" s="1067" t="s">
        <v>190</v>
      </c>
      <c r="D36" s="1067">
        <v>165</v>
      </c>
    </row>
    <row r="37" spans="1:4" x14ac:dyDescent="0.25">
      <c r="A37" s="1067" t="s">
        <v>254</v>
      </c>
      <c r="B37" s="1067" t="s">
        <v>465</v>
      </c>
      <c r="C37" s="1067" t="s">
        <v>122</v>
      </c>
      <c r="D37" s="1067">
        <v>431</v>
      </c>
    </row>
    <row r="38" spans="1:4" x14ac:dyDescent="0.25">
      <c r="A38" s="1067" t="s">
        <v>254</v>
      </c>
      <c r="B38" s="1067" t="s">
        <v>465</v>
      </c>
      <c r="C38" s="1067" t="s">
        <v>191</v>
      </c>
      <c r="D38" s="1067">
        <v>42</v>
      </c>
    </row>
    <row r="39" spans="1:4" x14ac:dyDescent="0.25">
      <c r="A39" s="1067" t="s">
        <v>254</v>
      </c>
      <c r="B39" s="1067" t="s">
        <v>335</v>
      </c>
      <c r="C39" s="1067" t="s">
        <v>189</v>
      </c>
      <c r="D39" s="1067">
        <v>4</v>
      </c>
    </row>
    <row r="40" spans="1:4" x14ac:dyDescent="0.25">
      <c r="A40" s="1067" t="s">
        <v>254</v>
      </c>
      <c r="B40" s="1067" t="s">
        <v>335</v>
      </c>
      <c r="C40" s="1067" t="s">
        <v>190</v>
      </c>
      <c r="D40" s="1067">
        <v>16</v>
      </c>
    </row>
    <row r="41" spans="1:4" x14ac:dyDescent="0.25">
      <c r="A41" s="1067" t="s">
        <v>254</v>
      </c>
      <c r="B41" s="1067" t="s">
        <v>335</v>
      </c>
      <c r="C41" s="1067" t="s">
        <v>122</v>
      </c>
      <c r="D41" s="1067">
        <v>69</v>
      </c>
    </row>
    <row r="42" spans="1:4" x14ac:dyDescent="0.25">
      <c r="A42" s="1067" t="s">
        <v>254</v>
      </c>
      <c r="B42" s="1067" t="s">
        <v>335</v>
      </c>
      <c r="C42" s="1067" t="s">
        <v>191</v>
      </c>
      <c r="D42" s="1067">
        <v>1</v>
      </c>
    </row>
    <row r="43" spans="1:4" x14ac:dyDescent="0.25">
      <c r="A43" s="1067" t="s">
        <v>254</v>
      </c>
      <c r="B43" s="1067" t="s">
        <v>336</v>
      </c>
      <c r="C43" s="1067" t="s">
        <v>190</v>
      </c>
      <c r="D43" s="1067">
        <v>22</v>
      </c>
    </row>
    <row r="44" spans="1:4" x14ac:dyDescent="0.25">
      <c r="A44" s="1067" t="s">
        <v>254</v>
      </c>
      <c r="B44" s="1067" t="s">
        <v>336</v>
      </c>
      <c r="C44" s="1067" t="s">
        <v>122</v>
      </c>
      <c r="D44" s="1067">
        <v>33</v>
      </c>
    </row>
    <row r="45" spans="1:4" x14ac:dyDescent="0.25">
      <c r="A45" s="1067" t="s">
        <v>254</v>
      </c>
      <c r="B45" s="1067" t="s">
        <v>336</v>
      </c>
      <c r="C45" s="1067" t="s">
        <v>191</v>
      </c>
      <c r="D45" s="1067">
        <v>10</v>
      </c>
    </row>
    <row r="46" spans="1:4" x14ac:dyDescent="0.25">
      <c r="A46" s="1067" t="s">
        <v>851</v>
      </c>
      <c r="B46" s="1067" t="s">
        <v>464</v>
      </c>
      <c r="C46" s="1067" t="s">
        <v>197</v>
      </c>
      <c r="D46" s="1067">
        <v>443</v>
      </c>
    </row>
    <row r="47" spans="1:4" x14ac:dyDescent="0.25">
      <c r="A47" s="1067" t="s">
        <v>851</v>
      </c>
      <c r="B47" s="1067" t="s">
        <v>464</v>
      </c>
      <c r="C47" s="1067" t="s">
        <v>215</v>
      </c>
      <c r="D47" s="1067">
        <v>27</v>
      </c>
    </row>
    <row r="48" spans="1:4" x14ac:dyDescent="0.25">
      <c r="A48" s="1067" t="s">
        <v>851</v>
      </c>
      <c r="B48" s="1067" t="s">
        <v>465</v>
      </c>
      <c r="C48" s="1067" t="s">
        <v>189</v>
      </c>
      <c r="D48" s="1067">
        <v>26</v>
      </c>
    </row>
    <row r="49" spans="1:4" x14ac:dyDescent="0.25">
      <c r="A49" s="1067" t="s">
        <v>851</v>
      </c>
      <c r="B49" s="1067" t="s">
        <v>465</v>
      </c>
      <c r="C49" s="1067" t="s">
        <v>215</v>
      </c>
      <c r="D49" s="1067">
        <v>285</v>
      </c>
    </row>
    <row r="50" spans="1:4" x14ac:dyDescent="0.25">
      <c r="A50" s="1067" t="s">
        <v>851</v>
      </c>
      <c r="B50" s="1067" t="s">
        <v>465</v>
      </c>
      <c r="C50" s="1067" t="s">
        <v>190</v>
      </c>
      <c r="D50" s="1067">
        <v>169</v>
      </c>
    </row>
    <row r="51" spans="1:4" x14ac:dyDescent="0.25">
      <c r="A51" s="1067" t="s">
        <v>851</v>
      </c>
      <c r="B51" s="1067" t="s">
        <v>465</v>
      </c>
      <c r="C51" s="1067" t="s">
        <v>122</v>
      </c>
      <c r="D51" s="1067">
        <v>421</v>
      </c>
    </row>
    <row r="52" spans="1:4" x14ac:dyDescent="0.25">
      <c r="A52" s="1067" t="s">
        <v>851</v>
      </c>
      <c r="B52" s="1067" t="s">
        <v>465</v>
      </c>
      <c r="C52" s="1067" t="s">
        <v>191</v>
      </c>
      <c r="D52" s="1067">
        <v>39</v>
      </c>
    </row>
    <row r="53" spans="1:4" x14ac:dyDescent="0.25">
      <c r="A53" s="1067" t="s">
        <v>851</v>
      </c>
      <c r="B53" s="1067" t="s">
        <v>335</v>
      </c>
      <c r="C53" s="1067" t="s">
        <v>189</v>
      </c>
      <c r="D53" s="1067">
        <v>3</v>
      </c>
    </row>
    <row r="54" spans="1:4" x14ac:dyDescent="0.25">
      <c r="A54" s="1067" t="s">
        <v>851</v>
      </c>
      <c r="B54" s="1067" t="s">
        <v>335</v>
      </c>
      <c r="C54" s="1067" t="s">
        <v>190</v>
      </c>
      <c r="D54" s="1067">
        <v>13</v>
      </c>
    </row>
    <row r="55" spans="1:4" x14ac:dyDescent="0.25">
      <c r="A55" s="1067" t="s">
        <v>851</v>
      </c>
      <c r="B55" s="1067" t="s">
        <v>335</v>
      </c>
      <c r="C55" s="1067" t="s">
        <v>122</v>
      </c>
      <c r="D55" s="1067">
        <v>70</v>
      </c>
    </row>
    <row r="56" spans="1:4" x14ac:dyDescent="0.25">
      <c r="A56" s="1067" t="s">
        <v>851</v>
      </c>
      <c r="B56" s="1067" t="s">
        <v>336</v>
      </c>
      <c r="C56" s="1067" t="s">
        <v>190</v>
      </c>
      <c r="D56" s="1067">
        <v>21</v>
      </c>
    </row>
    <row r="57" spans="1:4" x14ac:dyDescent="0.25">
      <c r="A57" s="1067" t="s">
        <v>851</v>
      </c>
      <c r="B57" s="1067" t="s">
        <v>336</v>
      </c>
      <c r="C57" s="1067" t="s">
        <v>122</v>
      </c>
      <c r="D57" s="1067">
        <v>43</v>
      </c>
    </row>
    <row r="58" spans="1:4" x14ac:dyDescent="0.25">
      <c r="A58" s="1067" t="s">
        <v>851</v>
      </c>
      <c r="B58" s="1067" t="s">
        <v>336</v>
      </c>
      <c r="C58" s="1067" t="s">
        <v>191</v>
      </c>
      <c r="D58" s="1067">
        <v>7</v>
      </c>
    </row>
    <row r="75" spans="1:4" x14ac:dyDescent="0.25">
      <c r="A75" s="1069" t="s">
        <v>1236</v>
      </c>
      <c r="B75" s="1069" t="s">
        <v>1248</v>
      </c>
      <c r="C75" s="1069" t="s">
        <v>1249</v>
      </c>
      <c r="D75" s="1069" t="s">
        <v>273</v>
      </c>
    </row>
    <row r="76" spans="1:4" x14ac:dyDescent="0.25">
      <c r="A76" s="1067" t="s">
        <v>273</v>
      </c>
      <c r="B76" s="1067" t="s">
        <v>464</v>
      </c>
      <c r="C76" s="1067" t="s">
        <v>455</v>
      </c>
      <c r="D76" s="1067">
        <v>787</v>
      </c>
    </row>
    <row r="77" spans="1:4" x14ac:dyDescent="0.25">
      <c r="A77" s="1067" t="s">
        <v>273</v>
      </c>
      <c r="B77" s="1067" t="s">
        <v>465</v>
      </c>
      <c r="C77" s="1067" t="s">
        <v>454</v>
      </c>
      <c r="D77" s="1067">
        <v>26</v>
      </c>
    </row>
    <row r="78" spans="1:4" x14ac:dyDescent="0.25">
      <c r="A78" s="1067" t="s">
        <v>273</v>
      </c>
      <c r="B78" s="1067" t="s">
        <v>465</v>
      </c>
      <c r="C78" s="1067" t="s">
        <v>214</v>
      </c>
      <c r="D78" s="1067">
        <v>26</v>
      </c>
    </row>
    <row r="79" spans="1:4" x14ac:dyDescent="0.25">
      <c r="A79" s="1067" t="s">
        <v>273</v>
      </c>
      <c r="B79" s="1067" t="s">
        <v>465</v>
      </c>
      <c r="C79" s="1067" t="s">
        <v>456</v>
      </c>
      <c r="D79" s="1067">
        <v>68</v>
      </c>
    </row>
    <row r="80" spans="1:4" x14ac:dyDescent="0.25">
      <c r="A80" s="1067" t="s">
        <v>273</v>
      </c>
      <c r="B80" s="1067" t="s">
        <v>465</v>
      </c>
      <c r="C80" s="1067" t="s">
        <v>457</v>
      </c>
      <c r="D80" s="1067">
        <v>17</v>
      </c>
    </row>
    <row r="81" spans="1:4" x14ac:dyDescent="0.25">
      <c r="A81" s="1067" t="s">
        <v>273</v>
      </c>
      <c r="B81" s="1067" t="s">
        <v>465</v>
      </c>
      <c r="C81" s="1067" t="s">
        <v>122</v>
      </c>
      <c r="D81" s="1067">
        <v>418</v>
      </c>
    </row>
    <row r="82" spans="1:4" x14ac:dyDescent="0.25">
      <c r="A82" s="1067" t="s">
        <v>273</v>
      </c>
      <c r="B82" s="1067" t="s">
        <v>465</v>
      </c>
      <c r="C82" s="1067" t="s">
        <v>191</v>
      </c>
      <c r="D82" s="1067">
        <v>43</v>
      </c>
    </row>
    <row r="83" spans="1:4" x14ac:dyDescent="0.25">
      <c r="A83" s="1067" t="s">
        <v>273</v>
      </c>
      <c r="B83" s="1067" t="s">
        <v>465</v>
      </c>
      <c r="C83" s="1067" t="s">
        <v>199</v>
      </c>
      <c r="D83" s="1067">
        <v>34</v>
      </c>
    </row>
    <row r="84" spans="1:4" x14ac:dyDescent="0.25">
      <c r="A84" s="1067" t="s">
        <v>273</v>
      </c>
      <c r="B84" s="1067" t="s">
        <v>335</v>
      </c>
      <c r="C84" s="1067" t="s">
        <v>454</v>
      </c>
      <c r="D84" s="1067">
        <v>2</v>
      </c>
    </row>
    <row r="85" spans="1:4" x14ac:dyDescent="0.25">
      <c r="A85" s="1067" t="s">
        <v>273</v>
      </c>
      <c r="B85" s="1067" t="s">
        <v>335</v>
      </c>
      <c r="C85" s="1067" t="s">
        <v>214</v>
      </c>
      <c r="D85" s="1067">
        <v>3</v>
      </c>
    </row>
    <row r="86" spans="1:4" x14ac:dyDescent="0.25">
      <c r="A86" s="1067" t="s">
        <v>273</v>
      </c>
      <c r="B86" s="1067" t="s">
        <v>335</v>
      </c>
      <c r="C86" s="1067" t="s">
        <v>456</v>
      </c>
      <c r="D86" s="1067">
        <v>5</v>
      </c>
    </row>
    <row r="87" spans="1:4" x14ac:dyDescent="0.25">
      <c r="A87" s="1067" t="s">
        <v>273</v>
      </c>
      <c r="B87" s="1067" t="s">
        <v>335</v>
      </c>
      <c r="C87" s="1067" t="s">
        <v>122</v>
      </c>
      <c r="D87" s="1067">
        <v>51</v>
      </c>
    </row>
    <row r="88" spans="1:4" x14ac:dyDescent="0.25">
      <c r="A88" s="1067" t="s">
        <v>273</v>
      </c>
      <c r="B88" s="1067" t="s">
        <v>335</v>
      </c>
      <c r="C88" s="1067" t="s">
        <v>191</v>
      </c>
      <c r="D88" s="1067">
        <v>2</v>
      </c>
    </row>
    <row r="89" spans="1:4" x14ac:dyDescent="0.25">
      <c r="A89" s="1067" t="s">
        <v>273</v>
      </c>
      <c r="B89" s="1067" t="s">
        <v>335</v>
      </c>
      <c r="C89" s="1067" t="s">
        <v>199</v>
      </c>
      <c r="D89" s="1067">
        <v>2</v>
      </c>
    </row>
    <row r="90" spans="1:4" x14ac:dyDescent="0.25">
      <c r="A90" s="1067" t="s">
        <v>273</v>
      </c>
      <c r="B90" s="1067" t="s">
        <v>336</v>
      </c>
      <c r="C90" s="1067" t="s">
        <v>214</v>
      </c>
      <c r="D90" s="1067">
        <v>8</v>
      </c>
    </row>
    <row r="91" spans="1:4" x14ac:dyDescent="0.25">
      <c r="A91" s="1067" t="s">
        <v>273</v>
      </c>
      <c r="B91" s="1067" t="s">
        <v>336</v>
      </c>
      <c r="C91" s="1067" t="s">
        <v>456</v>
      </c>
      <c r="D91" s="1067">
        <v>10</v>
      </c>
    </row>
    <row r="92" spans="1:4" x14ac:dyDescent="0.25">
      <c r="A92" s="1067" t="s">
        <v>273</v>
      </c>
      <c r="B92" s="1067" t="s">
        <v>336</v>
      </c>
      <c r="C92" s="1067" t="s">
        <v>122</v>
      </c>
      <c r="D92" s="1067">
        <v>36</v>
      </c>
    </row>
    <row r="93" spans="1:4" x14ac:dyDescent="0.25">
      <c r="A93" s="1067" t="s">
        <v>273</v>
      </c>
      <c r="B93" s="1067" t="s">
        <v>336</v>
      </c>
      <c r="C93" s="1067" t="s">
        <v>191</v>
      </c>
      <c r="D93" s="1067">
        <v>8</v>
      </c>
    </row>
    <row r="94" spans="1:4" x14ac:dyDescent="0.25">
      <c r="A94" s="1067" t="s">
        <v>255</v>
      </c>
      <c r="B94" s="1067" t="s">
        <v>464</v>
      </c>
      <c r="C94" s="1067" t="s">
        <v>455</v>
      </c>
      <c r="D94" s="1067">
        <v>735</v>
      </c>
    </row>
    <row r="95" spans="1:4" x14ac:dyDescent="0.25">
      <c r="A95" s="1067" t="s">
        <v>255</v>
      </c>
      <c r="B95" s="1067" t="s">
        <v>465</v>
      </c>
      <c r="C95" s="1067" t="s">
        <v>454</v>
      </c>
      <c r="D95" s="1067">
        <v>25</v>
      </c>
    </row>
    <row r="96" spans="1:4" x14ac:dyDescent="0.25">
      <c r="A96" s="1067" t="s">
        <v>255</v>
      </c>
      <c r="B96" s="1067" t="s">
        <v>465</v>
      </c>
      <c r="C96" s="1067" t="s">
        <v>214</v>
      </c>
      <c r="D96" s="1067">
        <v>27</v>
      </c>
    </row>
    <row r="97" spans="1:4" x14ac:dyDescent="0.25">
      <c r="A97" s="1067" t="s">
        <v>255</v>
      </c>
      <c r="B97" s="1067" t="s">
        <v>465</v>
      </c>
      <c r="C97" s="1067" t="s">
        <v>456</v>
      </c>
      <c r="D97" s="1067">
        <v>59</v>
      </c>
    </row>
    <row r="98" spans="1:4" x14ac:dyDescent="0.25">
      <c r="A98" s="1067" t="s">
        <v>255</v>
      </c>
      <c r="B98" s="1067" t="s">
        <v>465</v>
      </c>
      <c r="C98" s="1067" t="s">
        <v>457</v>
      </c>
      <c r="D98" s="1067">
        <v>20</v>
      </c>
    </row>
    <row r="99" spans="1:4" x14ac:dyDescent="0.25">
      <c r="A99" s="1067" t="s">
        <v>255</v>
      </c>
      <c r="B99" s="1067" t="s">
        <v>465</v>
      </c>
      <c r="C99" s="1067" t="s">
        <v>122</v>
      </c>
      <c r="D99" s="1067">
        <v>417</v>
      </c>
    </row>
    <row r="100" spans="1:4" x14ac:dyDescent="0.25">
      <c r="A100" s="1067" t="s">
        <v>255</v>
      </c>
      <c r="B100" s="1067" t="s">
        <v>465</v>
      </c>
      <c r="C100" s="1067" t="s">
        <v>191</v>
      </c>
      <c r="D100" s="1067">
        <v>43</v>
      </c>
    </row>
    <row r="101" spans="1:4" x14ac:dyDescent="0.25">
      <c r="A101" s="1067" t="s">
        <v>255</v>
      </c>
      <c r="B101" s="1067" t="s">
        <v>465</v>
      </c>
      <c r="C101" s="1067" t="s">
        <v>199</v>
      </c>
      <c r="D101" s="1067">
        <v>41</v>
      </c>
    </row>
    <row r="102" spans="1:4" x14ac:dyDescent="0.25">
      <c r="A102" s="1067" t="s">
        <v>255</v>
      </c>
      <c r="B102" s="1067" t="s">
        <v>335</v>
      </c>
      <c r="C102" s="1067" t="s">
        <v>454</v>
      </c>
      <c r="D102" s="1067">
        <v>3</v>
      </c>
    </row>
    <row r="103" spans="1:4" x14ac:dyDescent="0.25">
      <c r="A103" s="1067" t="s">
        <v>255</v>
      </c>
      <c r="B103" s="1067" t="s">
        <v>335</v>
      </c>
      <c r="C103" s="1067" t="s">
        <v>214</v>
      </c>
      <c r="D103" s="1067">
        <v>3</v>
      </c>
    </row>
    <row r="104" spans="1:4" x14ac:dyDescent="0.25">
      <c r="A104" s="1067" t="s">
        <v>255</v>
      </c>
      <c r="B104" s="1067" t="s">
        <v>335</v>
      </c>
      <c r="C104" s="1067" t="s">
        <v>456</v>
      </c>
      <c r="D104" s="1067">
        <v>5</v>
      </c>
    </row>
    <row r="105" spans="1:4" x14ac:dyDescent="0.25">
      <c r="A105" s="1067" t="s">
        <v>255</v>
      </c>
      <c r="B105" s="1067" t="s">
        <v>335</v>
      </c>
      <c r="C105" s="1067" t="s">
        <v>122</v>
      </c>
      <c r="D105" s="1067">
        <v>59</v>
      </c>
    </row>
    <row r="106" spans="1:4" x14ac:dyDescent="0.25">
      <c r="A106" s="1067" t="s">
        <v>255</v>
      </c>
      <c r="B106" s="1067" t="s">
        <v>335</v>
      </c>
      <c r="C106" s="1067" t="s">
        <v>191</v>
      </c>
      <c r="D106" s="1067">
        <v>1</v>
      </c>
    </row>
    <row r="107" spans="1:4" x14ac:dyDescent="0.25">
      <c r="A107" s="1067" t="s">
        <v>255</v>
      </c>
      <c r="B107" s="1067" t="s">
        <v>335</v>
      </c>
      <c r="C107" s="1067" t="s">
        <v>199</v>
      </c>
      <c r="D107" s="1067">
        <v>3</v>
      </c>
    </row>
    <row r="108" spans="1:4" x14ac:dyDescent="0.25">
      <c r="A108" s="1067" t="s">
        <v>255</v>
      </c>
      <c r="B108" s="1067" t="s">
        <v>336</v>
      </c>
      <c r="C108" s="1067" t="s">
        <v>214</v>
      </c>
      <c r="D108" s="1067">
        <v>8</v>
      </c>
    </row>
    <row r="109" spans="1:4" x14ac:dyDescent="0.25">
      <c r="A109" s="1067" t="s">
        <v>255</v>
      </c>
      <c r="B109" s="1067" t="s">
        <v>336</v>
      </c>
      <c r="C109" s="1067" t="s">
        <v>456</v>
      </c>
      <c r="D109" s="1067">
        <v>14</v>
      </c>
    </row>
    <row r="110" spans="1:4" x14ac:dyDescent="0.25">
      <c r="A110" s="1067" t="s">
        <v>255</v>
      </c>
      <c r="B110" s="1067" t="s">
        <v>336</v>
      </c>
      <c r="C110" s="1067" t="s">
        <v>457</v>
      </c>
      <c r="D110" s="1067">
        <v>1</v>
      </c>
    </row>
    <row r="111" spans="1:4" x14ac:dyDescent="0.25">
      <c r="A111" s="1067" t="s">
        <v>255</v>
      </c>
      <c r="B111" s="1067" t="s">
        <v>336</v>
      </c>
      <c r="C111" s="1067" t="s">
        <v>122</v>
      </c>
      <c r="D111" s="1067">
        <v>30</v>
      </c>
    </row>
    <row r="112" spans="1:4" x14ac:dyDescent="0.25">
      <c r="A112" s="1067" t="s">
        <v>255</v>
      </c>
      <c r="B112" s="1067" t="s">
        <v>336</v>
      </c>
      <c r="C112" s="1067" t="s">
        <v>191</v>
      </c>
      <c r="D112" s="1067">
        <v>10</v>
      </c>
    </row>
    <row r="113" spans="1:4" x14ac:dyDescent="0.25">
      <c r="A113" s="1067" t="s">
        <v>255</v>
      </c>
      <c r="B113" s="1067" t="s">
        <v>336</v>
      </c>
      <c r="C113" s="1067" t="s">
        <v>199</v>
      </c>
      <c r="D113" s="1067">
        <v>1</v>
      </c>
    </row>
    <row r="114" spans="1:4" x14ac:dyDescent="0.25">
      <c r="A114" s="1067" t="s">
        <v>254</v>
      </c>
      <c r="B114" s="1067" t="s">
        <v>464</v>
      </c>
      <c r="C114" s="1067" t="s">
        <v>455</v>
      </c>
      <c r="D114" s="1067">
        <v>729</v>
      </c>
    </row>
    <row r="115" spans="1:4" x14ac:dyDescent="0.25">
      <c r="A115" s="1067" t="s">
        <v>254</v>
      </c>
      <c r="B115" s="1067" t="s">
        <v>465</v>
      </c>
      <c r="C115" s="1067" t="s">
        <v>454</v>
      </c>
      <c r="D115" s="1067">
        <v>28</v>
      </c>
    </row>
    <row r="116" spans="1:4" x14ac:dyDescent="0.25">
      <c r="A116" s="1067" t="s">
        <v>254</v>
      </c>
      <c r="B116" s="1067" t="s">
        <v>465</v>
      </c>
      <c r="C116" s="1067" t="s">
        <v>214</v>
      </c>
      <c r="D116" s="1067">
        <v>39</v>
      </c>
    </row>
    <row r="117" spans="1:4" x14ac:dyDescent="0.25">
      <c r="A117" s="1067" t="s">
        <v>254</v>
      </c>
      <c r="B117" s="1067" t="s">
        <v>465</v>
      </c>
      <c r="C117" s="1067" t="s">
        <v>456</v>
      </c>
      <c r="D117" s="1067">
        <v>62</v>
      </c>
    </row>
    <row r="118" spans="1:4" x14ac:dyDescent="0.25">
      <c r="A118" s="1067" t="s">
        <v>254</v>
      </c>
      <c r="B118" s="1067" t="s">
        <v>465</v>
      </c>
      <c r="C118" s="1067" t="s">
        <v>457</v>
      </c>
      <c r="D118" s="1067">
        <v>25</v>
      </c>
    </row>
    <row r="119" spans="1:4" x14ac:dyDescent="0.25">
      <c r="A119" s="1067" t="s">
        <v>254</v>
      </c>
      <c r="B119" s="1067" t="s">
        <v>465</v>
      </c>
      <c r="C119" s="1067" t="s">
        <v>122</v>
      </c>
      <c r="D119" s="1067">
        <v>431</v>
      </c>
    </row>
    <row r="120" spans="1:4" x14ac:dyDescent="0.25">
      <c r="A120" s="1067" t="s">
        <v>254</v>
      </c>
      <c r="B120" s="1067" t="s">
        <v>465</v>
      </c>
      <c r="C120" s="1067" t="s">
        <v>191</v>
      </c>
      <c r="D120" s="1067">
        <v>42</v>
      </c>
    </row>
    <row r="121" spans="1:4" x14ac:dyDescent="0.25">
      <c r="A121" s="1067" t="s">
        <v>254</v>
      </c>
      <c r="B121" s="1067" t="s">
        <v>465</v>
      </c>
      <c r="C121" s="1067" t="s">
        <v>199</v>
      </c>
      <c r="D121" s="1067">
        <v>39</v>
      </c>
    </row>
    <row r="122" spans="1:4" x14ac:dyDescent="0.25">
      <c r="A122" s="1067" t="s">
        <v>254</v>
      </c>
      <c r="B122" s="1067" t="s">
        <v>335</v>
      </c>
      <c r="C122" s="1067" t="s">
        <v>454</v>
      </c>
      <c r="D122" s="1067">
        <v>4</v>
      </c>
    </row>
    <row r="123" spans="1:4" x14ac:dyDescent="0.25">
      <c r="A123" s="1067" t="s">
        <v>254</v>
      </c>
      <c r="B123" s="1067" t="s">
        <v>335</v>
      </c>
      <c r="C123" s="1067" t="s">
        <v>214</v>
      </c>
      <c r="D123" s="1067">
        <v>4</v>
      </c>
    </row>
    <row r="124" spans="1:4" x14ac:dyDescent="0.25">
      <c r="A124" s="1067" t="s">
        <v>254</v>
      </c>
      <c r="B124" s="1067" t="s">
        <v>335</v>
      </c>
      <c r="C124" s="1067" t="s">
        <v>456</v>
      </c>
      <c r="D124" s="1067">
        <v>7</v>
      </c>
    </row>
    <row r="125" spans="1:4" x14ac:dyDescent="0.25">
      <c r="A125" s="1067" t="s">
        <v>254</v>
      </c>
      <c r="B125" s="1067" t="s">
        <v>335</v>
      </c>
      <c r="C125" s="1067" t="s">
        <v>457</v>
      </c>
      <c r="D125" s="1067">
        <v>1</v>
      </c>
    </row>
    <row r="126" spans="1:4" x14ac:dyDescent="0.25">
      <c r="A126" s="1067" t="s">
        <v>254</v>
      </c>
      <c r="B126" s="1067" t="s">
        <v>335</v>
      </c>
      <c r="C126" s="1067" t="s">
        <v>122</v>
      </c>
      <c r="D126" s="1067">
        <v>69</v>
      </c>
    </row>
    <row r="127" spans="1:4" x14ac:dyDescent="0.25">
      <c r="A127" s="1067" t="s">
        <v>254</v>
      </c>
      <c r="B127" s="1067" t="s">
        <v>335</v>
      </c>
      <c r="C127" s="1067" t="s">
        <v>191</v>
      </c>
      <c r="D127" s="1067">
        <v>1</v>
      </c>
    </row>
    <row r="128" spans="1:4" x14ac:dyDescent="0.25">
      <c r="A128" s="1067" t="s">
        <v>254</v>
      </c>
      <c r="B128" s="1067" t="s">
        <v>335</v>
      </c>
      <c r="C128" s="1067" t="s">
        <v>199</v>
      </c>
      <c r="D128" s="1067">
        <v>4</v>
      </c>
    </row>
    <row r="129" spans="1:4" x14ac:dyDescent="0.25">
      <c r="A129" s="1067" t="s">
        <v>254</v>
      </c>
      <c r="B129" s="1067" t="s">
        <v>336</v>
      </c>
      <c r="C129" s="1067" t="s">
        <v>214</v>
      </c>
      <c r="D129" s="1067">
        <v>8</v>
      </c>
    </row>
    <row r="130" spans="1:4" x14ac:dyDescent="0.25">
      <c r="A130" s="1067" t="s">
        <v>254</v>
      </c>
      <c r="B130" s="1067" t="s">
        <v>336</v>
      </c>
      <c r="C130" s="1067" t="s">
        <v>456</v>
      </c>
      <c r="D130" s="1067">
        <v>12</v>
      </c>
    </row>
    <row r="131" spans="1:4" x14ac:dyDescent="0.25">
      <c r="A131" s="1067" t="s">
        <v>254</v>
      </c>
      <c r="B131" s="1067" t="s">
        <v>336</v>
      </c>
      <c r="C131" s="1067" t="s">
        <v>457</v>
      </c>
      <c r="D131" s="1067">
        <v>1</v>
      </c>
    </row>
    <row r="132" spans="1:4" x14ac:dyDescent="0.25">
      <c r="A132" s="1067" t="s">
        <v>254</v>
      </c>
      <c r="B132" s="1067" t="s">
        <v>336</v>
      </c>
      <c r="C132" s="1067" t="s">
        <v>122</v>
      </c>
      <c r="D132" s="1067">
        <v>33</v>
      </c>
    </row>
    <row r="133" spans="1:4" x14ac:dyDescent="0.25">
      <c r="A133" s="1067" t="s">
        <v>254</v>
      </c>
      <c r="B133" s="1067" t="s">
        <v>336</v>
      </c>
      <c r="C133" s="1067" t="s">
        <v>191</v>
      </c>
      <c r="D133" s="1067">
        <v>10</v>
      </c>
    </row>
    <row r="134" spans="1:4" x14ac:dyDescent="0.25">
      <c r="A134" s="1067" t="s">
        <v>254</v>
      </c>
      <c r="B134" s="1067" t="s">
        <v>336</v>
      </c>
      <c r="C134" s="1067" t="s">
        <v>199</v>
      </c>
      <c r="D134" s="1067">
        <v>1</v>
      </c>
    </row>
    <row r="135" spans="1:4" x14ac:dyDescent="0.25">
      <c r="A135" s="1067" t="s">
        <v>851</v>
      </c>
      <c r="B135" s="1067" t="s">
        <v>464</v>
      </c>
      <c r="C135" s="1067" t="s">
        <v>455</v>
      </c>
      <c r="D135" s="1067">
        <v>754</v>
      </c>
    </row>
    <row r="136" spans="1:4" x14ac:dyDescent="0.25">
      <c r="A136" s="1067" t="s">
        <v>851</v>
      </c>
      <c r="B136" s="1067" t="s">
        <v>465</v>
      </c>
      <c r="C136" s="1067" t="s">
        <v>454</v>
      </c>
      <c r="D136" s="1067">
        <v>26</v>
      </c>
    </row>
    <row r="137" spans="1:4" x14ac:dyDescent="0.25">
      <c r="A137" s="1067" t="s">
        <v>851</v>
      </c>
      <c r="B137" s="1067" t="s">
        <v>465</v>
      </c>
      <c r="C137" s="1067" t="s">
        <v>214</v>
      </c>
      <c r="D137" s="1067">
        <v>41</v>
      </c>
    </row>
    <row r="138" spans="1:4" x14ac:dyDescent="0.25">
      <c r="A138" s="1067" t="s">
        <v>851</v>
      </c>
      <c r="B138" s="1067" t="s">
        <v>465</v>
      </c>
      <c r="C138" s="1067" t="s">
        <v>456</v>
      </c>
      <c r="D138" s="1067">
        <v>63</v>
      </c>
    </row>
    <row r="139" spans="1:4" x14ac:dyDescent="0.25">
      <c r="A139" s="1067" t="s">
        <v>851</v>
      </c>
      <c r="B139" s="1067" t="s">
        <v>465</v>
      </c>
      <c r="C139" s="1067" t="s">
        <v>457</v>
      </c>
      <c r="D139" s="1067">
        <v>29</v>
      </c>
    </row>
    <row r="140" spans="1:4" x14ac:dyDescent="0.25">
      <c r="A140" s="1067" t="s">
        <v>851</v>
      </c>
      <c r="B140" s="1067" t="s">
        <v>465</v>
      </c>
      <c r="C140" s="1067" t="s">
        <v>122</v>
      </c>
      <c r="D140" s="1067">
        <v>421</v>
      </c>
    </row>
    <row r="141" spans="1:4" x14ac:dyDescent="0.25">
      <c r="A141" s="1067" t="s">
        <v>851</v>
      </c>
      <c r="B141" s="1067" t="s">
        <v>465</v>
      </c>
      <c r="C141" s="1067" t="s">
        <v>191</v>
      </c>
      <c r="D141" s="1067">
        <v>39</v>
      </c>
    </row>
    <row r="142" spans="1:4" x14ac:dyDescent="0.25">
      <c r="A142" s="1067" t="s">
        <v>851</v>
      </c>
      <c r="B142" s="1067" t="s">
        <v>465</v>
      </c>
      <c r="C142" s="1067" t="s">
        <v>199</v>
      </c>
      <c r="D142" s="1067">
        <v>36</v>
      </c>
    </row>
    <row r="143" spans="1:4" x14ac:dyDescent="0.25">
      <c r="A143" s="1067" t="s">
        <v>851</v>
      </c>
      <c r="B143" s="1067" t="s">
        <v>335</v>
      </c>
      <c r="C143" s="1067" t="s">
        <v>454</v>
      </c>
      <c r="D143" s="1067">
        <v>3</v>
      </c>
    </row>
    <row r="144" spans="1:4" x14ac:dyDescent="0.25">
      <c r="A144" s="1067" t="s">
        <v>851</v>
      </c>
      <c r="B144" s="1067" t="s">
        <v>335</v>
      </c>
      <c r="C144" s="1067" t="s">
        <v>214</v>
      </c>
      <c r="D144" s="1067">
        <v>5</v>
      </c>
    </row>
    <row r="145" spans="1:4" x14ac:dyDescent="0.25">
      <c r="A145" s="1067" t="s">
        <v>851</v>
      </c>
      <c r="B145" s="1067" t="s">
        <v>335</v>
      </c>
      <c r="C145" s="1067" t="s">
        <v>456</v>
      </c>
      <c r="D145" s="1067">
        <v>5</v>
      </c>
    </row>
    <row r="146" spans="1:4" x14ac:dyDescent="0.25">
      <c r="A146" s="1067" t="s">
        <v>851</v>
      </c>
      <c r="B146" s="1067" t="s">
        <v>335</v>
      </c>
      <c r="C146" s="1067" t="s">
        <v>122</v>
      </c>
      <c r="D146" s="1067">
        <v>70</v>
      </c>
    </row>
    <row r="147" spans="1:4" x14ac:dyDescent="0.25">
      <c r="A147" s="1067" t="s">
        <v>851</v>
      </c>
      <c r="B147" s="1067" t="s">
        <v>335</v>
      </c>
      <c r="C147" s="1067" t="s">
        <v>199</v>
      </c>
      <c r="D147" s="1067">
        <v>3</v>
      </c>
    </row>
    <row r="148" spans="1:4" x14ac:dyDescent="0.25">
      <c r="A148" s="1067" t="s">
        <v>851</v>
      </c>
      <c r="B148" s="1067" t="s">
        <v>336</v>
      </c>
      <c r="C148" s="1067" t="s">
        <v>214</v>
      </c>
      <c r="D148" s="1067">
        <v>8</v>
      </c>
    </row>
    <row r="149" spans="1:4" x14ac:dyDescent="0.25">
      <c r="A149" s="1067" t="s">
        <v>851</v>
      </c>
      <c r="B149" s="1067" t="s">
        <v>336</v>
      </c>
      <c r="C149" s="1067" t="s">
        <v>456</v>
      </c>
      <c r="D149" s="1067">
        <v>11</v>
      </c>
    </row>
    <row r="150" spans="1:4" x14ac:dyDescent="0.25">
      <c r="A150" s="1067" t="s">
        <v>851</v>
      </c>
      <c r="B150" s="1067" t="s">
        <v>336</v>
      </c>
      <c r="C150" s="1067" t="s">
        <v>457</v>
      </c>
      <c r="D150" s="1067">
        <v>1</v>
      </c>
    </row>
    <row r="151" spans="1:4" x14ac:dyDescent="0.25">
      <c r="A151" s="1067" t="s">
        <v>851</v>
      </c>
      <c r="B151" s="1067" t="s">
        <v>336</v>
      </c>
      <c r="C151" s="1067" t="s">
        <v>122</v>
      </c>
      <c r="D151" s="1067">
        <v>43</v>
      </c>
    </row>
    <row r="152" spans="1:4" x14ac:dyDescent="0.25">
      <c r="A152" s="1067" t="s">
        <v>851</v>
      </c>
      <c r="B152" s="1067" t="s">
        <v>336</v>
      </c>
      <c r="C152" s="1067" t="s">
        <v>191</v>
      </c>
      <c r="D152" s="1067">
        <v>7</v>
      </c>
    </row>
    <row r="153" spans="1:4" x14ac:dyDescent="0.25">
      <c r="A153" s="1067" t="s">
        <v>851</v>
      </c>
      <c r="B153" s="1067" t="s">
        <v>336</v>
      </c>
      <c r="C153" s="1067" t="s">
        <v>199</v>
      </c>
      <c r="D153" s="1067">
        <v>1</v>
      </c>
    </row>
  </sheetData>
  <sheetProtection algorithmName="SHA-512" hashValue="RIrdNodOcTFhRxZb8BNm0MaoviMy5t/C2VyvhS2DFc9vRbqz2XVvihuy/U9k7RKBpeYITg1YfGZDQz07oMoJZg==" saltValue="XOqxg0TsS2EghgQPQ8yBcw==" spinCount="100000" sheet="1" scenarios="1" formatCells="0" formatColumns="0" formatRows="0" sort="0" autoFilter="0" pivotTables="0"/>
  <pageMargins left="0.7" right="0.7" top="0.75" bottom="0.75" header="0.3" footer="0.3"/>
  <pageSetup paperSize="9" fitToHeight="50"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H140"/>
  <sheetViews>
    <sheetView zoomScale="85" zoomScaleNormal="85" workbookViewId="0">
      <pane ySplit="4" topLeftCell="A5" activePane="bottomLeft" state="frozen"/>
      <selection pane="bottomLeft"/>
    </sheetView>
  </sheetViews>
  <sheetFormatPr defaultRowHeight="15" x14ac:dyDescent="0.25"/>
  <sheetData>
    <row r="4" spans="1:8" x14ac:dyDescent="0.25">
      <c r="A4" s="1066" t="s">
        <v>329</v>
      </c>
      <c r="B4" s="1066" t="s">
        <v>928</v>
      </c>
      <c r="C4" s="1066" t="s">
        <v>929</v>
      </c>
      <c r="D4" s="1066" t="s">
        <v>26</v>
      </c>
      <c r="E4" s="1066" t="s">
        <v>189</v>
      </c>
      <c r="F4" s="1066" t="s">
        <v>190</v>
      </c>
      <c r="G4" s="1066" t="s">
        <v>122</v>
      </c>
      <c r="H4" s="1066" t="s">
        <v>191</v>
      </c>
    </row>
    <row r="5" spans="1:8" x14ac:dyDescent="0.25">
      <c r="A5" s="1067" t="s">
        <v>273</v>
      </c>
      <c r="B5" s="1067" t="s">
        <v>31</v>
      </c>
      <c r="C5" s="1067" t="s">
        <v>301</v>
      </c>
      <c r="D5" s="1067">
        <v>30</v>
      </c>
      <c r="E5" s="1067">
        <v>2</v>
      </c>
      <c r="F5" s="1067">
        <v>2</v>
      </c>
      <c r="G5" s="1067">
        <v>16</v>
      </c>
      <c r="H5" s="1067">
        <v>10</v>
      </c>
    </row>
    <row r="6" spans="1:8" x14ac:dyDescent="0.25">
      <c r="A6" s="1067" t="s">
        <v>273</v>
      </c>
      <c r="B6" s="1067" t="s">
        <v>32</v>
      </c>
      <c r="C6" s="1067" t="s">
        <v>302</v>
      </c>
      <c r="D6" s="1067">
        <v>72</v>
      </c>
      <c r="E6" s="1067"/>
      <c r="F6" s="1067">
        <v>8</v>
      </c>
      <c r="G6" s="1067">
        <v>62</v>
      </c>
      <c r="H6" s="1067">
        <v>2</v>
      </c>
    </row>
    <row r="7" spans="1:8" x14ac:dyDescent="0.25">
      <c r="A7" s="1067" t="s">
        <v>273</v>
      </c>
      <c r="B7" s="1067" t="s">
        <v>33</v>
      </c>
      <c r="C7" s="1067" t="s">
        <v>308</v>
      </c>
      <c r="D7" s="1067">
        <v>24</v>
      </c>
      <c r="E7" s="1067"/>
      <c r="F7" s="1067"/>
      <c r="G7" s="1067">
        <v>22</v>
      </c>
      <c r="H7" s="1067">
        <v>2</v>
      </c>
    </row>
    <row r="8" spans="1:8" x14ac:dyDescent="0.25">
      <c r="A8" s="1067" t="s">
        <v>273</v>
      </c>
      <c r="B8" s="1067" t="s">
        <v>34</v>
      </c>
      <c r="C8" s="1067" t="s">
        <v>303</v>
      </c>
      <c r="D8" s="1067">
        <v>94</v>
      </c>
      <c r="E8" s="1067">
        <v>2</v>
      </c>
      <c r="F8" s="1067">
        <v>50</v>
      </c>
      <c r="G8" s="1067">
        <v>42</v>
      </c>
      <c r="H8" s="1067"/>
    </row>
    <row r="9" spans="1:8" x14ac:dyDescent="0.25">
      <c r="A9" s="1067" t="s">
        <v>273</v>
      </c>
      <c r="B9" s="1067" t="s">
        <v>258</v>
      </c>
      <c r="C9" s="1067" t="s">
        <v>304</v>
      </c>
      <c r="D9" s="1067">
        <v>50</v>
      </c>
      <c r="E9" s="1067">
        <v>10</v>
      </c>
      <c r="F9" s="1067">
        <v>4</v>
      </c>
      <c r="G9" s="1067">
        <v>24</v>
      </c>
      <c r="H9" s="1067">
        <v>12</v>
      </c>
    </row>
    <row r="10" spans="1:8" x14ac:dyDescent="0.25">
      <c r="A10" s="1067" t="s">
        <v>273</v>
      </c>
      <c r="B10" s="1067" t="s">
        <v>35</v>
      </c>
      <c r="C10" s="1067" t="s">
        <v>282</v>
      </c>
      <c r="D10" s="1067">
        <v>6</v>
      </c>
      <c r="E10" s="1067"/>
      <c r="F10" s="1067">
        <v>2</v>
      </c>
      <c r="G10" s="1067">
        <v>4</v>
      </c>
      <c r="H10" s="1067"/>
    </row>
    <row r="11" spans="1:8" x14ac:dyDescent="0.25">
      <c r="A11" s="1067" t="s">
        <v>273</v>
      </c>
      <c r="B11" s="1067" t="s">
        <v>36</v>
      </c>
      <c r="C11" s="1067" t="s">
        <v>283</v>
      </c>
      <c r="D11" s="1067">
        <v>58</v>
      </c>
      <c r="E11" s="1067">
        <v>2</v>
      </c>
      <c r="F11" s="1067">
        <v>16</v>
      </c>
      <c r="G11" s="1067">
        <v>40</v>
      </c>
      <c r="H11" s="1067"/>
    </row>
    <row r="12" spans="1:8" x14ac:dyDescent="0.25">
      <c r="A12" s="1067" t="s">
        <v>273</v>
      </c>
      <c r="B12" s="1067" t="s">
        <v>37</v>
      </c>
      <c r="C12" s="1067" t="s">
        <v>309</v>
      </c>
      <c r="D12" s="1067">
        <v>50</v>
      </c>
      <c r="E12" s="1067">
        <v>2</v>
      </c>
      <c r="F12" s="1067">
        <v>4</v>
      </c>
      <c r="G12" s="1067">
        <v>26</v>
      </c>
      <c r="H12" s="1067">
        <v>18</v>
      </c>
    </row>
    <row r="13" spans="1:8" x14ac:dyDescent="0.25">
      <c r="A13" s="1067" t="s">
        <v>273</v>
      </c>
      <c r="B13" s="1067" t="s">
        <v>38</v>
      </c>
      <c r="C13" s="1067" t="s">
        <v>284</v>
      </c>
      <c r="D13" s="1067">
        <v>22</v>
      </c>
      <c r="E13" s="1067">
        <v>2</v>
      </c>
      <c r="F13" s="1067"/>
      <c r="G13" s="1067">
        <v>18</v>
      </c>
      <c r="H13" s="1067">
        <v>2</v>
      </c>
    </row>
    <row r="14" spans="1:8" x14ac:dyDescent="0.25">
      <c r="A14" s="1067" t="s">
        <v>273</v>
      </c>
      <c r="B14" s="1067" t="s">
        <v>39</v>
      </c>
      <c r="C14" s="1067" t="s">
        <v>311</v>
      </c>
      <c r="D14" s="1067">
        <v>10</v>
      </c>
      <c r="E14" s="1067"/>
      <c r="F14" s="1067"/>
      <c r="G14" s="1067">
        <v>6</v>
      </c>
      <c r="H14" s="1067">
        <v>4</v>
      </c>
    </row>
    <row r="15" spans="1:8" x14ac:dyDescent="0.25">
      <c r="A15" s="1067" t="s">
        <v>273</v>
      </c>
      <c r="B15" s="1067" t="s">
        <v>40</v>
      </c>
      <c r="C15" s="1067" t="s">
        <v>285</v>
      </c>
      <c r="D15" s="1067">
        <v>14</v>
      </c>
      <c r="E15" s="1067"/>
      <c r="F15" s="1067"/>
      <c r="G15" s="1067">
        <v>14</v>
      </c>
      <c r="H15" s="1067"/>
    </row>
    <row r="16" spans="1:8" x14ac:dyDescent="0.25">
      <c r="A16" s="1067" t="s">
        <v>273</v>
      </c>
      <c r="B16" s="1067" t="s">
        <v>41</v>
      </c>
      <c r="C16" s="1067" t="s">
        <v>286</v>
      </c>
      <c r="D16" s="1067">
        <v>4</v>
      </c>
      <c r="E16" s="1067"/>
      <c r="F16" s="1067"/>
      <c r="G16" s="1067">
        <v>4</v>
      </c>
      <c r="H16" s="1067"/>
    </row>
    <row r="17" spans="1:8" x14ac:dyDescent="0.25">
      <c r="A17" s="1067" t="s">
        <v>273</v>
      </c>
      <c r="B17" s="1067" t="s">
        <v>42</v>
      </c>
      <c r="C17" s="1067" t="s">
        <v>288</v>
      </c>
      <c r="D17" s="1067">
        <v>28</v>
      </c>
      <c r="E17" s="1067">
        <v>2</v>
      </c>
      <c r="F17" s="1067">
        <v>8</v>
      </c>
      <c r="G17" s="1067">
        <v>14</v>
      </c>
      <c r="H17" s="1067">
        <v>4</v>
      </c>
    </row>
    <row r="18" spans="1:8" x14ac:dyDescent="0.25">
      <c r="A18" s="1067" t="s">
        <v>273</v>
      </c>
      <c r="B18" s="1067" t="s">
        <v>43</v>
      </c>
      <c r="C18" s="1067" t="s">
        <v>313</v>
      </c>
      <c r="D18" s="1067">
        <v>56</v>
      </c>
      <c r="E18" s="1067">
        <v>4</v>
      </c>
      <c r="F18" s="1067">
        <v>14</v>
      </c>
      <c r="G18" s="1067">
        <v>34</v>
      </c>
      <c r="H18" s="1067">
        <v>4</v>
      </c>
    </row>
    <row r="19" spans="1:8" x14ac:dyDescent="0.25">
      <c r="A19" s="1067" t="s">
        <v>273</v>
      </c>
      <c r="B19" s="1067" t="s">
        <v>121</v>
      </c>
      <c r="C19" s="1067" t="s">
        <v>312</v>
      </c>
      <c r="D19" s="1067">
        <v>27</v>
      </c>
      <c r="E19" s="1067">
        <v>3</v>
      </c>
      <c r="F19" s="1067">
        <v>6</v>
      </c>
      <c r="G19" s="1067">
        <v>18</v>
      </c>
      <c r="H19" s="1067"/>
    </row>
    <row r="20" spans="1:8" x14ac:dyDescent="0.25">
      <c r="A20" s="1067" t="s">
        <v>273</v>
      </c>
      <c r="B20" s="1067" t="s">
        <v>121</v>
      </c>
      <c r="C20" s="1067" t="s">
        <v>1076</v>
      </c>
      <c r="D20" s="1067">
        <v>27</v>
      </c>
      <c r="E20" s="1067">
        <v>3</v>
      </c>
      <c r="F20" s="1067">
        <v>6</v>
      </c>
      <c r="G20" s="1067">
        <v>18</v>
      </c>
      <c r="H20" s="1067"/>
    </row>
    <row r="21" spans="1:8" x14ac:dyDescent="0.25">
      <c r="A21" s="1067" t="s">
        <v>273</v>
      </c>
      <c r="B21" s="1067" t="s">
        <v>44</v>
      </c>
      <c r="C21" s="1067" t="s">
        <v>289</v>
      </c>
      <c r="D21" s="1067">
        <v>166</v>
      </c>
      <c r="E21" s="1067">
        <v>2</v>
      </c>
      <c r="F21" s="1067">
        <v>24</v>
      </c>
      <c r="G21" s="1067">
        <v>134</v>
      </c>
      <c r="H21" s="1067">
        <v>6</v>
      </c>
    </row>
    <row r="22" spans="1:8" x14ac:dyDescent="0.25">
      <c r="A22" s="1067" t="s">
        <v>273</v>
      </c>
      <c r="B22" s="1067" t="s">
        <v>45</v>
      </c>
      <c r="C22" s="1067" t="s">
        <v>290</v>
      </c>
      <c r="D22" s="1067">
        <v>16</v>
      </c>
      <c r="E22" s="1067">
        <v>2</v>
      </c>
      <c r="F22" s="1067">
        <v>2</v>
      </c>
      <c r="G22" s="1067">
        <v>12</v>
      </c>
      <c r="H22" s="1067"/>
    </row>
    <row r="23" spans="1:8" x14ac:dyDescent="0.25">
      <c r="A23" s="1067" t="s">
        <v>273</v>
      </c>
      <c r="B23" s="1067" t="s">
        <v>46</v>
      </c>
      <c r="C23" s="1067" t="s">
        <v>291</v>
      </c>
      <c r="D23" s="1067">
        <v>10</v>
      </c>
      <c r="E23" s="1067"/>
      <c r="F23" s="1067">
        <v>4</v>
      </c>
      <c r="G23" s="1067">
        <v>6</v>
      </c>
      <c r="H23" s="1067"/>
    </row>
    <row r="24" spans="1:8" x14ac:dyDescent="0.25">
      <c r="A24" s="1067" t="s">
        <v>273</v>
      </c>
      <c r="B24" s="1067" t="s">
        <v>47</v>
      </c>
      <c r="C24" s="1067" t="s">
        <v>292</v>
      </c>
      <c r="D24" s="1067">
        <v>38</v>
      </c>
      <c r="E24" s="1067"/>
      <c r="F24" s="1067">
        <v>12</v>
      </c>
      <c r="G24" s="1067">
        <v>26</v>
      </c>
      <c r="H24" s="1067"/>
    </row>
    <row r="25" spans="1:8" x14ac:dyDescent="0.25">
      <c r="A25" s="1067" t="s">
        <v>273</v>
      </c>
      <c r="B25" s="1067" t="s">
        <v>48</v>
      </c>
      <c r="C25" s="1067" t="s">
        <v>287</v>
      </c>
      <c r="D25" s="1067">
        <v>34</v>
      </c>
      <c r="E25" s="1067"/>
      <c r="F25" s="1067">
        <v>2</v>
      </c>
      <c r="G25" s="1067">
        <v>32</v>
      </c>
      <c r="H25" s="1067"/>
    </row>
    <row r="26" spans="1:8" x14ac:dyDescent="0.25">
      <c r="A26" s="1067" t="s">
        <v>273</v>
      </c>
      <c r="B26" s="1067" t="s">
        <v>49</v>
      </c>
      <c r="C26" s="1067" t="s">
        <v>293</v>
      </c>
      <c r="D26" s="1067">
        <v>40</v>
      </c>
      <c r="E26" s="1067"/>
      <c r="F26" s="1067">
        <v>10</v>
      </c>
      <c r="G26" s="1067">
        <v>28</v>
      </c>
      <c r="H26" s="1067">
        <v>2</v>
      </c>
    </row>
    <row r="27" spans="1:8" x14ac:dyDescent="0.25">
      <c r="A27" s="1067" t="s">
        <v>273</v>
      </c>
      <c r="B27" s="1067" t="s">
        <v>50</v>
      </c>
      <c r="C27" s="1067" t="s">
        <v>310</v>
      </c>
      <c r="D27" s="1067">
        <v>16</v>
      </c>
      <c r="E27" s="1067">
        <v>2</v>
      </c>
      <c r="F27" s="1067">
        <v>3</v>
      </c>
      <c r="G27" s="1067">
        <v>8</v>
      </c>
      <c r="H27" s="1067">
        <v>3</v>
      </c>
    </row>
    <row r="28" spans="1:8" x14ac:dyDescent="0.25">
      <c r="A28" s="1067" t="s">
        <v>273</v>
      </c>
      <c r="B28" s="1067" t="s">
        <v>50</v>
      </c>
      <c r="C28" s="1067" t="s">
        <v>1078</v>
      </c>
      <c r="D28" s="1067">
        <v>16</v>
      </c>
      <c r="E28" s="1067">
        <v>2</v>
      </c>
      <c r="F28" s="1067">
        <v>3</v>
      </c>
      <c r="G28" s="1067">
        <v>8</v>
      </c>
      <c r="H28" s="1067">
        <v>3</v>
      </c>
    </row>
    <row r="29" spans="1:8" x14ac:dyDescent="0.25">
      <c r="A29" s="1067" t="s">
        <v>273</v>
      </c>
      <c r="B29" s="1067" t="s">
        <v>51</v>
      </c>
      <c r="C29" s="1067" t="s">
        <v>294</v>
      </c>
      <c r="D29" s="1067">
        <v>30</v>
      </c>
      <c r="E29" s="1067"/>
      <c r="F29" s="1067">
        <v>2</v>
      </c>
      <c r="G29" s="1067">
        <v>28</v>
      </c>
      <c r="H29" s="1067"/>
    </row>
    <row r="30" spans="1:8" x14ac:dyDescent="0.25">
      <c r="A30" s="1067" t="s">
        <v>273</v>
      </c>
      <c r="B30" s="1067" t="s">
        <v>52</v>
      </c>
      <c r="C30" s="1067" t="s">
        <v>295</v>
      </c>
      <c r="D30" s="1067">
        <v>48</v>
      </c>
      <c r="E30" s="1067">
        <v>2</v>
      </c>
      <c r="F30" s="1067">
        <v>10</v>
      </c>
      <c r="G30" s="1067">
        <v>32</v>
      </c>
      <c r="H30" s="1067">
        <v>4</v>
      </c>
    </row>
    <row r="31" spans="1:8" x14ac:dyDescent="0.25">
      <c r="A31" s="1067" t="s">
        <v>273</v>
      </c>
      <c r="B31" s="1067" t="s">
        <v>53</v>
      </c>
      <c r="C31" s="1067" t="s">
        <v>305</v>
      </c>
      <c r="D31" s="1067">
        <v>16</v>
      </c>
      <c r="E31" s="1067">
        <v>4</v>
      </c>
      <c r="F31" s="1067">
        <v>4</v>
      </c>
      <c r="G31" s="1067">
        <v>8</v>
      </c>
      <c r="H31" s="1067"/>
    </row>
    <row r="32" spans="1:8" x14ac:dyDescent="0.25">
      <c r="A32" s="1067" t="s">
        <v>273</v>
      </c>
      <c r="B32" s="1067" t="s">
        <v>54</v>
      </c>
      <c r="C32" s="1067" t="s">
        <v>296</v>
      </c>
      <c r="D32" s="1067">
        <v>42</v>
      </c>
      <c r="E32" s="1067"/>
      <c r="F32" s="1067">
        <v>6</v>
      </c>
      <c r="G32" s="1067">
        <v>32</v>
      </c>
      <c r="H32" s="1067">
        <v>4</v>
      </c>
    </row>
    <row r="33" spans="1:8" x14ac:dyDescent="0.25">
      <c r="A33" s="1067" t="s">
        <v>273</v>
      </c>
      <c r="B33" s="1067" t="s">
        <v>55</v>
      </c>
      <c r="C33" s="1067" t="s">
        <v>297</v>
      </c>
      <c r="D33" s="1067">
        <v>34</v>
      </c>
      <c r="E33" s="1067"/>
      <c r="F33" s="1067">
        <v>2</v>
      </c>
      <c r="G33" s="1067">
        <v>32</v>
      </c>
      <c r="H33" s="1067"/>
    </row>
    <row r="34" spans="1:8" x14ac:dyDescent="0.25">
      <c r="A34" s="1067" t="s">
        <v>273</v>
      </c>
      <c r="B34" s="1067" t="s">
        <v>56</v>
      </c>
      <c r="C34" s="1067" t="s">
        <v>298</v>
      </c>
      <c r="D34" s="1067">
        <v>18</v>
      </c>
      <c r="E34" s="1067">
        <v>2</v>
      </c>
      <c r="F34" s="1067">
        <v>2</v>
      </c>
      <c r="G34" s="1067">
        <v>14</v>
      </c>
      <c r="H34" s="1067"/>
    </row>
    <row r="35" spans="1:8" x14ac:dyDescent="0.25">
      <c r="A35" s="1067" t="s">
        <v>273</v>
      </c>
      <c r="B35" s="1067" t="s">
        <v>57</v>
      </c>
      <c r="C35" s="1067" t="s">
        <v>299</v>
      </c>
      <c r="D35" s="1067">
        <v>46</v>
      </c>
      <c r="E35" s="1067">
        <v>2</v>
      </c>
      <c r="F35" s="1067">
        <v>14</v>
      </c>
      <c r="G35" s="1067">
        <v>28</v>
      </c>
      <c r="H35" s="1067">
        <v>2</v>
      </c>
    </row>
    <row r="36" spans="1:8" x14ac:dyDescent="0.25">
      <c r="A36" s="1067" t="s">
        <v>273</v>
      </c>
      <c r="B36" s="1067" t="s">
        <v>58</v>
      </c>
      <c r="C36" s="1067" t="s">
        <v>300</v>
      </c>
      <c r="D36" s="1067">
        <v>32</v>
      </c>
      <c r="E36" s="1067"/>
      <c r="F36" s="1067">
        <v>12</v>
      </c>
      <c r="G36" s="1067">
        <v>20</v>
      </c>
      <c r="H36" s="1067"/>
    </row>
    <row r="37" spans="1:8" x14ac:dyDescent="0.25">
      <c r="A37" s="1067" t="s">
        <v>273</v>
      </c>
      <c r="B37" s="1067" t="s">
        <v>59</v>
      </c>
      <c r="C37" s="1067" t="s">
        <v>306</v>
      </c>
      <c r="D37" s="1067">
        <v>14</v>
      </c>
      <c r="E37" s="1067">
        <v>2</v>
      </c>
      <c r="F37" s="1067">
        <v>2</v>
      </c>
      <c r="G37" s="1067">
        <v>8</v>
      </c>
      <c r="H37" s="1067">
        <v>2</v>
      </c>
    </row>
    <row r="38" spans="1:8" x14ac:dyDescent="0.25">
      <c r="A38" s="1067" t="s">
        <v>273</v>
      </c>
      <c r="B38" s="1067" t="s">
        <v>60</v>
      </c>
      <c r="C38" s="1067" t="s">
        <v>307</v>
      </c>
      <c r="D38" s="1067">
        <v>24</v>
      </c>
      <c r="E38" s="1067"/>
      <c r="F38" s="1067">
        <v>4</v>
      </c>
      <c r="G38" s="1067">
        <v>18</v>
      </c>
      <c r="H38" s="1067">
        <v>2</v>
      </c>
    </row>
    <row r="39" spans="1:8" x14ac:dyDescent="0.25">
      <c r="A39" s="1067" t="s">
        <v>255</v>
      </c>
      <c r="B39" s="1067" t="s">
        <v>31</v>
      </c>
      <c r="C39" s="1067" t="s">
        <v>301</v>
      </c>
      <c r="D39" s="1067">
        <v>36</v>
      </c>
      <c r="E39" s="1067">
        <v>2</v>
      </c>
      <c r="F39" s="1067">
        <v>6</v>
      </c>
      <c r="G39" s="1067">
        <v>16</v>
      </c>
      <c r="H39" s="1067">
        <v>12</v>
      </c>
    </row>
    <row r="40" spans="1:8" x14ac:dyDescent="0.25">
      <c r="A40" s="1067" t="s">
        <v>255</v>
      </c>
      <c r="B40" s="1067" t="s">
        <v>32</v>
      </c>
      <c r="C40" s="1067" t="s">
        <v>302</v>
      </c>
      <c r="D40" s="1067">
        <v>74</v>
      </c>
      <c r="E40" s="1067"/>
      <c r="F40" s="1067">
        <v>10</v>
      </c>
      <c r="G40" s="1067">
        <v>62</v>
      </c>
      <c r="H40" s="1067">
        <v>2</v>
      </c>
    </row>
    <row r="41" spans="1:8" x14ac:dyDescent="0.25">
      <c r="A41" s="1067" t="s">
        <v>255</v>
      </c>
      <c r="B41" s="1067" t="s">
        <v>33</v>
      </c>
      <c r="C41" s="1067" t="s">
        <v>308</v>
      </c>
      <c r="D41" s="1067">
        <v>24</v>
      </c>
      <c r="E41" s="1067"/>
      <c r="F41" s="1067"/>
      <c r="G41" s="1067">
        <v>22</v>
      </c>
      <c r="H41" s="1067">
        <v>2</v>
      </c>
    </row>
    <row r="42" spans="1:8" x14ac:dyDescent="0.25">
      <c r="A42" s="1067" t="s">
        <v>255</v>
      </c>
      <c r="B42" s="1067" t="s">
        <v>34</v>
      </c>
      <c r="C42" s="1067" t="s">
        <v>303</v>
      </c>
      <c r="D42" s="1067">
        <v>96</v>
      </c>
      <c r="E42" s="1067">
        <v>2</v>
      </c>
      <c r="F42" s="1067">
        <v>52</v>
      </c>
      <c r="G42" s="1067">
        <v>42</v>
      </c>
      <c r="H42" s="1067"/>
    </row>
    <row r="43" spans="1:8" x14ac:dyDescent="0.25">
      <c r="A43" s="1067" t="s">
        <v>255</v>
      </c>
      <c r="B43" s="1067" t="s">
        <v>258</v>
      </c>
      <c r="C43" s="1067" t="s">
        <v>304</v>
      </c>
      <c r="D43" s="1067">
        <v>42</v>
      </c>
      <c r="E43" s="1067">
        <v>6</v>
      </c>
      <c r="F43" s="1067">
        <v>2</v>
      </c>
      <c r="G43" s="1067">
        <v>24</v>
      </c>
      <c r="H43" s="1067">
        <v>10</v>
      </c>
    </row>
    <row r="44" spans="1:8" x14ac:dyDescent="0.25">
      <c r="A44" s="1067" t="s">
        <v>255</v>
      </c>
      <c r="B44" s="1067" t="s">
        <v>35</v>
      </c>
      <c r="C44" s="1067" t="s">
        <v>282</v>
      </c>
      <c r="D44" s="1067">
        <v>10</v>
      </c>
      <c r="E44" s="1067"/>
      <c r="F44" s="1067">
        <v>4</v>
      </c>
      <c r="G44" s="1067">
        <v>6</v>
      </c>
      <c r="H44" s="1067"/>
    </row>
    <row r="45" spans="1:8" x14ac:dyDescent="0.25">
      <c r="A45" s="1067" t="s">
        <v>255</v>
      </c>
      <c r="B45" s="1067" t="s">
        <v>36</v>
      </c>
      <c r="C45" s="1067" t="s">
        <v>283</v>
      </c>
      <c r="D45" s="1067">
        <v>58</v>
      </c>
      <c r="E45" s="1067">
        <v>2</v>
      </c>
      <c r="F45" s="1067">
        <v>16</v>
      </c>
      <c r="G45" s="1067">
        <v>40</v>
      </c>
      <c r="H45" s="1067"/>
    </row>
    <row r="46" spans="1:8" x14ac:dyDescent="0.25">
      <c r="A46" s="1067" t="s">
        <v>255</v>
      </c>
      <c r="B46" s="1067" t="s">
        <v>37</v>
      </c>
      <c r="C46" s="1067" t="s">
        <v>309</v>
      </c>
      <c r="D46" s="1067">
        <v>44</v>
      </c>
      <c r="E46" s="1067">
        <v>2</v>
      </c>
      <c r="F46" s="1067">
        <v>6</v>
      </c>
      <c r="G46" s="1067">
        <v>16</v>
      </c>
      <c r="H46" s="1067">
        <v>20</v>
      </c>
    </row>
    <row r="47" spans="1:8" x14ac:dyDescent="0.25">
      <c r="A47" s="1067" t="s">
        <v>255</v>
      </c>
      <c r="B47" s="1067" t="s">
        <v>38</v>
      </c>
      <c r="C47" s="1067" t="s">
        <v>284</v>
      </c>
      <c r="D47" s="1067">
        <v>22</v>
      </c>
      <c r="E47" s="1067">
        <v>2</v>
      </c>
      <c r="F47" s="1067"/>
      <c r="G47" s="1067">
        <v>18</v>
      </c>
      <c r="H47" s="1067">
        <v>2</v>
      </c>
    </row>
    <row r="48" spans="1:8" x14ac:dyDescent="0.25">
      <c r="A48" s="1067" t="s">
        <v>255</v>
      </c>
      <c r="B48" s="1067" t="s">
        <v>39</v>
      </c>
      <c r="C48" s="1067" t="s">
        <v>311</v>
      </c>
      <c r="D48" s="1067">
        <v>10</v>
      </c>
      <c r="E48" s="1067"/>
      <c r="F48" s="1067"/>
      <c r="G48" s="1067">
        <v>6</v>
      </c>
      <c r="H48" s="1067">
        <v>4</v>
      </c>
    </row>
    <row r="49" spans="1:8" x14ac:dyDescent="0.25">
      <c r="A49" s="1067" t="s">
        <v>255</v>
      </c>
      <c r="B49" s="1067" t="s">
        <v>40</v>
      </c>
      <c r="C49" s="1067" t="s">
        <v>285</v>
      </c>
      <c r="D49" s="1067">
        <v>16</v>
      </c>
      <c r="E49" s="1067"/>
      <c r="F49" s="1067"/>
      <c r="G49" s="1067">
        <v>16</v>
      </c>
      <c r="H49" s="1067"/>
    </row>
    <row r="50" spans="1:8" x14ac:dyDescent="0.25">
      <c r="A50" s="1067" t="s">
        <v>255</v>
      </c>
      <c r="B50" s="1067" t="s">
        <v>41</v>
      </c>
      <c r="C50" s="1067" t="s">
        <v>286</v>
      </c>
      <c r="D50" s="1067">
        <v>4</v>
      </c>
      <c r="E50" s="1067"/>
      <c r="F50" s="1067"/>
      <c r="G50" s="1067">
        <v>4</v>
      </c>
      <c r="H50" s="1067"/>
    </row>
    <row r="51" spans="1:8" x14ac:dyDescent="0.25">
      <c r="A51" s="1067" t="s">
        <v>255</v>
      </c>
      <c r="B51" s="1067" t="s">
        <v>42</v>
      </c>
      <c r="C51" s="1067" t="s">
        <v>288</v>
      </c>
      <c r="D51" s="1067">
        <v>32</v>
      </c>
      <c r="E51" s="1067">
        <v>2</v>
      </c>
      <c r="F51" s="1067">
        <v>8</v>
      </c>
      <c r="G51" s="1067">
        <v>18</v>
      </c>
      <c r="H51" s="1067">
        <v>4</v>
      </c>
    </row>
    <row r="52" spans="1:8" x14ac:dyDescent="0.25">
      <c r="A52" s="1067" t="s">
        <v>255</v>
      </c>
      <c r="B52" s="1067" t="s">
        <v>43</v>
      </c>
      <c r="C52" s="1067" t="s">
        <v>313</v>
      </c>
      <c r="D52" s="1067">
        <v>60</v>
      </c>
      <c r="E52" s="1067">
        <v>4</v>
      </c>
      <c r="F52" s="1067">
        <v>12</v>
      </c>
      <c r="G52" s="1067">
        <v>40</v>
      </c>
      <c r="H52" s="1067">
        <v>4</v>
      </c>
    </row>
    <row r="53" spans="1:8" x14ac:dyDescent="0.25">
      <c r="A53" s="1067" t="s">
        <v>255</v>
      </c>
      <c r="B53" s="1067" t="s">
        <v>121</v>
      </c>
      <c r="C53" s="1067" t="s">
        <v>312</v>
      </c>
      <c r="D53" s="1067">
        <v>28</v>
      </c>
      <c r="E53" s="1067">
        <v>4</v>
      </c>
      <c r="F53" s="1067">
        <v>6</v>
      </c>
      <c r="G53" s="1067">
        <v>18</v>
      </c>
      <c r="H53" s="1067"/>
    </row>
    <row r="54" spans="1:8" x14ac:dyDescent="0.25">
      <c r="A54" s="1067" t="s">
        <v>255</v>
      </c>
      <c r="B54" s="1067" t="s">
        <v>121</v>
      </c>
      <c r="C54" s="1067" t="s">
        <v>1076</v>
      </c>
      <c r="D54" s="1067">
        <v>28</v>
      </c>
      <c r="E54" s="1067">
        <v>4</v>
      </c>
      <c r="F54" s="1067">
        <v>6</v>
      </c>
      <c r="G54" s="1067">
        <v>18</v>
      </c>
      <c r="H54" s="1067"/>
    </row>
    <row r="55" spans="1:8" x14ac:dyDescent="0.25">
      <c r="A55" s="1067" t="s">
        <v>255</v>
      </c>
      <c r="B55" s="1067" t="s">
        <v>44</v>
      </c>
      <c r="C55" s="1067" t="s">
        <v>289</v>
      </c>
      <c r="D55" s="1067">
        <v>160</v>
      </c>
      <c r="E55" s="1067">
        <v>2</v>
      </c>
      <c r="F55" s="1067">
        <v>24</v>
      </c>
      <c r="G55" s="1067">
        <v>128</v>
      </c>
      <c r="H55" s="1067">
        <v>6</v>
      </c>
    </row>
    <row r="56" spans="1:8" x14ac:dyDescent="0.25">
      <c r="A56" s="1067" t="s">
        <v>255</v>
      </c>
      <c r="B56" s="1067" t="s">
        <v>45</v>
      </c>
      <c r="C56" s="1067" t="s">
        <v>290</v>
      </c>
      <c r="D56" s="1067">
        <v>14</v>
      </c>
      <c r="E56" s="1067">
        <v>2</v>
      </c>
      <c r="F56" s="1067"/>
      <c r="G56" s="1067">
        <v>12</v>
      </c>
      <c r="H56" s="1067"/>
    </row>
    <row r="57" spans="1:8" x14ac:dyDescent="0.25">
      <c r="A57" s="1067" t="s">
        <v>255</v>
      </c>
      <c r="B57" s="1067" t="s">
        <v>46</v>
      </c>
      <c r="C57" s="1067" t="s">
        <v>291</v>
      </c>
      <c r="D57" s="1067">
        <v>6</v>
      </c>
      <c r="E57" s="1067"/>
      <c r="F57" s="1067">
        <v>2</v>
      </c>
      <c r="G57" s="1067">
        <v>4</v>
      </c>
      <c r="H57" s="1067"/>
    </row>
    <row r="58" spans="1:8" x14ac:dyDescent="0.25">
      <c r="A58" s="1067" t="s">
        <v>255</v>
      </c>
      <c r="B58" s="1067" t="s">
        <v>47</v>
      </c>
      <c r="C58" s="1067" t="s">
        <v>292</v>
      </c>
      <c r="D58" s="1067">
        <v>38</v>
      </c>
      <c r="E58" s="1067"/>
      <c r="F58" s="1067">
        <v>10</v>
      </c>
      <c r="G58" s="1067">
        <v>26</v>
      </c>
      <c r="H58" s="1067">
        <v>2</v>
      </c>
    </row>
    <row r="59" spans="1:8" x14ac:dyDescent="0.25">
      <c r="A59" s="1067" t="s">
        <v>255</v>
      </c>
      <c r="B59" s="1067" t="s">
        <v>48</v>
      </c>
      <c r="C59" s="1067" t="s">
        <v>287</v>
      </c>
      <c r="D59" s="1067">
        <v>34</v>
      </c>
      <c r="E59" s="1067"/>
      <c r="F59" s="1067">
        <v>2</v>
      </c>
      <c r="G59" s="1067">
        <v>32</v>
      </c>
      <c r="H59" s="1067"/>
    </row>
    <row r="60" spans="1:8" x14ac:dyDescent="0.25">
      <c r="A60" s="1067" t="s">
        <v>255</v>
      </c>
      <c r="B60" s="1067" t="s">
        <v>49</v>
      </c>
      <c r="C60" s="1067" t="s">
        <v>293</v>
      </c>
      <c r="D60" s="1067">
        <v>40</v>
      </c>
      <c r="E60" s="1067"/>
      <c r="F60" s="1067">
        <v>8</v>
      </c>
      <c r="G60" s="1067">
        <v>30</v>
      </c>
      <c r="H60" s="1067">
        <v>2</v>
      </c>
    </row>
    <row r="61" spans="1:8" x14ac:dyDescent="0.25">
      <c r="A61" s="1067" t="s">
        <v>255</v>
      </c>
      <c r="B61" s="1067" t="s">
        <v>50</v>
      </c>
      <c r="C61" s="1067" t="s">
        <v>310</v>
      </c>
      <c r="D61" s="1067">
        <v>18</v>
      </c>
      <c r="E61" s="1067">
        <v>2</v>
      </c>
      <c r="F61" s="1067">
        <v>4</v>
      </c>
      <c r="G61" s="1067">
        <v>8</v>
      </c>
      <c r="H61" s="1067">
        <v>4</v>
      </c>
    </row>
    <row r="62" spans="1:8" x14ac:dyDescent="0.25">
      <c r="A62" s="1067" t="s">
        <v>255</v>
      </c>
      <c r="B62" s="1067" t="s">
        <v>50</v>
      </c>
      <c r="C62" s="1067" t="s">
        <v>1078</v>
      </c>
      <c r="D62" s="1067">
        <v>18</v>
      </c>
      <c r="E62" s="1067">
        <v>2</v>
      </c>
      <c r="F62" s="1067">
        <v>4</v>
      </c>
      <c r="G62" s="1067">
        <v>8</v>
      </c>
      <c r="H62" s="1067">
        <v>4</v>
      </c>
    </row>
    <row r="63" spans="1:8" x14ac:dyDescent="0.25">
      <c r="A63" s="1067" t="s">
        <v>255</v>
      </c>
      <c r="B63" s="1067" t="s">
        <v>51</v>
      </c>
      <c r="C63" s="1067" t="s">
        <v>294</v>
      </c>
      <c r="D63" s="1067">
        <v>32</v>
      </c>
      <c r="E63" s="1067"/>
      <c r="F63" s="1067">
        <v>2</v>
      </c>
      <c r="G63" s="1067">
        <v>30</v>
      </c>
      <c r="H63" s="1067"/>
    </row>
    <row r="64" spans="1:8" x14ac:dyDescent="0.25">
      <c r="A64" s="1067" t="s">
        <v>255</v>
      </c>
      <c r="B64" s="1067" t="s">
        <v>52</v>
      </c>
      <c r="C64" s="1067" t="s">
        <v>295</v>
      </c>
      <c r="D64" s="1067">
        <v>44</v>
      </c>
      <c r="E64" s="1067">
        <v>2</v>
      </c>
      <c r="F64" s="1067">
        <v>8</v>
      </c>
      <c r="G64" s="1067">
        <v>32</v>
      </c>
      <c r="H64" s="1067">
        <v>2</v>
      </c>
    </row>
    <row r="65" spans="1:8" x14ac:dyDescent="0.25">
      <c r="A65" s="1067" t="s">
        <v>255</v>
      </c>
      <c r="B65" s="1067" t="s">
        <v>53</v>
      </c>
      <c r="C65" s="1067" t="s">
        <v>305</v>
      </c>
      <c r="D65" s="1067">
        <v>18</v>
      </c>
      <c r="E65" s="1067">
        <v>4</v>
      </c>
      <c r="F65" s="1067">
        <v>6</v>
      </c>
      <c r="G65" s="1067">
        <v>8</v>
      </c>
      <c r="H65" s="1067"/>
    </row>
    <row r="66" spans="1:8" x14ac:dyDescent="0.25">
      <c r="A66" s="1067" t="s">
        <v>255</v>
      </c>
      <c r="B66" s="1067" t="s">
        <v>54</v>
      </c>
      <c r="C66" s="1067" t="s">
        <v>296</v>
      </c>
      <c r="D66" s="1067">
        <v>38</v>
      </c>
      <c r="E66" s="1067"/>
      <c r="F66" s="1067">
        <v>4</v>
      </c>
      <c r="G66" s="1067">
        <v>34</v>
      </c>
      <c r="H66" s="1067"/>
    </row>
    <row r="67" spans="1:8" x14ac:dyDescent="0.25">
      <c r="A67" s="1067" t="s">
        <v>255</v>
      </c>
      <c r="B67" s="1067" t="s">
        <v>55</v>
      </c>
      <c r="C67" s="1067" t="s">
        <v>297</v>
      </c>
      <c r="D67" s="1067">
        <v>36</v>
      </c>
      <c r="E67" s="1067"/>
      <c r="F67" s="1067">
        <v>4</v>
      </c>
      <c r="G67" s="1067">
        <v>32</v>
      </c>
      <c r="H67" s="1067"/>
    </row>
    <row r="68" spans="1:8" x14ac:dyDescent="0.25">
      <c r="A68" s="1067" t="s">
        <v>255</v>
      </c>
      <c r="B68" s="1067" t="s">
        <v>56</v>
      </c>
      <c r="C68" s="1067" t="s">
        <v>298</v>
      </c>
      <c r="D68" s="1067">
        <v>18</v>
      </c>
      <c r="E68" s="1067">
        <v>2</v>
      </c>
      <c r="F68" s="1067">
        <v>2</v>
      </c>
      <c r="G68" s="1067">
        <v>14</v>
      </c>
      <c r="H68" s="1067"/>
    </row>
    <row r="69" spans="1:8" x14ac:dyDescent="0.25">
      <c r="A69" s="1067" t="s">
        <v>255</v>
      </c>
      <c r="B69" s="1067" t="s">
        <v>57</v>
      </c>
      <c r="C69" s="1067" t="s">
        <v>299</v>
      </c>
      <c r="D69" s="1067">
        <v>46</v>
      </c>
      <c r="E69" s="1067">
        <v>2</v>
      </c>
      <c r="F69" s="1067">
        <v>14</v>
      </c>
      <c r="G69" s="1067">
        <v>28</v>
      </c>
      <c r="H69" s="1067">
        <v>2</v>
      </c>
    </row>
    <row r="70" spans="1:8" x14ac:dyDescent="0.25">
      <c r="A70" s="1067" t="s">
        <v>255</v>
      </c>
      <c r="B70" s="1067" t="s">
        <v>58</v>
      </c>
      <c r="C70" s="1067" t="s">
        <v>300</v>
      </c>
      <c r="D70" s="1067">
        <v>30</v>
      </c>
      <c r="E70" s="1067"/>
      <c r="F70" s="1067">
        <v>12</v>
      </c>
      <c r="G70" s="1067">
        <v>18</v>
      </c>
      <c r="H70" s="1067"/>
    </row>
    <row r="71" spans="1:8" x14ac:dyDescent="0.25">
      <c r="A71" s="1067" t="s">
        <v>255</v>
      </c>
      <c r="B71" s="1067" t="s">
        <v>59</v>
      </c>
      <c r="C71" s="1067" t="s">
        <v>306</v>
      </c>
      <c r="D71" s="1067">
        <v>14</v>
      </c>
      <c r="E71" s="1067">
        <v>2</v>
      </c>
      <c r="F71" s="1067">
        <v>2</v>
      </c>
      <c r="G71" s="1067">
        <v>8</v>
      </c>
      <c r="H71" s="1067">
        <v>2</v>
      </c>
    </row>
    <row r="72" spans="1:8" x14ac:dyDescent="0.25">
      <c r="A72" s="1067" t="s">
        <v>255</v>
      </c>
      <c r="B72" s="1067" t="s">
        <v>60</v>
      </c>
      <c r="C72" s="1067" t="s">
        <v>307</v>
      </c>
      <c r="D72" s="1067">
        <v>22</v>
      </c>
      <c r="E72" s="1067"/>
      <c r="F72" s="1067">
        <v>4</v>
      </c>
      <c r="G72" s="1067">
        <v>16</v>
      </c>
      <c r="H72" s="1067">
        <v>2</v>
      </c>
    </row>
    <row r="73" spans="1:8" x14ac:dyDescent="0.25">
      <c r="A73" s="1067" t="s">
        <v>254</v>
      </c>
      <c r="B73" s="1067" t="s">
        <v>31</v>
      </c>
      <c r="C73" s="1067" t="s">
        <v>301</v>
      </c>
      <c r="D73" s="1067">
        <v>38</v>
      </c>
      <c r="E73" s="1067">
        <v>4</v>
      </c>
      <c r="F73" s="1067">
        <v>6</v>
      </c>
      <c r="G73" s="1067">
        <v>16</v>
      </c>
      <c r="H73" s="1067">
        <v>12</v>
      </c>
    </row>
    <row r="74" spans="1:8" x14ac:dyDescent="0.25">
      <c r="A74" s="1067" t="s">
        <v>254</v>
      </c>
      <c r="B74" s="1067" t="s">
        <v>32</v>
      </c>
      <c r="C74" s="1067" t="s">
        <v>302</v>
      </c>
      <c r="D74" s="1067">
        <v>74</v>
      </c>
      <c r="E74" s="1067"/>
      <c r="F74" s="1067">
        <v>10</v>
      </c>
      <c r="G74" s="1067">
        <v>62</v>
      </c>
      <c r="H74" s="1067">
        <v>2</v>
      </c>
    </row>
    <row r="75" spans="1:8" x14ac:dyDescent="0.25">
      <c r="A75" s="1067" t="s">
        <v>254</v>
      </c>
      <c r="B75" s="1067" t="s">
        <v>33</v>
      </c>
      <c r="C75" s="1067" t="s">
        <v>308</v>
      </c>
      <c r="D75" s="1067">
        <v>26</v>
      </c>
      <c r="E75" s="1067"/>
      <c r="F75" s="1067">
        <v>2</v>
      </c>
      <c r="G75" s="1067">
        <v>22</v>
      </c>
      <c r="H75" s="1067">
        <v>2</v>
      </c>
    </row>
    <row r="76" spans="1:8" x14ac:dyDescent="0.25">
      <c r="A76" s="1067" t="s">
        <v>254</v>
      </c>
      <c r="B76" s="1067" t="s">
        <v>34</v>
      </c>
      <c r="C76" s="1067" t="s">
        <v>303</v>
      </c>
      <c r="D76" s="1067">
        <v>102</v>
      </c>
      <c r="E76" s="1067">
        <v>2</v>
      </c>
      <c r="F76" s="1067">
        <v>50</v>
      </c>
      <c r="G76" s="1067">
        <v>50</v>
      </c>
      <c r="H76" s="1067"/>
    </row>
    <row r="77" spans="1:8" x14ac:dyDescent="0.25">
      <c r="A77" s="1067" t="s">
        <v>254</v>
      </c>
      <c r="B77" s="1067" t="s">
        <v>258</v>
      </c>
      <c r="C77" s="1067" t="s">
        <v>304</v>
      </c>
      <c r="D77" s="1067">
        <v>50</v>
      </c>
      <c r="E77" s="1067">
        <v>8</v>
      </c>
      <c r="F77" s="1067">
        <v>6</v>
      </c>
      <c r="G77" s="1067">
        <v>24</v>
      </c>
      <c r="H77" s="1067">
        <v>12</v>
      </c>
    </row>
    <row r="78" spans="1:8" x14ac:dyDescent="0.25">
      <c r="A78" s="1067" t="s">
        <v>254</v>
      </c>
      <c r="B78" s="1067" t="s">
        <v>35</v>
      </c>
      <c r="C78" s="1067" t="s">
        <v>282</v>
      </c>
      <c r="D78" s="1067">
        <v>10</v>
      </c>
      <c r="E78" s="1067"/>
      <c r="F78" s="1067">
        <v>4</v>
      </c>
      <c r="G78" s="1067">
        <v>6</v>
      </c>
      <c r="H78" s="1067"/>
    </row>
    <row r="79" spans="1:8" x14ac:dyDescent="0.25">
      <c r="A79" s="1067" t="s">
        <v>254</v>
      </c>
      <c r="B79" s="1067" t="s">
        <v>36</v>
      </c>
      <c r="C79" s="1067" t="s">
        <v>283</v>
      </c>
      <c r="D79" s="1067">
        <v>60</v>
      </c>
      <c r="E79" s="1067">
        <v>2</v>
      </c>
      <c r="F79" s="1067">
        <v>14</v>
      </c>
      <c r="G79" s="1067">
        <v>44</v>
      </c>
      <c r="H79" s="1067"/>
    </row>
    <row r="80" spans="1:8" x14ac:dyDescent="0.25">
      <c r="A80" s="1067" t="s">
        <v>254</v>
      </c>
      <c r="B80" s="1067" t="s">
        <v>37</v>
      </c>
      <c r="C80" s="1067" t="s">
        <v>309</v>
      </c>
      <c r="D80" s="1067">
        <v>40</v>
      </c>
      <c r="E80" s="1067">
        <v>4</v>
      </c>
      <c r="F80" s="1067">
        <v>6</v>
      </c>
      <c r="G80" s="1067">
        <v>14</v>
      </c>
      <c r="H80" s="1067">
        <v>16</v>
      </c>
    </row>
    <row r="81" spans="1:8" x14ac:dyDescent="0.25">
      <c r="A81" s="1067" t="s">
        <v>254</v>
      </c>
      <c r="B81" s="1067" t="s">
        <v>38</v>
      </c>
      <c r="C81" s="1067" t="s">
        <v>284</v>
      </c>
      <c r="D81" s="1067">
        <v>22</v>
      </c>
      <c r="E81" s="1067">
        <v>2</v>
      </c>
      <c r="F81" s="1067"/>
      <c r="G81" s="1067">
        <v>18</v>
      </c>
      <c r="H81" s="1067">
        <v>2</v>
      </c>
    </row>
    <row r="82" spans="1:8" x14ac:dyDescent="0.25">
      <c r="A82" s="1067" t="s">
        <v>254</v>
      </c>
      <c r="B82" s="1067" t="s">
        <v>39</v>
      </c>
      <c r="C82" s="1067" t="s">
        <v>311</v>
      </c>
      <c r="D82" s="1067">
        <v>10</v>
      </c>
      <c r="E82" s="1067"/>
      <c r="F82" s="1067"/>
      <c r="G82" s="1067">
        <v>6</v>
      </c>
      <c r="H82" s="1067">
        <v>4</v>
      </c>
    </row>
    <row r="83" spans="1:8" x14ac:dyDescent="0.25">
      <c r="A83" s="1067" t="s">
        <v>254</v>
      </c>
      <c r="B83" s="1067" t="s">
        <v>40</v>
      </c>
      <c r="C83" s="1067" t="s">
        <v>285</v>
      </c>
      <c r="D83" s="1067">
        <v>18</v>
      </c>
      <c r="E83" s="1067"/>
      <c r="F83" s="1067"/>
      <c r="G83" s="1067">
        <v>18</v>
      </c>
      <c r="H83" s="1067"/>
    </row>
    <row r="84" spans="1:8" x14ac:dyDescent="0.25">
      <c r="A84" s="1067" t="s">
        <v>254</v>
      </c>
      <c r="B84" s="1067" t="s">
        <v>41</v>
      </c>
      <c r="C84" s="1067" t="s">
        <v>286</v>
      </c>
      <c r="D84" s="1067">
        <v>4</v>
      </c>
      <c r="E84" s="1067"/>
      <c r="F84" s="1067"/>
      <c r="G84" s="1067">
        <v>4</v>
      </c>
      <c r="H84" s="1067"/>
    </row>
    <row r="85" spans="1:8" x14ac:dyDescent="0.25">
      <c r="A85" s="1067" t="s">
        <v>254</v>
      </c>
      <c r="B85" s="1067" t="s">
        <v>42</v>
      </c>
      <c r="C85" s="1067" t="s">
        <v>288</v>
      </c>
      <c r="D85" s="1067">
        <v>34</v>
      </c>
      <c r="E85" s="1067">
        <v>2</v>
      </c>
      <c r="F85" s="1067">
        <v>8</v>
      </c>
      <c r="G85" s="1067">
        <v>20</v>
      </c>
      <c r="H85" s="1067">
        <v>4</v>
      </c>
    </row>
    <row r="86" spans="1:8" x14ac:dyDescent="0.25">
      <c r="A86" s="1067" t="s">
        <v>254</v>
      </c>
      <c r="B86" s="1067" t="s">
        <v>43</v>
      </c>
      <c r="C86" s="1067" t="s">
        <v>313</v>
      </c>
      <c r="D86" s="1067">
        <v>62</v>
      </c>
      <c r="E86" s="1067">
        <v>4</v>
      </c>
      <c r="F86" s="1067">
        <v>12</v>
      </c>
      <c r="G86" s="1067">
        <v>42</v>
      </c>
      <c r="H86" s="1067">
        <v>4</v>
      </c>
    </row>
    <row r="87" spans="1:8" x14ac:dyDescent="0.25">
      <c r="A87" s="1067" t="s">
        <v>254</v>
      </c>
      <c r="B87" s="1067" t="s">
        <v>121</v>
      </c>
      <c r="C87" s="1067" t="s">
        <v>312</v>
      </c>
      <c r="D87" s="1067">
        <v>28</v>
      </c>
      <c r="E87" s="1067">
        <v>4</v>
      </c>
      <c r="F87" s="1067">
        <v>6</v>
      </c>
      <c r="G87" s="1067">
        <v>18</v>
      </c>
      <c r="H87" s="1067"/>
    </row>
    <row r="88" spans="1:8" x14ac:dyDescent="0.25">
      <c r="A88" s="1067" t="s">
        <v>254</v>
      </c>
      <c r="B88" s="1067" t="s">
        <v>121</v>
      </c>
      <c r="C88" s="1067" t="s">
        <v>1076</v>
      </c>
      <c r="D88" s="1067">
        <v>28</v>
      </c>
      <c r="E88" s="1067">
        <v>4</v>
      </c>
      <c r="F88" s="1067">
        <v>6</v>
      </c>
      <c r="G88" s="1067">
        <v>18</v>
      </c>
      <c r="H88" s="1067"/>
    </row>
    <row r="89" spans="1:8" x14ac:dyDescent="0.25">
      <c r="A89" s="1067" t="s">
        <v>254</v>
      </c>
      <c r="B89" s="1067" t="s">
        <v>44</v>
      </c>
      <c r="C89" s="1067" t="s">
        <v>289</v>
      </c>
      <c r="D89" s="1067">
        <v>176</v>
      </c>
      <c r="E89" s="1067">
        <v>2</v>
      </c>
      <c r="F89" s="1067">
        <v>30</v>
      </c>
      <c r="G89" s="1067">
        <v>136</v>
      </c>
      <c r="H89" s="1067">
        <v>8</v>
      </c>
    </row>
    <row r="90" spans="1:8" x14ac:dyDescent="0.25">
      <c r="A90" s="1067" t="s">
        <v>254</v>
      </c>
      <c r="B90" s="1067" t="s">
        <v>45</v>
      </c>
      <c r="C90" s="1067" t="s">
        <v>290</v>
      </c>
      <c r="D90" s="1067">
        <v>16</v>
      </c>
      <c r="E90" s="1067">
        <v>2</v>
      </c>
      <c r="F90" s="1067"/>
      <c r="G90" s="1067">
        <v>14</v>
      </c>
      <c r="H90" s="1067"/>
    </row>
    <row r="91" spans="1:8" x14ac:dyDescent="0.25">
      <c r="A91" s="1067" t="s">
        <v>254</v>
      </c>
      <c r="B91" s="1067" t="s">
        <v>46</v>
      </c>
      <c r="C91" s="1067" t="s">
        <v>291</v>
      </c>
      <c r="D91" s="1067">
        <v>6</v>
      </c>
      <c r="E91" s="1067"/>
      <c r="F91" s="1067">
        <v>2</v>
      </c>
      <c r="G91" s="1067">
        <v>4</v>
      </c>
      <c r="H91" s="1067"/>
    </row>
    <row r="92" spans="1:8" x14ac:dyDescent="0.25">
      <c r="A92" s="1067" t="s">
        <v>254</v>
      </c>
      <c r="B92" s="1067" t="s">
        <v>47</v>
      </c>
      <c r="C92" s="1067" t="s">
        <v>292</v>
      </c>
      <c r="D92" s="1067">
        <v>38</v>
      </c>
      <c r="E92" s="1067"/>
      <c r="F92" s="1067">
        <v>10</v>
      </c>
      <c r="G92" s="1067">
        <v>26</v>
      </c>
      <c r="H92" s="1067">
        <v>2</v>
      </c>
    </row>
    <row r="93" spans="1:8" x14ac:dyDescent="0.25">
      <c r="A93" s="1067" t="s">
        <v>254</v>
      </c>
      <c r="B93" s="1067" t="s">
        <v>48</v>
      </c>
      <c r="C93" s="1067" t="s">
        <v>287</v>
      </c>
      <c r="D93" s="1067">
        <v>36</v>
      </c>
      <c r="E93" s="1067"/>
      <c r="F93" s="1067">
        <v>2</v>
      </c>
      <c r="G93" s="1067">
        <v>34</v>
      </c>
      <c r="H93" s="1067"/>
    </row>
    <row r="94" spans="1:8" x14ac:dyDescent="0.25">
      <c r="A94" s="1067" t="s">
        <v>254</v>
      </c>
      <c r="B94" s="1067" t="s">
        <v>49</v>
      </c>
      <c r="C94" s="1067" t="s">
        <v>293</v>
      </c>
      <c r="D94" s="1067">
        <v>40</v>
      </c>
      <c r="E94" s="1067"/>
      <c r="F94" s="1067">
        <v>6</v>
      </c>
      <c r="G94" s="1067">
        <v>32</v>
      </c>
      <c r="H94" s="1067">
        <v>2</v>
      </c>
    </row>
    <row r="95" spans="1:8" x14ac:dyDescent="0.25">
      <c r="A95" s="1067" t="s">
        <v>254</v>
      </c>
      <c r="B95" s="1067" t="s">
        <v>50</v>
      </c>
      <c r="C95" s="1067" t="s">
        <v>310</v>
      </c>
      <c r="D95" s="1067">
        <v>15</v>
      </c>
      <c r="E95" s="1067">
        <v>2</v>
      </c>
      <c r="F95" s="1067">
        <v>3</v>
      </c>
      <c r="G95" s="1067">
        <v>8</v>
      </c>
      <c r="H95" s="1067">
        <v>2</v>
      </c>
    </row>
    <row r="96" spans="1:8" x14ac:dyDescent="0.25">
      <c r="A96" s="1067" t="s">
        <v>254</v>
      </c>
      <c r="B96" s="1067" t="s">
        <v>50</v>
      </c>
      <c r="C96" s="1067" t="s">
        <v>1078</v>
      </c>
      <c r="D96" s="1067">
        <v>15</v>
      </c>
      <c r="E96" s="1067">
        <v>2</v>
      </c>
      <c r="F96" s="1067">
        <v>3</v>
      </c>
      <c r="G96" s="1067">
        <v>8</v>
      </c>
      <c r="H96" s="1067">
        <v>2</v>
      </c>
    </row>
    <row r="97" spans="1:8" x14ac:dyDescent="0.25">
      <c r="A97" s="1067" t="s">
        <v>254</v>
      </c>
      <c r="B97" s="1067" t="s">
        <v>51</v>
      </c>
      <c r="C97" s="1067" t="s">
        <v>294</v>
      </c>
      <c r="D97" s="1067">
        <v>30</v>
      </c>
      <c r="E97" s="1067"/>
      <c r="F97" s="1067">
        <v>2</v>
      </c>
      <c r="G97" s="1067">
        <v>28</v>
      </c>
      <c r="H97" s="1067"/>
    </row>
    <row r="98" spans="1:8" x14ac:dyDescent="0.25">
      <c r="A98" s="1067" t="s">
        <v>254</v>
      </c>
      <c r="B98" s="1067" t="s">
        <v>52</v>
      </c>
      <c r="C98" s="1067" t="s">
        <v>295</v>
      </c>
      <c r="D98" s="1067">
        <v>46</v>
      </c>
      <c r="E98" s="1067">
        <v>2</v>
      </c>
      <c r="F98" s="1067">
        <v>8</v>
      </c>
      <c r="G98" s="1067">
        <v>32</v>
      </c>
      <c r="H98" s="1067">
        <v>4</v>
      </c>
    </row>
    <row r="99" spans="1:8" x14ac:dyDescent="0.25">
      <c r="A99" s="1067" t="s">
        <v>254</v>
      </c>
      <c r="B99" s="1067" t="s">
        <v>53</v>
      </c>
      <c r="C99" s="1067" t="s">
        <v>305</v>
      </c>
      <c r="D99" s="1067">
        <v>20</v>
      </c>
      <c r="E99" s="1067">
        <v>4</v>
      </c>
      <c r="F99" s="1067">
        <v>8</v>
      </c>
      <c r="G99" s="1067">
        <v>8</v>
      </c>
      <c r="H99" s="1067"/>
    </row>
    <row r="100" spans="1:8" x14ac:dyDescent="0.25">
      <c r="A100" s="1067" t="s">
        <v>254</v>
      </c>
      <c r="B100" s="1067" t="s">
        <v>54</v>
      </c>
      <c r="C100" s="1067" t="s">
        <v>296</v>
      </c>
      <c r="D100" s="1067">
        <v>40</v>
      </c>
      <c r="E100" s="1067"/>
      <c r="F100" s="1067">
        <v>6</v>
      </c>
      <c r="G100" s="1067">
        <v>34</v>
      </c>
      <c r="H100" s="1067"/>
    </row>
    <row r="101" spans="1:8" x14ac:dyDescent="0.25">
      <c r="A101" s="1067" t="s">
        <v>254</v>
      </c>
      <c r="B101" s="1067" t="s">
        <v>55</v>
      </c>
      <c r="C101" s="1067" t="s">
        <v>297</v>
      </c>
      <c r="D101" s="1067">
        <v>36</v>
      </c>
      <c r="E101" s="1067"/>
      <c r="F101" s="1067">
        <v>4</v>
      </c>
      <c r="G101" s="1067">
        <v>32</v>
      </c>
      <c r="H101" s="1067"/>
    </row>
    <row r="102" spans="1:8" x14ac:dyDescent="0.25">
      <c r="A102" s="1067" t="s">
        <v>254</v>
      </c>
      <c r="B102" s="1067" t="s">
        <v>56</v>
      </c>
      <c r="C102" s="1067" t="s">
        <v>298</v>
      </c>
      <c r="D102" s="1067">
        <v>18</v>
      </c>
      <c r="E102" s="1067">
        <v>2</v>
      </c>
      <c r="F102" s="1067">
        <v>2</v>
      </c>
      <c r="G102" s="1067">
        <v>14</v>
      </c>
      <c r="H102" s="1067"/>
    </row>
    <row r="103" spans="1:8" x14ac:dyDescent="0.25">
      <c r="A103" s="1067" t="s">
        <v>254</v>
      </c>
      <c r="B103" s="1067" t="s">
        <v>57</v>
      </c>
      <c r="C103" s="1067" t="s">
        <v>299</v>
      </c>
      <c r="D103" s="1067">
        <v>48</v>
      </c>
      <c r="E103" s="1067">
        <v>2</v>
      </c>
      <c r="F103" s="1067">
        <v>16</v>
      </c>
      <c r="G103" s="1067">
        <v>28</v>
      </c>
      <c r="H103" s="1067">
        <v>2</v>
      </c>
    </row>
    <row r="104" spans="1:8" x14ac:dyDescent="0.25">
      <c r="A104" s="1067" t="s">
        <v>254</v>
      </c>
      <c r="B104" s="1067" t="s">
        <v>58</v>
      </c>
      <c r="C104" s="1067" t="s">
        <v>300</v>
      </c>
      <c r="D104" s="1067">
        <v>30</v>
      </c>
      <c r="E104" s="1067"/>
      <c r="F104" s="1067">
        <v>12</v>
      </c>
      <c r="G104" s="1067">
        <v>18</v>
      </c>
      <c r="H104" s="1067"/>
    </row>
    <row r="105" spans="1:8" x14ac:dyDescent="0.25">
      <c r="A105" s="1067" t="s">
        <v>254</v>
      </c>
      <c r="B105" s="1067" t="s">
        <v>59</v>
      </c>
      <c r="C105" s="1067" t="s">
        <v>306</v>
      </c>
      <c r="D105" s="1067">
        <v>14</v>
      </c>
      <c r="E105" s="1067">
        <v>2</v>
      </c>
      <c r="F105" s="1067">
        <v>2</v>
      </c>
      <c r="G105" s="1067">
        <v>8</v>
      </c>
      <c r="H105" s="1067">
        <v>2</v>
      </c>
    </row>
    <row r="106" spans="1:8" x14ac:dyDescent="0.25">
      <c r="A106" s="1067" t="s">
        <v>254</v>
      </c>
      <c r="B106" s="1067" t="s">
        <v>60</v>
      </c>
      <c r="C106" s="1067" t="s">
        <v>307</v>
      </c>
      <c r="D106" s="1067">
        <v>24</v>
      </c>
      <c r="E106" s="1067"/>
      <c r="F106" s="1067">
        <v>6</v>
      </c>
      <c r="G106" s="1067">
        <v>16</v>
      </c>
      <c r="H106" s="1067">
        <v>2</v>
      </c>
    </row>
    <row r="107" spans="1:8" x14ac:dyDescent="0.25">
      <c r="A107" s="1067" t="s">
        <v>851</v>
      </c>
      <c r="B107" s="1067" t="s">
        <v>31</v>
      </c>
      <c r="C107" s="1067" t="s">
        <v>301</v>
      </c>
      <c r="D107" s="1067">
        <v>42</v>
      </c>
      <c r="E107" s="1067">
        <v>2</v>
      </c>
      <c r="F107" s="1067">
        <v>10</v>
      </c>
      <c r="G107" s="1067">
        <v>18</v>
      </c>
      <c r="H107" s="1067">
        <v>12</v>
      </c>
    </row>
    <row r="108" spans="1:8" x14ac:dyDescent="0.25">
      <c r="A108" s="1067" t="s">
        <v>851</v>
      </c>
      <c r="B108" s="1067" t="s">
        <v>32</v>
      </c>
      <c r="C108" s="1067" t="s">
        <v>302</v>
      </c>
      <c r="D108" s="1067">
        <v>76</v>
      </c>
      <c r="E108" s="1067"/>
      <c r="F108" s="1067">
        <v>12</v>
      </c>
      <c r="G108" s="1067">
        <v>62</v>
      </c>
      <c r="H108" s="1067">
        <v>2</v>
      </c>
    </row>
    <row r="109" spans="1:8" x14ac:dyDescent="0.25">
      <c r="A109" s="1067" t="s">
        <v>851</v>
      </c>
      <c r="B109" s="1067" t="s">
        <v>33</v>
      </c>
      <c r="C109" s="1067" t="s">
        <v>308</v>
      </c>
      <c r="D109" s="1067">
        <v>26</v>
      </c>
      <c r="E109" s="1067"/>
      <c r="F109" s="1067">
        <v>2</v>
      </c>
      <c r="G109" s="1067">
        <v>22</v>
      </c>
      <c r="H109" s="1067">
        <v>2</v>
      </c>
    </row>
    <row r="110" spans="1:8" x14ac:dyDescent="0.25">
      <c r="A110" s="1067" t="s">
        <v>851</v>
      </c>
      <c r="B110" s="1067" t="s">
        <v>34</v>
      </c>
      <c r="C110" s="1067" t="s">
        <v>303</v>
      </c>
      <c r="D110" s="1067">
        <v>94</v>
      </c>
      <c r="E110" s="1067">
        <v>2</v>
      </c>
      <c r="F110" s="1067">
        <v>44</v>
      </c>
      <c r="G110" s="1067">
        <v>48</v>
      </c>
      <c r="H110" s="1067"/>
    </row>
    <row r="111" spans="1:8" x14ac:dyDescent="0.25">
      <c r="A111" s="1067" t="s">
        <v>851</v>
      </c>
      <c r="B111" s="1067" t="s">
        <v>258</v>
      </c>
      <c r="C111" s="1067" t="s">
        <v>304</v>
      </c>
      <c r="D111" s="1067">
        <v>50</v>
      </c>
      <c r="E111" s="1067">
        <v>6</v>
      </c>
      <c r="F111" s="1067">
        <v>10</v>
      </c>
      <c r="G111" s="1067">
        <v>24</v>
      </c>
      <c r="H111" s="1067">
        <v>10</v>
      </c>
    </row>
    <row r="112" spans="1:8" x14ac:dyDescent="0.25">
      <c r="A112" s="1067" t="s">
        <v>851</v>
      </c>
      <c r="B112" s="1067" t="s">
        <v>35</v>
      </c>
      <c r="C112" s="1067" t="s">
        <v>282</v>
      </c>
      <c r="D112" s="1067">
        <v>8</v>
      </c>
      <c r="E112" s="1067"/>
      <c r="F112" s="1067">
        <v>4</v>
      </c>
      <c r="G112" s="1067">
        <v>4</v>
      </c>
      <c r="H112" s="1067"/>
    </row>
    <row r="113" spans="1:8" x14ac:dyDescent="0.25">
      <c r="A113" s="1067" t="s">
        <v>851</v>
      </c>
      <c r="B113" s="1067" t="s">
        <v>36</v>
      </c>
      <c r="C113" s="1067" t="s">
        <v>283</v>
      </c>
      <c r="D113" s="1067">
        <v>56</v>
      </c>
      <c r="E113" s="1067">
        <v>2</v>
      </c>
      <c r="F113" s="1067">
        <v>12</v>
      </c>
      <c r="G113" s="1067">
        <v>42</v>
      </c>
      <c r="H113" s="1067"/>
    </row>
    <row r="114" spans="1:8" x14ac:dyDescent="0.25">
      <c r="A114" s="1067" t="s">
        <v>851</v>
      </c>
      <c r="B114" s="1067" t="s">
        <v>37</v>
      </c>
      <c r="C114" s="1067" t="s">
        <v>309</v>
      </c>
      <c r="D114" s="1067">
        <v>38</v>
      </c>
      <c r="E114" s="1067">
        <v>4</v>
      </c>
      <c r="F114" s="1067">
        <v>6</v>
      </c>
      <c r="G114" s="1067">
        <v>14</v>
      </c>
      <c r="H114" s="1067">
        <v>14</v>
      </c>
    </row>
    <row r="115" spans="1:8" x14ac:dyDescent="0.25">
      <c r="A115" s="1067" t="s">
        <v>851</v>
      </c>
      <c r="B115" s="1067" t="s">
        <v>38</v>
      </c>
      <c r="C115" s="1067" t="s">
        <v>284</v>
      </c>
      <c r="D115" s="1067">
        <v>22</v>
      </c>
      <c r="E115" s="1067">
        <v>2</v>
      </c>
      <c r="F115" s="1067"/>
      <c r="G115" s="1067">
        <v>18</v>
      </c>
      <c r="H115" s="1067">
        <v>2</v>
      </c>
    </row>
    <row r="116" spans="1:8" x14ac:dyDescent="0.25">
      <c r="A116" s="1067" t="s">
        <v>851</v>
      </c>
      <c r="B116" s="1067" t="s">
        <v>39</v>
      </c>
      <c r="C116" s="1067" t="s">
        <v>311</v>
      </c>
      <c r="D116" s="1067">
        <v>10</v>
      </c>
      <c r="E116" s="1067"/>
      <c r="F116" s="1067"/>
      <c r="G116" s="1067">
        <v>6</v>
      </c>
      <c r="H116" s="1067">
        <v>4</v>
      </c>
    </row>
    <row r="117" spans="1:8" x14ac:dyDescent="0.25">
      <c r="A117" s="1067" t="s">
        <v>851</v>
      </c>
      <c r="B117" s="1067" t="s">
        <v>40</v>
      </c>
      <c r="C117" s="1067" t="s">
        <v>285</v>
      </c>
      <c r="D117" s="1067">
        <v>20</v>
      </c>
      <c r="E117" s="1067"/>
      <c r="F117" s="1067">
        <v>2</v>
      </c>
      <c r="G117" s="1067">
        <v>18</v>
      </c>
      <c r="H117" s="1067"/>
    </row>
    <row r="118" spans="1:8" x14ac:dyDescent="0.25">
      <c r="A118" s="1067" t="s">
        <v>851</v>
      </c>
      <c r="B118" s="1067" t="s">
        <v>41</v>
      </c>
      <c r="C118" s="1067" t="s">
        <v>286</v>
      </c>
      <c r="D118" s="1067">
        <v>4</v>
      </c>
      <c r="E118" s="1067"/>
      <c r="F118" s="1067"/>
      <c r="G118" s="1067">
        <v>4</v>
      </c>
      <c r="H118" s="1067"/>
    </row>
    <row r="119" spans="1:8" x14ac:dyDescent="0.25">
      <c r="A119" s="1067" t="s">
        <v>851</v>
      </c>
      <c r="B119" s="1067" t="s">
        <v>42</v>
      </c>
      <c r="C119" s="1067" t="s">
        <v>288</v>
      </c>
      <c r="D119" s="1067">
        <v>36</v>
      </c>
      <c r="E119" s="1067">
        <v>4</v>
      </c>
      <c r="F119" s="1067">
        <v>10</v>
      </c>
      <c r="G119" s="1067">
        <v>18</v>
      </c>
      <c r="H119" s="1067">
        <v>4</v>
      </c>
    </row>
    <row r="120" spans="1:8" x14ac:dyDescent="0.25">
      <c r="A120" s="1067" t="s">
        <v>851</v>
      </c>
      <c r="B120" s="1067" t="s">
        <v>43</v>
      </c>
      <c r="C120" s="1067" t="s">
        <v>313</v>
      </c>
      <c r="D120" s="1067">
        <v>60</v>
      </c>
      <c r="E120" s="1067">
        <v>4</v>
      </c>
      <c r="F120" s="1067">
        <v>14</v>
      </c>
      <c r="G120" s="1067">
        <v>38</v>
      </c>
      <c r="H120" s="1067">
        <v>4</v>
      </c>
    </row>
    <row r="121" spans="1:8" x14ac:dyDescent="0.25">
      <c r="A121" s="1067" t="s">
        <v>851</v>
      </c>
      <c r="B121" s="1067" t="s">
        <v>121</v>
      </c>
      <c r="C121" s="1067" t="s">
        <v>312</v>
      </c>
      <c r="D121" s="1067">
        <v>28</v>
      </c>
      <c r="E121" s="1067">
        <v>3</v>
      </c>
      <c r="F121" s="1067">
        <v>6</v>
      </c>
      <c r="G121" s="1067">
        <v>19</v>
      </c>
      <c r="H121" s="1067"/>
    </row>
    <row r="122" spans="1:8" x14ac:dyDescent="0.25">
      <c r="A122" s="1067" t="s">
        <v>851</v>
      </c>
      <c r="B122" s="1067" t="s">
        <v>121</v>
      </c>
      <c r="C122" s="1067" t="s">
        <v>1076</v>
      </c>
      <c r="D122" s="1067">
        <v>28</v>
      </c>
      <c r="E122" s="1067">
        <v>3</v>
      </c>
      <c r="F122" s="1067">
        <v>6</v>
      </c>
      <c r="G122" s="1067">
        <v>19</v>
      </c>
      <c r="H122" s="1067"/>
    </row>
    <row r="123" spans="1:8" x14ac:dyDescent="0.25">
      <c r="A123" s="1067" t="s">
        <v>851</v>
      </c>
      <c r="B123" s="1067" t="s">
        <v>44</v>
      </c>
      <c r="C123" s="1067" t="s">
        <v>289</v>
      </c>
      <c r="D123" s="1067">
        <v>166</v>
      </c>
      <c r="E123" s="1067">
        <v>4</v>
      </c>
      <c r="F123" s="1067">
        <v>26</v>
      </c>
      <c r="G123" s="1067">
        <v>130</v>
      </c>
      <c r="H123" s="1067">
        <v>6</v>
      </c>
    </row>
    <row r="124" spans="1:8" x14ac:dyDescent="0.25">
      <c r="A124" s="1067" t="s">
        <v>851</v>
      </c>
      <c r="B124" s="1067" t="s">
        <v>45</v>
      </c>
      <c r="C124" s="1067" t="s">
        <v>290</v>
      </c>
      <c r="D124" s="1067">
        <v>14</v>
      </c>
      <c r="E124" s="1067">
        <v>2</v>
      </c>
      <c r="F124" s="1067"/>
      <c r="G124" s="1067">
        <v>12</v>
      </c>
      <c r="H124" s="1067"/>
    </row>
    <row r="125" spans="1:8" x14ac:dyDescent="0.25">
      <c r="A125" s="1067" t="s">
        <v>851</v>
      </c>
      <c r="B125" s="1067" t="s">
        <v>46</v>
      </c>
      <c r="C125" s="1067" t="s">
        <v>291</v>
      </c>
      <c r="D125" s="1067">
        <v>6</v>
      </c>
      <c r="E125" s="1067"/>
      <c r="F125" s="1067">
        <v>2</v>
      </c>
      <c r="G125" s="1067">
        <v>4</v>
      </c>
      <c r="H125" s="1067"/>
    </row>
    <row r="126" spans="1:8" x14ac:dyDescent="0.25">
      <c r="A126" s="1067" t="s">
        <v>851</v>
      </c>
      <c r="B126" s="1067" t="s">
        <v>47</v>
      </c>
      <c r="C126" s="1067" t="s">
        <v>292</v>
      </c>
      <c r="D126" s="1067">
        <v>40</v>
      </c>
      <c r="E126" s="1067"/>
      <c r="F126" s="1067">
        <v>12</v>
      </c>
      <c r="G126" s="1067">
        <v>26</v>
      </c>
      <c r="H126" s="1067">
        <v>2</v>
      </c>
    </row>
    <row r="127" spans="1:8" x14ac:dyDescent="0.25">
      <c r="A127" s="1067" t="s">
        <v>851</v>
      </c>
      <c r="B127" s="1067" t="s">
        <v>48</v>
      </c>
      <c r="C127" s="1067" t="s">
        <v>287</v>
      </c>
      <c r="D127" s="1067">
        <v>34</v>
      </c>
      <c r="E127" s="1067"/>
      <c r="F127" s="1067">
        <v>2</v>
      </c>
      <c r="G127" s="1067">
        <v>32</v>
      </c>
      <c r="H127" s="1067"/>
    </row>
    <row r="128" spans="1:8" x14ac:dyDescent="0.25">
      <c r="A128" s="1067" t="s">
        <v>851</v>
      </c>
      <c r="B128" s="1067" t="s">
        <v>49</v>
      </c>
      <c r="C128" s="1067" t="s">
        <v>293</v>
      </c>
      <c r="D128" s="1067">
        <v>40</v>
      </c>
      <c r="E128" s="1067"/>
      <c r="F128" s="1067">
        <v>6</v>
      </c>
      <c r="G128" s="1067">
        <v>32</v>
      </c>
      <c r="H128" s="1067">
        <v>2</v>
      </c>
    </row>
    <row r="129" spans="1:8" x14ac:dyDescent="0.25">
      <c r="A129" s="1067" t="s">
        <v>851</v>
      </c>
      <c r="B129" s="1067" t="s">
        <v>50</v>
      </c>
      <c r="C129" s="1067" t="s">
        <v>310</v>
      </c>
      <c r="D129" s="1067">
        <v>15</v>
      </c>
      <c r="E129" s="1067">
        <v>1</v>
      </c>
      <c r="F129" s="1067">
        <v>4</v>
      </c>
      <c r="G129" s="1067">
        <v>8</v>
      </c>
      <c r="H129" s="1067">
        <v>2</v>
      </c>
    </row>
    <row r="130" spans="1:8" x14ac:dyDescent="0.25">
      <c r="A130" s="1067" t="s">
        <v>851</v>
      </c>
      <c r="B130" s="1067" t="s">
        <v>50</v>
      </c>
      <c r="C130" s="1067" t="s">
        <v>1078</v>
      </c>
      <c r="D130" s="1067">
        <v>15</v>
      </c>
      <c r="E130" s="1067">
        <v>1</v>
      </c>
      <c r="F130" s="1067">
        <v>4</v>
      </c>
      <c r="G130" s="1067">
        <v>8</v>
      </c>
      <c r="H130" s="1067">
        <v>2</v>
      </c>
    </row>
    <row r="131" spans="1:8" x14ac:dyDescent="0.25">
      <c r="A131" s="1067" t="s">
        <v>851</v>
      </c>
      <c r="B131" s="1067" t="s">
        <v>51</v>
      </c>
      <c r="C131" s="1067" t="s">
        <v>294</v>
      </c>
      <c r="D131" s="1067">
        <v>34</v>
      </c>
      <c r="E131" s="1067"/>
      <c r="F131" s="1067">
        <v>2</v>
      </c>
      <c r="G131" s="1067">
        <v>32</v>
      </c>
      <c r="H131" s="1067"/>
    </row>
    <row r="132" spans="1:8" x14ac:dyDescent="0.25">
      <c r="A132" s="1067" t="s">
        <v>851</v>
      </c>
      <c r="B132" s="1067" t="s">
        <v>52</v>
      </c>
      <c r="C132" s="1067" t="s">
        <v>295</v>
      </c>
      <c r="D132" s="1067">
        <v>46</v>
      </c>
      <c r="E132" s="1067">
        <v>2</v>
      </c>
      <c r="F132" s="1067">
        <v>8</v>
      </c>
      <c r="G132" s="1067">
        <v>30</v>
      </c>
      <c r="H132" s="1067">
        <v>6</v>
      </c>
    </row>
    <row r="133" spans="1:8" x14ac:dyDescent="0.25">
      <c r="A133" s="1067" t="s">
        <v>851</v>
      </c>
      <c r="B133" s="1067" t="s">
        <v>53</v>
      </c>
      <c r="C133" s="1067" t="s">
        <v>305</v>
      </c>
      <c r="D133" s="1067">
        <v>18</v>
      </c>
      <c r="E133" s="1067">
        <v>4</v>
      </c>
      <c r="F133" s="1067">
        <v>6</v>
      </c>
      <c r="G133" s="1067">
        <v>8</v>
      </c>
      <c r="H133" s="1067"/>
    </row>
    <row r="134" spans="1:8" x14ac:dyDescent="0.25">
      <c r="A134" s="1067" t="s">
        <v>851</v>
      </c>
      <c r="B134" s="1067" t="s">
        <v>54</v>
      </c>
      <c r="C134" s="1067" t="s">
        <v>296</v>
      </c>
      <c r="D134" s="1067">
        <v>40</v>
      </c>
      <c r="E134" s="1067"/>
      <c r="F134" s="1067">
        <v>6</v>
      </c>
      <c r="G134" s="1067">
        <v>34</v>
      </c>
      <c r="H134" s="1067"/>
    </row>
    <row r="135" spans="1:8" x14ac:dyDescent="0.25">
      <c r="A135" s="1067" t="s">
        <v>851</v>
      </c>
      <c r="B135" s="1067" t="s">
        <v>55</v>
      </c>
      <c r="C135" s="1067" t="s">
        <v>297</v>
      </c>
      <c r="D135" s="1067">
        <v>32</v>
      </c>
      <c r="E135" s="1067"/>
      <c r="F135" s="1067">
        <v>4</v>
      </c>
      <c r="G135" s="1067">
        <v>28</v>
      </c>
      <c r="H135" s="1067"/>
    </row>
    <row r="136" spans="1:8" x14ac:dyDescent="0.25">
      <c r="A136" s="1067" t="s">
        <v>851</v>
      </c>
      <c r="B136" s="1067" t="s">
        <v>56</v>
      </c>
      <c r="C136" s="1067" t="s">
        <v>298</v>
      </c>
      <c r="D136" s="1067">
        <v>18</v>
      </c>
      <c r="E136" s="1067">
        <v>2</v>
      </c>
      <c r="F136" s="1067">
        <v>2</v>
      </c>
      <c r="G136" s="1067">
        <v>14</v>
      </c>
      <c r="H136" s="1067"/>
    </row>
    <row r="137" spans="1:8" x14ac:dyDescent="0.25">
      <c r="A137" s="1067" t="s">
        <v>851</v>
      </c>
      <c r="B137" s="1067" t="s">
        <v>57</v>
      </c>
      <c r="C137" s="1067" t="s">
        <v>299</v>
      </c>
      <c r="D137" s="1067">
        <v>46</v>
      </c>
      <c r="E137" s="1067">
        <v>2</v>
      </c>
      <c r="F137" s="1067">
        <v>14</v>
      </c>
      <c r="G137" s="1067">
        <v>28</v>
      </c>
      <c r="H137" s="1067">
        <v>2</v>
      </c>
    </row>
    <row r="138" spans="1:8" x14ac:dyDescent="0.25">
      <c r="A138" s="1067" t="s">
        <v>851</v>
      </c>
      <c r="B138" s="1067" t="s">
        <v>58</v>
      </c>
      <c r="C138" s="1067" t="s">
        <v>300</v>
      </c>
      <c r="D138" s="1067">
        <v>32</v>
      </c>
      <c r="E138" s="1067"/>
      <c r="F138" s="1067">
        <v>14</v>
      </c>
      <c r="G138" s="1067">
        <v>18</v>
      </c>
      <c r="H138" s="1067"/>
    </row>
    <row r="139" spans="1:8" x14ac:dyDescent="0.25">
      <c r="A139" s="1067" t="s">
        <v>851</v>
      </c>
      <c r="B139" s="1067" t="s">
        <v>59</v>
      </c>
      <c r="C139" s="1067" t="s">
        <v>306</v>
      </c>
      <c r="D139" s="1067">
        <v>14</v>
      </c>
      <c r="E139" s="1067">
        <v>2</v>
      </c>
      <c r="F139" s="1067">
        <v>2</v>
      </c>
      <c r="G139" s="1067">
        <v>8</v>
      </c>
      <c r="H139" s="1067">
        <v>2</v>
      </c>
    </row>
    <row r="140" spans="1:8" x14ac:dyDescent="0.25">
      <c r="A140" s="1067" t="s">
        <v>851</v>
      </c>
      <c r="B140" s="1067" t="s">
        <v>60</v>
      </c>
      <c r="C140" s="1067" t="s">
        <v>307</v>
      </c>
      <c r="D140" s="1067">
        <v>20</v>
      </c>
      <c r="E140" s="1067"/>
      <c r="F140" s="1067">
        <v>4</v>
      </c>
      <c r="G140" s="1067">
        <v>16</v>
      </c>
      <c r="H140" s="1067"/>
    </row>
  </sheetData>
  <sheetProtection algorithmName="SHA-512" hashValue="QsENSzSdo63iCBocTDmy6iyLAgFdTUlUJAYxeVkSKhaNyuBDr/xgC753maq+z6aic3Uz5jRGeTrUuoXnRwbIwQ==" saltValue="C9iyzzuAaY5gyNxFU/UmmA==" spinCount="100000" sheet="1" scenarios="1" formatCells="0" formatColumns="0" formatRows="0" sort="0" autoFilter="0" pivotTables="0"/>
  <pageMargins left="0.7" right="0.7" top="0.75" bottom="0.75" header="0.3" footer="0.3"/>
  <pageSetup paperSize="9" fitToHeight="50"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J140"/>
  <sheetViews>
    <sheetView zoomScale="85" zoomScaleNormal="85" workbookViewId="0">
      <pane ySplit="4" topLeftCell="A5" activePane="bottomLeft" state="frozen"/>
      <selection pane="bottomLeft"/>
    </sheetView>
  </sheetViews>
  <sheetFormatPr defaultRowHeight="15" x14ac:dyDescent="0.25"/>
  <sheetData>
    <row r="4" spans="1:10" x14ac:dyDescent="0.25">
      <c r="A4" s="1066" t="s">
        <v>329</v>
      </c>
      <c r="B4" s="1066" t="s">
        <v>928</v>
      </c>
      <c r="C4" s="1066" t="s">
        <v>929</v>
      </c>
      <c r="D4" s="1066" t="s">
        <v>26</v>
      </c>
      <c r="E4" s="1066" t="s">
        <v>454</v>
      </c>
      <c r="F4" s="1066" t="s">
        <v>456</v>
      </c>
      <c r="G4" s="1066" t="s">
        <v>457</v>
      </c>
      <c r="H4" s="1066" t="s">
        <v>122</v>
      </c>
      <c r="I4" s="1066" t="s">
        <v>191</v>
      </c>
      <c r="J4" s="1066" t="s">
        <v>199</v>
      </c>
    </row>
    <row r="5" spans="1:10" x14ac:dyDescent="0.25">
      <c r="A5" s="1067" t="s">
        <v>273</v>
      </c>
      <c r="B5" s="1067" t="s">
        <v>31</v>
      </c>
      <c r="C5" s="1067" t="s">
        <v>301</v>
      </c>
      <c r="D5" s="1067">
        <v>30</v>
      </c>
      <c r="E5" s="1067">
        <v>2</v>
      </c>
      <c r="F5" s="1067">
        <v>2</v>
      </c>
      <c r="G5" s="1067"/>
      <c r="H5" s="1067">
        <v>16</v>
      </c>
      <c r="I5" s="1067">
        <v>10</v>
      </c>
      <c r="J5" s="1067"/>
    </row>
    <row r="6" spans="1:10" x14ac:dyDescent="0.25">
      <c r="A6" s="1067" t="s">
        <v>273</v>
      </c>
      <c r="B6" s="1067" t="s">
        <v>32</v>
      </c>
      <c r="C6" s="1067" t="s">
        <v>302</v>
      </c>
      <c r="D6" s="1067">
        <v>72</v>
      </c>
      <c r="E6" s="1067"/>
      <c r="F6" s="1067">
        <v>8</v>
      </c>
      <c r="G6" s="1067"/>
      <c r="H6" s="1067">
        <v>62</v>
      </c>
      <c r="I6" s="1067">
        <v>2</v>
      </c>
      <c r="J6" s="1067"/>
    </row>
    <row r="7" spans="1:10" x14ac:dyDescent="0.25">
      <c r="A7" s="1067" t="s">
        <v>273</v>
      </c>
      <c r="B7" s="1067" t="s">
        <v>33</v>
      </c>
      <c r="C7" s="1067" t="s">
        <v>308</v>
      </c>
      <c r="D7" s="1067">
        <v>24</v>
      </c>
      <c r="E7" s="1067"/>
      <c r="F7" s="1067"/>
      <c r="G7" s="1067"/>
      <c r="H7" s="1067">
        <v>22</v>
      </c>
      <c r="I7" s="1067">
        <v>2</v>
      </c>
      <c r="J7" s="1067"/>
    </row>
    <row r="8" spans="1:10" x14ac:dyDescent="0.25">
      <c r="A8" s="1067" t="s">
        <v>273</v>
      </c>
      <c r="B8" s="1067" t="s">
        <v>34</v>
      </c>
      <c r="C8" s="1067" t="s">
        <v>303</v>
      </c>
      <c r="D8" s="1067">
        <v>94</v>
      </c>
      <c r="E8" s="1067">
        <v>2</v>
      </c>
      <c r="F8" s="1067">
        <v>8</v>
      </c>
      <c r="G8" s="1067"/>
      <c r="H8" s="1067">
        <v>42</v>
      </c>
      <c r="I8" s="1067"/>
      <c r="J8" s="1067">
        <v>42</v>
      </c>
    </row>
    <row r="9" spans="1:10" x14ac:dyDescent="0.25">
      <c r="A9" s="1067" t="s">
        <v>273</v>
      </c>
      <c r="B9" s="1067" t="s">
        <v>258</v>
      </c>
      <c r="C9" s="1067" t="s">
        <v>304</v>
      </c>
      <c r="D9" s="1067">
        <v>50</v>
      </c>
      <c r="E9" s="1067">
        <v>10</v>
      </c>
      <c r="F9" s="1067">
        <v>4</v>
      </c>
      <c r="G9" s="1067"/>
      <c r="H9" s="1067">
        <v>24</v>
      </c>
      <c r="I9" s="1067">
        <v>12</v>
      </c>
      <c r="J9" s="1067"/>
    </row>
    <row r="10" spans="1:10" x14ac:dyDescent="0.25">
      <c r="A10" s="1067" t="s">
        <v>273</v>
      </c>
      <c r="B10" s="1067" t="s">
        <v>35</v>
      </c>
      <c r="C10" s="1067" t="s">
        <v>282</v>
      </c>
      <c r="D10" s="1067">
        <v>6</v>
      </c>
      <c r="E10" s="1067"/>
      <c r="F10" s="1067"/>
      <c r="G10" s="1067">
        <v>2</v>
      </c>
      <c r="H10" s="1067">
        <v>4</v>
      </c>
      <c r="I10" s="1067"/>
      <c r="J10" s="1067"/>
    </row>
    <row r="11" spans="1:10" x14ac:dyDescent="0.25">
      <c r="A11" s="1067" t="s">
        <v>273</v>
      </c>
      <c r="B11" s="1067" t="s">
        <v>36</v>
      </c>
      <c r="C11" s="1067" t="s">
        <v>283</v>
      </c>
      <c r="D11" s="1067">
        <v>58</v>
      </c>
      <c r="E11" s="1067">
        <v>2</v>
      </c>
      <c r="F11" s="1067">
        <v>10</v>
      </c>
      <c r="G11" s="1067">
        <v>6</v>
      </c>
      <c r="H11" s="1067">
        <v>40</v>
      </c>
      <c r="I11" s="1067"/>
      <c r="J11" s="1067"/>
    </row>
    <row r="12" spans="1:10" x14ac:dyDescent="0.25">
      <c r="A12" s="1067" t="s">
        <v>273</v>
      </c>
      <c r="B12" s="1067" t="s">
        <v>37</v>
      </c>
      <c r="C12" s="1067" t="s">
        <v>309</v>
      </c>
      <c r="D12" s="1067">
        <v>50</v>
      </c>
      <c r="E12" s="1067">
        <v>2</v>
      </c>
      <c r="F12" s="1067">
        <v>4</v>
      </c>
      <c r="G12" s="1067"/>
      <c r="H12" s="1067">
        <v>26</v>
      </c>
      <c r="I12" s="1067">
        <v>18</v>
      </c>
      <c r="J12" s="1067"/>
    </row>
    <row r="13" spans="1:10" x14ac:dyDescent="0.25">
      <c r="A13" s="1067" t="s">
        <v>273</v>
      </c>
      <c r="B13" s="1067" t="s">
        <v>38</v>
      </c>
      <c r="C13" s="1067" t="s">
        <v>284</v>
      </c>
      <c r="D13" s="1067">
        <v>22</v>
      </c>
      <c r="E13" s="1067">
        <v>2</v>
      </c>
      <c r="F13" s="1067"/>
      <c r="G13" s="1067"/>
      <c r="H13" s="1067">
        <v>18</v>
      </c>
      <c r="I13" s="1067">
        <v>2</v>
      </c>
      <c r="J13" s="1067"/>
    </row>
    <row r="14" spans="1:10" x14ac:dyDescent="0.25">
      <c r="A14" s="1067" t="s">
        <v>273</v>
      </c>
      <c r="B14" s="1067" t="s">
        <v>39</v>
      </c>
      <c r="C14" s="1067" t="s">
        <v>311</v>
      </c>
      <c r="D14" s="1067">
        <v>10</v>
      </c>
      <c r="E14" s="1067"/>
      <c r="F14" s="1067"/>
      <c r="G14" s="1067"/>
      <c r="H14" s="1067">
        <v>6</v>
      </c>
      <c r="I14" s="1067">
        <v>4</v>
      </c>
      <c r="J14" s="1067"/>
    </row>
    <row r="15" spans="1:10" x14ac:dyDescent="0.25">
      <c r="A15" s="1067" t="s">
        <v>273</v>
      </c>
      <c r="B15" s="1067" t="s">
        <v>40</v>
      </c>
      <c r="C15" s="1067" t="s">
        <v>285</v>
      </c>
      <c r="D15" s="1067">
        <v>14</v>
      </c>
      <c r="E15" s="1067"/>
      <c r="F15" s="1067"/>
      <c r="G15" s="1067"/>
      <c r="H15" s="1067">
        <v>14</v>
      </c>
      <c r="I15" s="1067"/>
      <c r="J15" s="1067"/>
    </row>
    <row r="16" spans="1:10" x14ac:dyDescent="0.25">
      <c r="A16" s="1067" t="s">
        <v>273</v>
      </c>
      <c r="B16" s="1067" t="s">
        <v>41</v>
      </c>
      <c r="C16" s="1067" t="s">
        <v>286</v>
      </c>
      <c r="D16" s="1067">
        <v>4</v>
      </c>
      <c r="E16" s="1067"/>
      <c r="F16" s="1067"/>
      <c r="G16" s="1067"/>
      <c r="H16" s="1067">
        <v>4</v>
      </c>
      <c r="I16" s="1067"/>
      <c r="J16" s="1067"/>
    </row>
    <row r="17" spans="1:10" x14ac:dyDescent="0.25">
      <c r="A17" s="1067" t="s">
        <v>273</v>
      </c>
      <c r="B17" s="1067" t="s">
        <v>42</v>
      </c>
      <c r="C17" s="1067" t="s">
        <v>288</v>
      </c>
      <c r="D17" s="1067">
        <v>28</v>
      </c>
      <c r="E17" s="1067">
        <v>2</v>
      </c>
      <c r="F17" s="1067">
        <v>8</v>
      </c>
      <c r="G17" s="1067"/>
      <c r="H17" s="1067">
        <v>14</v>
      </c>
      <c r="I17" s="1067">
        <v>4</v>
      </c>
      <c r="J17" s="1067"/>
    </row>
    <row r="18" spans="1:10" x14ac:dyDescent="0.25">
      <c r="A18" s="1067" t="s">
        <v>273</v>
      </c>
      <c r="B18" s="1067" t="s">
        <v>43</v>
      </c>
      <c r="C18" s="1067" t="s">
        <v>313</v>
      </c>
      <c r="D18" s="1067">
        <v>56</v>
      </c>
      <c r="E18" s="1067">
        <v>4</v>
      </c>
      <c r="F18" s="1067">
        <v>12</v>
      </c>
      <c r="G18" s="1067">
        <v>2</v>
      </c>
      <c r="H18" s="1067">
        <v>34</v>
      </c>
      <c r="I18" s="1067">
        <v>4</v>
      </c>
      <c r="J18" s="1067"/>
    </row>
    <row r="19" spans="1:10" x14ac:dyDescent="0.25">
      <c r="A19" s="1067" t="s">
        <v>273</v>
      </c>
      <c r="B19" s="1067" t="s">
        <v>121</v>
      </c>
      <c r="C19" s="1067" t="s">
        <v>312</v>
      </c>
      <c r="D19" s="1067">
        <v>27</v>
      </c>
      <c r="E19" s="1067">
        <v>3</v>
      </c>
      <c r="F19" s="1067">
        <v>3</v>
      </c>
      <c r="G19" s="1067">
        <v>3</v>
      </c>
      <c r="H19" s="1067">
        <v>18</v>
      </c>
      <c r="I19" s="1067"/>
      <c r="J19" s="1067"/>
    </row>
    <row r="20" spans="1:10" x14ac:dyDescent="0.25">
      <c r="A20" s="1067" t="s">
        <v>273</v>
      </c>
      <c r="B20" s="1067" t="s">
        <v>121</v>
      </c>
      <c r="C20" s="1067" t="s">
        <v>1076</v>
      </c>
      <c r="D20" s="1067">
        <v>27</v>
      </c>
      <c r="E20" s="1067">
        <v>3</v>
      </c>
      <c r="F20" s="1067">
        <v>3</v>
      </c>
      <c r="G20" s="1067">
        <v>3</v>
      </c>
      <c r="H20" s="1067">
        <v>18</v>
      </c>
      <c r="I20" s="1067"/>
      <c r="J20" s="1067"/>
    </row>
    <row r="21" spans="1:10" x14ac:dyDescent="0.25">
      <c r="A21" s="1067" t="s">
        <v>273</v>
      </c>
      <c r="B21" s="1067" t="s">
        <v>44</v>
      </c>
      <c r="C21" s="1067" t="s">
        <v>289</v>
      </c>
      <c r="D21" s="1067">
        <v>166</v>
      </c>
      <c r="E21" s="1067">
        <v>2</v>
      </c>
      <c r="F21" s="1067">
        <v>22</v>
      </c>
      <c r="G21" s="1067">
        <v>2</v>
      </c>
      <c r="H21" s="1067">
        <v>134</v>
      </c>
      <c r="I21" s="1067">
        <v>6</v>
      </c>
      <c r="J21" s="1067"/>
    </row>
    <row r="22" spans="1:10" x14ac:dyDescent="0.25">
      <c r="A22" s="1067" t="s">
        <v>273</v>
      </c>
      <c r="B22" s="1067" t="s">
        <v>45</v>
      </c>
      <c r="C22" s="1067" t="s">
        <v>290</v>
      </c>
      <c r="D22" s="1067">
        <v>16</v>
      </c>
      <c r="E22" s="1067">
        <v>2</v>
      </c>
      <c r="F22" s="1067">
        <v>2</v>
      </c>
      <c r="G22" s="1067"/>
      <c r="H22" s="1067">
        <v>12</v>
      </c>
      <c r="I22" s="1067"/>
      <c r="J22" s="1067"/>
    </row>
    <row r="23" spans="1:10" x14ac:dyDescent="0.25">
      <c r="A23" s="1067" t="s">
        <v>273</v>
      </c>
      <c r="B23" s="1067" t="s">
        <v>46</v>
      </c>
      <c r="C23" s="1067" t="s">
        <v>291</v>
      </c>
      <c r="D23" s="1067">
        <v>10</v>
      </c>
      <c r="E23" s="1067"/>
      <c r="F23" s="1067">
        <v>4</v>
      </c>
      <c r="G23" s="1067"/>
      <c r="H23" s="1067">
        <v>6</v>
      </c>
      <c r="I23" s="1067"/>
      <c r="J23" s="1067"/>
    </row>
    <row r="24" spans="1:10" x14ac:dyDescent="0.25">
      <c r="A24" s="1067" t="s">
        <v>273</v>
      </c>
      <c r="B24" s="1067" t="s">
        <v>47</v>
      </c>
      <c r="C24" s="1067" t="s">
        <v>292</v>
      </c>
      <c r="D24" s="1067">
        <v>38</v>
      </c>
      <c r="E24" s="1067"/>
      <c r="F24" s="1067">
        <v>8</v>
      </c>
      <c r="G24" s="1067"/>
      <c r="H24" s="1067">
        <v>26</v>
      </c>
      <c r="I24" s="1067"/>
      <c r="J24" s="1067">
        <v>4</v>
      </c>
    </row>
    <row r="25" spans="1:10" x14ac:dyDescent="0.25">
      <c r="A25" s="1067" t="s">
        <v>273</v>
      </c>
      <c r="B25" s="1067" t="s">
        <v>48</v>
      </c>
      <c r="C25" s="1067" t="s">
        <v>287</v>
      </c>
      <c r="D25" s="1067">
        <v>34</v>
      </c>
      <c r="E25" s="1067"/>
      <c r="F25" s="1067"/>
      <c r="G25" s="1067"/>
      <c r="H25" s="1067">
        <v>32</v>
      </c>
      <c r="I25" s="1067"/>
      <c r="J25" s="1067">
        <v>2</v>
      </c>
    </row>
    <row r="26" spans="1:10" x14ac:dyDescent="0.25">
      <c r="A26" s="1067" t="s">
        <v>273</v>
      </c>
      <c r="B26" s="1067" t="s">
        <v>49</v>
      </c>
      <c r="C26" s="1067" t="s">
        <v>293</v>
      </c>
      <c r="D26" s="1067">
        <v>40</v>
      </c>
      <c r="E26" s="1067"/>
      <c r="F26" s="1067">
        <v>4</v>
      </c>
      <c r="G26" s="1067"/>
      <c r="H26" s="1067">
        <v>28</v>
      </c>
      <c r="I26" s="1067">
        <v>2</v>
      </c>
      <c r="J26" s="1067">
        <v>6</v>
      </c>
    </row>
    <row r="27" spans="1:10" x14ac:dyDescent="0.25">
      <c r="A27" s="1067" t="s">
        <v>273</v>
      </c>
      <c r="B27" s="1067" t="s">
        <v>50</v>
      </c>
      <c r="C27" s="1067" t="s">
        <v>310</v>
      </c>
      <c r="D27" s="1067">
        <v>16</v>
      </c>
      <c r="E27" s="1067">
        <v>2</v>
      </c>
      <c r="F27" s="1067">
        <v>2</v>
      </c>
      <c r="G27" s="1067">
        <v>1</v>
      </c>
      <c r="H27" s="1067">
        <v>8</v>
      </c>
      <c r="I27" s="1067">
        <v>3</v>
      </c>
      <c r="J27" s="1067"/>
    </row>
    <row r="28" spans="1:10" x14ac:dyDescent="0.25">
      <c r="A28" s="1067" t="s">
        <v>273</v>
      </c>
      <c r="B28" s="1067" t="s">
        <v>50</v>
      </c>
      <c r="C28" s="1067" t="s">
        <v>1078</v>
      </c>
      <c r="D28" s="1067">
        <v>16</v>
      </c>
      <c r="E28" s="1067">
        <v>2</v>
      </c>
      <c r="F28" s="1067">
        <v>2</v>
      </c>
      <c r="G28" s="1067">
        <v>1</v>
      </c>
      <c r="H28" s="1067">
        <v>8</v>
      </c>
      <c r="I28" s="1067">
        <v>3</v>
      </c>
      <c r="J28" s="1067"/>
    </row>
    <row r="29" spans="1:10" x14ac:dyDescent="0.25">
      <c r="A29" s="1067" t="s">
        <v>273</v>
      </c>
      <c r="B29" s="1067" t="s">
        <v>51</v>
      </c>
      <c r="C29" s="1067" t="s">
        <v>294</v>
      </c>
      <c r="D29" s="1067">
        <v>30</v>
      </c>
      <c r="E29" s="1067"/>
      <c r="F29" s="1067"/>
      <c r="G29" s="1067"/>
      <c r="H29" s="1067">
        <v>28</v>
      </c>
      <c r="I29" s="1067"/>
      <c r="J29" s="1067">
        <v>2</v>
      </c>
    </row>
    <row r="30" spans="1:10" x14ac:dyDescent="0.25">
      <c r="A30" s="1067" t="s">
        <v>273</v>
      </c>
      <c r="B30" s="1067" t="s">
        <v>52</v>
      </c>
      <c r="C30" s="1067" t="s">
        <v>295</v>
      </c>
      <c r="D30" s="1067">
        <v>48</v>
      </c>
      <c r="E30" s="1067">
        <v>2</v>
      </c>
      <c r="F30" s="1067">
        <v>2</v>
      </c>
      <c r="G30" s="1067">
        <v>2</v>
      </c>
      <c r="H30" s="1067">
        <v>32</v>
      </c>
      <c r="I30" s="1067">
        <v>4</v>
      </c>
      <c r="J30" s="1067">
        <v>6</v>
      </c>
    </row>
    <row r="31" spans="1:10" x14ac:dyDescent="0.25">
      <c r="A31" s="1067" t="s">
        <v>273</v>
      </c>
      <c r="B31" s="1067" t="s">
        <v>53</v>
      </c>
      <c r="C31" s="1067" t="s">
        <v>305</v>
      </c>
      <c r="D31" s="1067">
        <v>16</v>
      </c>
      <c r="E31" s="1067">
        <v>4</v>
      </c>
      <c r="F31" s="1067">
        <v>4</v>
      </c>
      <c r="G31" s="1067"/>
      <c r="H31" s="1067">
        <v>8</v>
      </c>
      <c r="I31" s="1067"/>
      <c r="J31" s="1067"/>
    </row>
    <row r="32" spans="1:10" x14ac:dyDescent="0.25">
      <c r="A32" s="1067" t="s">
        <v>273</v>
      </c>
      <c r="B32" s="1067" t="s">
        <v>54</v>
      </c>
      <c r="C32" s="1067" t="s">
        <v>296</v>
      </c>
      <c r="D32" s="1067">
        <v>42</v>
      </c>
      <c r="E32" s="1067"/>
      <c r="F32" s="1067">
        <v>4</v>
      </c>
      <c r="G32" s="1067">
        <v>2</v>
      </c>
      <c r="H32" s="1067">
        <v>32</v>
      </c>
      <c r="I32" s="1067">
        <v>4</v>
      </c>
      <c r="J32" s="1067"/>
    </row>
    <row r="33" spans="1:10" x14ac:dyDescent="0.25">
      <c r="A33" s="1067" t="s">
        <v>273</v>
      </c>
      <c r="B33" s="1067" t="s">
        <v>55</v>
      </c>
      <c r="C33" s="1067" t="s">
        <v>297</v>
      </c>
      <c r="D33" s="1067">
        <v>34</v>
      </c>
      <c r="E33" s="1067"/>
      <c r="F33" s="1067"/>
      <c r="G33" s="1067"/>
      <c r="H33" s="1067">
        <v>32</v>
      </c>
      <c r="I33" s="1067"/>
      <c r="J33" s="1067">
        <v>2</v>
      </c>
    </row>
    <row r="34" spans="1:10" x14ac:dyDescent="0.25">
      <c r="A34" s="1067" t="s">
        <v>273</v>
      </c>
      <c r="B34" s="1067" t="s">
        <v>56</v>
      </c>
      <c r="C34" s="1067" t="s">
        <v>298</v>
      </c>
      <c r="D34" s="1067">
        <v>18</v>
      </c>
      <c r="E34" s="1067">
        <v>2</v>
      </c>
      <c r="F34" s="1067"/>
      <c r="G34" s="1067">
        <v>2</v>
      </c>
      <c r="H34" s="1067">
        <v>14</v>
      </c>
      <c r="I34" s="1067"/>
      <c r="J34" s="1067"/>
    </row>
    <row r="35" spans="1:10" x14ac:dyDescent="0.25">
      <c r="A35" s="1067" t="s">
        <v>273</v>
      </c>
      <c r="B35" s="1067" t="s">
        <v>57</v>
      </c>
      <c r="C35" s="1067" t="s">
        <v>299</v>
      </c>
      <c r="D35" s="1067">
        <v>46</v>
      </c>
      <c r="E35" s="1067">
        <v>2</v>
      </c>
      <c r="F35" s="1067">
        <v>10</v>
      </c>
      <c r="G35" s="1067">
        <v>4</v>
      </c>
      <c r="H35" s="1067">
        <v>28</v>
      </c>
      <c r="I35" s="1067">
        <v>2</v>
      </c>
      <c r="J35" s="1067"/>
    </row>
    <row r="36" spans="1:10" x14ac:dyDescent="0.25">
      <c r="A36" s="1067" t="s">
        <v>273</v>
      </c>
      <c r="B36" s="1067" t="s">
        <v>58</v>
      </c>
      <c r="C36" s="1067" t="s">
        <v>300</v>
      </c>
      <c r="D36" s="1067">
        <v>32</v>
      </c>
      <c r="E36" s="1067"/>
      <c r="F36" s="1067">
        <v>6</v>
      </c>
      <c r="G36" s="1067">
        <v>2</v>
      </c>
      <c r="H36" s="1067">
        <v>20</v>
      </c>
      <c r="I36" s="1067"/>
      <c r="J36" s="1067">
        <v>4</v>
      </c>
    </row>
    <row r="37" spans="1:10" x14ac:dyDescent="0.25">
      <c r="A37" s="1067" t="s">
        <v>273</v>
      </c>
      <c r="B37" s="1067" t="s">
        <v>59</v>
      </c>
      <c r="C37" s="1067" t="s">
        <v>306</v>
      </c>
      <c r="D37" s="1067">
        <v>14</v>
      </c>
      <c r="E37" s="1067">
        <v>2</v>
      </c>
      <c r="F37" s="1067">
        <v>2</v>
      </c>
      <c r="G37" s="1067"/>
      <c r="H37" s="1067">
        <v>8</v>
      </c>
      <c r="I37" s="1067">
        <v>2</v>
      </c>
      <c r="J37" s="1067"/>
    </row>
    <row r="38" spans="1:10" x14ac:dyDescent="0.25">
      <c r="A38" s="1067" t="s">
        <v>273</v>
      </c>
      <c r="B38" s="1067" t="s">
        <v>60</v>
      </c>
      <c r="C38" s="1067" t="s">
        <v>307</v>
      </c>
      <c r="D38" s="1067">
        <v>24</v>
      </c>
      <c r="E38" s="1067"/>
      <c r="F38" s="1067">
        <v>2</v>
      </c>
      <c r="G38" s="1067">
        <v>2</v>
      </c>
      <c r="H38" s="1067">
        <v>18</v>
      </c>
      <c r="I38" s="1067">
        <v>2</v>
      </c>
      <c r="J38" s="1067"/>
    </row>
    <row r="39" spans="1:10" x14ac:dyDescent="0.25">
      <c r="A39" s="1067" t="s">
        <v>255</v>
      </c>
      <c r="B39" s="1067" t="s">
        <v>31</v>
      </c>
      <c r="C39" s="1067" t="s">
        <v>301</v>
      </c>
      <c r="D39" s="1067">
        <v>36</v>
      </c>
      <c r="E39" s="1067">
        <v>2</v>
      </c>
      <c r="F39" s="1067">
        <v>6</v>
      </c>
      <c r="G39" s="1067"/>
      <c r="H39" s="1067">
        <v>16</v>
      </c>
      <c r="I39" s="1067">
        <v>12</v>
      </c>
      <c r="J39" s="1067"/>
    </row>
    <row r="40" spans="1:10" x14ac:dyDescent="0.25">
      <c r="A40" s="1067" t="s">
        <v>255</v>
      </c>
      <c r="B40" s="1067" t="s">
        <v>32</v>
      </c>
      <c r="C40" s="1067" t="s">
        <v>302</v>
      </c>
      <c r="D40" s="1067">
        <v>74</v>
      </c>
      <c r="E40" s="1067"/>
      <c r="F40" s="1067">
        <v>10</v>
      </c>
      <c r="G40" s="1067"/>
      <c r="H40" s="1067">
        <v>62</v>
      </c>
      <c r="I40" s="1067">
        <v>2</v>
      </c>
      <c r="J40" s="1067"/>
    </row>
    <row r="41" spans="1:10" x14ac:dyDescent="0.25">
      <c r="A41" s="1067" t="s">
        <v>255</v>
      </c>
      <c r="B41" s="1067" t="s">
        <v>33</v>
      </c>
      <c r="C41" s="1067" t="s">
        <v>308</v>
      </c>
      <c r="D41" s="1067">
        <v>24</v>
      </c>
      <c r="E41" s="1067"/>
      <c r="F41" s="1067"/>
      <c r="G41" s="1067"/>
      <c r="H41" s="1067">
        <v>22</v>
      </c>
      <c r="I41" s="1067">
        <v>2</v>
      </c>
      <c r="J41" s="1067"/>
    </row>
    <row r="42" spans="1:10" x14ac:dyDescent="0.25">
      <c r="A42" s="1067" t="s">
        <v>255</v>
      </c>
      <c r="B42" s="1067" t="s">
        <v>34</v>
      </c>
      <c r="C42" s="1067" t="s">
        <v>303</v>
      </c>
      <c r="D42" s="1067">
        <v>96</v>
      </c>
      <c r="E42" s="1067">
        <v>2</v>
      </c>
      <c r="F42" s="1067">
        <v>8</v>
      </c>
      <c r="G42" s="1067">
        <v>2</v>
      </c>
      <c r="H42" s="1067">
        <v>42</v>
      </c>
      <c r="I42" s="1067"/>
      <c r="J42" s="1067">
        <v>42</v>
      </c>
    </row>
    <row r="43" spans="1:10" x14ac:dyDescent="0.25">
      <c r="A43" s="1067" t="s">
        <v>255</v>
      </c>
      <c r="B43" s="1067" t="s">
        <v>258</v>
      </c>
      <c r="C43" s="1067" t="s">
        <v>304</v>
      </c>
      <c r="D43" s="1067">
        <v>42</v>
      </c>
      <c r="E43" s="1067">
        <v>6</v>
      </c>
      <c r="F43" s="1067">
        <v>2</v>
      </c>
      <c r="G43" s="1067"/>
      <c r="H43" s="1067">
        <v>24</v>
      </c>
      <c r="I43" s="1067">
        <v>10</v>
      </c>
      <c r="J43" s="1067"/>
    </row>
    <row r="44" spans="1:10" x14ac:dyDescent="0.25">
      <c r="A44" s="1067" t="s">
        <v>255</v>
      </c>
      <c r="B44" s="1067" t="s">
        <v>35</v>
      </c>
      <c r="C44" s="1067" t="s">
        <v>282</v>
      </c>
      <c r="D44" s="1067">
        <v>10</v>
      </c>
      <c r="E44" s="1067"/>
      <c r="F44" s="1067">
        <v>2</v>
      </c>
      <c r="G44" s="1067">
        <v>2</v>
      </c>
      <c r="H44" s="1067">
        <v>6</v>
      </c>
      <c r="I44" s="1067"/>
      <c r="J44" s="1067"/>
    </row>
    <row r="45" spans="1:10" x14ac:dyDescent="0.25">
      <c r="A45" s="1067" t="s">
        <v>255</v>
      </c>
      <c r="B45" s="1067" t="s">
        <v>36</v>
      </c>
      <c r="C45" s="1067" t="s">
        <v>283</v>
      </c>
      <c r="D45" s="1067">
        <v>58</v>
      </c>
      <c r="E45" s="1067">
        <v>2</v>
      </c>
      <c r="F45" s="1067">
        <v>6</v>
      </c>
      <c r="G45" s="1067">
        <v>8</v>
      </c>
      <c r="H45" s="1067">
        <v>40</v>
      </c>
      <c r="I45" s="1067"/>
      <c r="J45" s="1067">
        <v>2</v>
      </c>
    </row>
    <row r="46" spans="1:10" x14ac:dyDescent="0.25">
      <c r="A46" s="1067" t="s">
        <v>255</v>
      </c>
      <c r="B46" s="1067" t="s">
        <v>37</v>
      </c>
      <c r="C46" s="1067" t="s">
        <v>309</v>
      </c>
      <c r="D46" s="1067">
        <v>44</v>
      </c>
      <c r="E46" s="1067">
        <v>2</v>
      </c>
      <c r="F46" s="1067">
        <v>4</v>
      </c>
      <c r="G46" s="1067">
        <v>2</v>
      </c>
      <c r="H46" s="1067">
        <v>16</v>
      </c>
      <c r="I46" s="1067">
        <v>20</v>
      </c>
      <c r="J46" s="1067"/>
    </row>
    <row r="47" spans="1:10" x14ac:dyDescent="0.25">
      <c r="A47" s="1067" t="s">
        <v>255</v>
      </c>
      <c r="B47" s="1067" t="s">
        <v>38</v>
      </c>
      <c r="C47" s="1067" t="s">
        <v>284</v>
      </c>
      <c r="D47" s="1067">
        <v>22</v>
      </c>
      <c r="E47" s="1067">
        <v>2</v>
      </c>
      <c r="F47" s="1067"/>
      <c r="G47" s="1067"/>
      <c r="H47" s="1067">
        <v>18</v>
      </c>
      <c r="I47" s="1067">
        <v>2</v>
      </c>
      <c r="J47" s="1067"/>
    </row>
    <row r="48" spans="1:10" x14ac:dyDescent="0.25">
      <c r="A48" s="1067" t="s">
        <v>255</v>
      </c>
      <c r="B48" s="1067" t="s">
        <v>39</v>
      </c>
      <c r="C48" s="1067" t="s">
        <v>311</v>
      </c>
      <c r="D48" s="1067">
        <v>10</v>
      </c>
      <c r="E48" s="1067"/>
      <c r="F48" s="1067"/>
      <c r="G48" s="1067"/>
      <c r="H48" s="1067">
        <v>6</v>
      </c>
      <c r="I48" s="1067">
        <v>4</v>
      </c>
      <c r="J48" s="1067"/>
    </row>
    <row r="49" spans="1:10" x14ac:dyDescent="0.25">
      <c r="A49" s="1067" t="s">
        <v>255</v>
      </c>
      <c r="B49" s="1067" t="s">
        <v>40</v>
      </c>
      <c r="C49" s="1067" t="s">
        <v>285</v>
      </c>
      <c r="D49" s="1067">
        <v>16</v>
      </c>
      <c r="E49" s="1067"/>
      <c r="F49" s="1067"/>
      <c r="G49" s="1067"/>
      <c r="H49" s="1067">
        <v>16</v>
      </c>
      <c r="I49" s="1067"/>
      <c r="J49" s="1067"/>
    </row>
    <row r="50" spans="1:10" x14ac:dyDescent="0.25">
      <c r="A50" s="1067" t="s">
        <v>255</v>
      </c>
      <c r="B50" s="1067" t="s">
        <v>41</v>
      </c>
      <c r="C50" s="1067" t="s">
        <v>286</v>
      </c>
      <c r="D50" s="1067">
        <v>4</v>
      </c>
      <c r="E50" s="1067"/>
      <c r="F50" s="1067"/>
      <c r="G50" s="1067"/>
      <c r="H50" s="1067">
        <v>4</v>
      </c>
      <c r="I50" s="1067"/>
      <c r="J50" s="1067"/>
    </row>
    <row r="51" spans="1:10" x14ac:dyDescent="0.25">
      <c r="A51" s="1067" t="s">
        <v>255</v>
      </c>
      <c r="B51" s="1067" t="s">
        <v>42</v>
      </c>
      <c r="C51" s="1067" t="s">
        <v>288</v>
      </c>
      <c r="D51" s="1067">
        <v>32</v>
      </c>
      <c r="E51" s="1067">
        <v>2</v>
      </c>
      <c r="F51" s="1067">
        <v>8</v>
      </c>
      <c r="G51" s="1067"/>
      <c r="H51" s="1067">
        <v>18</v>
      </c>
      <c r="I51" s="1067">
        <v>4</v>
      </c>
      <c r="J51" s="1067"/>
    </row>
    <row r="52" spans="1:10" x14ac:dyDescent="0.25">
      <c r="A52" s="1067" t="s">
        <v>255</v>
      </c>
      <c r="B52" s="1067" t="s">
        <v>43</v>
      </c>
      <c r="C52" s="1067" t="s">
        <v>313</v>
      </c>
      <c r="D52" s="1067">
        <v>60</v>
      </c>
      <c r="E52" s="1067">
        <v>4</v>
      </c>
      <c r="F52" s="1067">
        <v>10</v>
      </c>
      <c r="G52" s="1067">
        <v>2</v>
      </c>
      <c r="H52" s="1067">
        <v>40</v>
      </c>
      <c r="I52" s="1067">
        <v>4</v>
      </c>
      <c r="J52" s="1067"/>
    </row>
    <row r="53" spans="1:10" x14ac:dyDescent="0.25">
      <c r="A53" s="1067" t="s">
        <v>255</v>
      </c>
      <c r="B53" s="1067" t="s">
        <v>121</v>
      </c>
      <c r="C53" s="1067" t="s">
        <v>312</v>
      </c>
      <c r="D53" s="1067">
        <v>28</v>
      </c>
      <c r="E53" s="1067">
        <v>4</v>
      </c>
      <c r="F53" s="1067">
        <v>3</v>
      </c>
      <c r="G53" s="1067">
        <v>3</v>
      </c>
      <c r="H53" s="1067">
        <v>18</v>
      </c>
      <c r="I53" s="1067"/>
      <c r="J53" s="1067"/>
    </row>
    <row r="54" spans="1:10" x14ac:dyDescent="0.25">
      <c r="A54" s="1067" t="s">
        <v>255</v>
      </c>
      <c r="B54" s="1067" t="s">
        <v>121</v>
      </c>
      <c r="C54" s="1067" t="s">
        <v>1076</v>
      </c>
      <c r="D54" s="1067">
        <v>28</v>
      </c>
      <c r="E54" s="1067">
        <v>4</v>
      </c>
      <c r="F54" s="1067">
        <v>3</v>
      </c>
      <c r="G54" s="1067">
        <v>3</v>
      </c>
      <c r="H54" s="1067">
        <v>18</v>
      </c>
      <c r="I54" s="1067"/>
      <c r="J54" s="1067"/>
    </row>
    <row r="55" spans="1:10" x14ac:dyDescent="0.25">
      <c r="A55" s="1067" t="s">
        <v>255</v>
      </c>
      <c r="B55" s="1067" t="s">
        <v>44</v>
      </c>
      <c r="C55" s="1067" t="s">
        <v>289</v>
      </c>
      <c r="D55" s="1067">
        <v>160</v>
      </c>
      <c r="E55" s="1067">
        <v>2</v>
      </c>
      <c r="F55" s="1067">
        <v>8</v>
      </c>
      <c r="G55" s="1067">
        <v>2</v>
      </c>
      <c r="H55" s="1067">
        <v>128</v>
      </c>
      <c r="I55" s="1067">
        <v>6</v>
      </c>
      <c r="J55" s="1067">
        <v>14</v>
      </c>
    </row>
    <row r="56" spans="1:10" x14ac:dyDescent="0.25">
      <c r="A56" s="1067" t="s">
        <v>255</v>
      </c>
      <c r="B56" s="1067" t="s">
        <v>45</v>
      </c>
      <c r="C56" s="1067" t="s">
        <v>290</v>
      </c>
      <c r="D56" s="1067">
        <v>14</v>
      </c>
      <c r="E56" s="1067">
        <v>2</v>
      </c>
      <c r="F56" s="1067"/>
      <c r="G56" s="1067"/>
      <c r="H56" s="1067">
        <v>12</v>
      </c>
      <c r="I56" s="1067"/>
      <c r="J56" s="1067"/>
    </row>
    <row r="57" spans="1:10" x14ac:dyDescent="0.25">
      <c r="A57" s="1067" t="s">
        <v>255</v>
      </c>
      <c r="B57" s="1067" t="s">
        <v>46</v>
      </c>
      <c r="C57" s="1067" t="s">
        <v>291</v>
      </c>
      <c r="D57" s="1067">
        <v>6</v>
      </c>
      <c r="E57" s="1067"/>
      <c r="F57" s="1067">
        <v>2</v>
      </c>
      <c r="G57" s="1067"/>
      <c r="H57" s="1067">
        <v>4</v>
      </c>
      <c r="I57" s="1067"/>
      <c r="J57" s="1067"/>
    </row>
    <row r="58" spans="1:10" x14ac:dyDescent="0.25">
      <c r="A58" s="1067" t="s">
        <v>255</v>
      </c>
      <c r="B58" s="1067" t="s">
        <v>47</v>
      </c>
      <c r="C58" s="1067" t="s">
        <v>292</v>
      </c>
      <c r="D58" s="1067">
        <v>38</v>
      </c>
      <c r="E58" s="1067"/>
      <c r="F58" s="1067">
        <v>6</v>
      </c>
      <c r="G58" s="1067"/>
      <c r="H58" s="1067">
        <v>26</v>
      </c>
      <c r="I58" s="1067">
        <v>2</v>
      </c>
      <c r="J58" s="1067">
        <v>4</v>
      </c>
    </row>
    <row r="59" spans="1:10" x14ac:dyDescent="0.25">
      <c r="A59" s="1067" t="s">
        <v>255</v>
      </c>
      <c r="B59" s="1067" t="s">
        <v>48</v>
      </c>
      <c r="C59" s="1067" t="s">
        <v>287</v>
      </c>
      <c r="D59" s="1067">
        <v>34</v>
      </c>
      <c r="E59" s="1067"/>
      <c r="F59" s="1067"/>
      <c r="G59" s="1067"/>
      <c r="H59" s="1067">
        <v>32</v>
      </c>
      <c r="I59" s="1067"/>
      <c r="J59" s="1067">
        <v>2</v>
      </c>
    </row>
    <row r="60" spans="1:10" x14ac:dyDescent="0.25">
      <c r="A60" s="1067" t="s">
        <v>255</v>
      </c>
      <c r="B60" s="1067" t="s">
        <v>49</v>
      </c>
      <c r="C60" s="1067" t="s">
        <v>293</v>
      </c>
      <c r="D60" s="1067">
        <v>40</v>
      </c>
      <c r="E60" s="1067"/>
      <c r="F60" s="1067">
        <v>4</v>
      </c>
      <c r="G60" s="1067"/>
      <c r="H60" s="1067">
        <v>30</v>
      </c>
      <c r="I60" s="1067">
        <v>2</v>
      </c>
      <c r="J60" s="1067">
        <v>4</v>
      </c>
    </row>
    <row r="61" spans="1:10" x14ac:dyDescent="0.25">
      <c r="A61" s="1067" t="s">
        <v>255</v>
      </c>
      <c r="B61" s="1067" t="s">
        <v>50</v>
      </c>
      <c r="C61" s="1067" t="s">
        <v>310</v>
      </c>
      <c r="D61" s="1067">
        <v>18</v>
      </c>
      <c r="E61" s="1067">
        <v>2</v>
      </c>
      <c r="F61" s="1067">
        <v>3</v>
      </c>
      <c r="G61" s="1067">
        <v>1</v>
      </c>
      <c r="H61" s="1067">
        <v>8</v>
      </c>
      <c r="I61" s="1067">
        <v>4</v>
      </c>
      <c r="J61" s="1067"/>
    </row>
    <row r="62" spans="1:10" x14ac:dyDescent="0.25">
      <c r="A62" s="1067" t="s">
        <v>255</v>
      </c>
      <c r="B62" s="1067" t="s">
        <v>50</v>
      </c>
      <c r="C62" s="1067" t="s">
        <v>1078</v>
      </c>
      <c r="D62" s="1067">
        <v>18</v>
      </c>
      <c r="E62" s="1067">
        <v>2</v>
      </c>
      <c r="F62" s="1067">
        <v>3</v>
      </c>
      <c r="G62" s="1067">
        <v>1</v>
      </c>
      <c r="H62" s="1067">
        <v>8</v>
      </c>
      <c r="I62" s="1067">
        <v>4</v>
      </c>
      <c r="J62" s="1067"/>
    </row>
    <row r="63" spans="1:10" x14ac:dyDescent="0.25">
      <c r="A63" s="1067" t="s">
        <v>255</v>
      </c>
      <c r="B63" s="1067" t="s">
        <v>51</v>
      </c>
      <c r="C63" s="1067" t="s">
        <v>294</v>
      </c>
      <c r="D63" s="1067">
        <v>32</v>
      </c>
      <c r="E63" s="1067"/>
      <c r="F63" s="1067"/>
      <c r="G63" s="1067"/>
      <c r="H63" s="1067">
        <v>30</v>
      </c>
      <c r="I63" s="1067"/>
      <c r="J63" s="1067">
        <v>2</v>
      </c>
    </row>
    <row r="64" spans="1:10" x14ac:dyDescent="0.25">
      <c r="A64" s="1067" t="s">
        <v>255</v>
      </c>
      <c r="B64" s="1067" t="s">
        <v>52</v>
      </c>
      <c r="C64" s="1067" t="s">
        <v>295</v>
      </c>
      <c r="D64" s="1067">
        <v>44</v>
      </c>
      <c r="E64" s="1067">
        <v>2</v>
      </c>
      <c r="F64" s="1067"/>
      <c r="G64" s="1067">
        <v>2</v>
      </c>
      <c r="H64" s="1067">
        <v>32</v>
      </c>
      <c r="I64" s="1067">
        <v>2</v>
      </c>
      <c r="J64" s="1067">
        <v>6</v>
      </c>
    </row>
    <row r="65" spans="1:10" x14ac:dyDescent="0.25">
      <c r="A65" s="1067" t="s">
        <v>255</v>
      </c>
      <c r="B65" s="1067" t="s">
        <v>53</v>
      </c>
      <c r="C65" s="1067" t="s">
        <v>305</v>
      </c>
      <c r="D65" s="1067">
        <v>18</v>
      </c>
      <c r="E65" s="1067">
        <v>4</v>
      </c>
      <c r="F65" s="1067">
        <v>6</v>
      </c>
      <c r="G65" s="1067"/>
      <c r="H65" s="1067">
        <v>8</v>
      </c>
      <c r="I65" s="1067"/>
      <c r="J65" s="1067"/>
    </row>
    <row r="66" spans="1:10" x14ac:dyDescent="0.25">
      <c r="A66" s="1067" t="s">
        <v>255</v>
      </c>
      <c r="B66" s="1067" t="s">
        <v>54</v>
      </c>
      <c r="C66" s="1067" t="s">
        <v>296</v>
      </c>
      <c r="D66" s="1067">
        <v>38</v>
      </c>
      <c r="E66" s="1067"/>
      <c r="F66" s="1067">
        <v>2</v>
      </c>
      <c r="G66" s="1067">
        <v>2</v>
      </c>
      <c r="H66" s="1067">
        <v>34</v>
      </c>
      <c r="I66" s="1067"/>
      <c r="J66" s="1067"/>
    </row>
    <row r="67" spans="1:10" x14ac:dyDescent="0.25">
      <c r="A67" s="1067" t="s">
        <v>255</v>
      </c>
      <c r="B67" s="1067" t="s">
        <v>55</v>
      </c>
      <c r="C67" s="1067" t="s">
        <v>297</v>
      </c>
      <c r="D67" s="1067">
        <v>36</v>
      </c>
      <c r="E67" s="1067"/>
      <c r="F67" s="1067">
        <v>2</v>
      </c>
      <c r="G67" s="1067"/>
      <c r="H67" s="1067">
        <v>32</v>
      </c>
      <c r="I67" s="1067"/>
      <c r="J67" s="1067">
        <v>2</v>
      </c>
    </row>
    <row r="68" spans="1:10" x14ac:dyDescent="0.25">
      <c r="A68" s="1067" t="s">
        <v>255</v>
      </c>
      <c r="B68" s="1067" t="s">
        <v>56</v>
      </c>
      <c r="C68" s="1067" t="s">
        <v>298</v>
      </c>
      <c r="D68" s="1067">
        <v>18</v>
      </c>
      <c r="E68" s="1067">
        <v>2</v>
      </c>
      <c r="F68" s="1067"/>
      <c r="G68" s="1067">
        <v>2</v>
      </c>
      <c r="H68" s="1067">
        <v>14</v>
      </c>
      <c r="I68" s="1067"/>
      <c r="J68" s="1067"/>
    </row>
    <row r="69" spans="1:10" x14ac:dyDescent="0.25">
      <c r="A69" s="1067" t="s">
        <v>255</v>
      </c>
      <c r="B69" s="1067" t="s">
        <v>57</v>
      </c>
      <c r="C69" s="1067" t="s">
        <v>299</v>
      </c>
      <c r="D69" s="1067">
        <v>46</v>
      </c>
      <c r="E69" s="1067">
        <v>2</v>
      </c>
      <c r="F69" s="1067">
        <v>10</v>
      </c>
      <c r="G69" s="1067">
        <v>4</v>
      </c>
      <c r="H69" s="1067">
        <v>28</v>
      </c>
      <c r="I69" s="1067">
        <v>2</v>
      </c>
      <c r="J69" s="1067"/>
    </row>
    <row r="70" spans="1:10" x14ac:dyDescent="0.25">
      <c r="A70" s="1067" t="s">
        <v>255</v>
      </c>
      <c r="B70" s="1067" t="s">
        <v>58</v>
      </c>
      <c r="C70" s="1067" t="s">
        <v>300</v>
      </c>
      <c r="D70" s="1067">
        <v>30</v>
      </c>
      <c r="E70" s="1067"/>
      <c r="F70" s="1067">
        <v>6</v>
      </c>
      <c r="G70" s="1067">
        <v>2</v>
      </c>
      <c r="H70" s="1067">
        <v>18</v>
      </c>
      <c r="I70" s="1067"/>
      <c r="J70" s="1067">
        <v>4</v>
      </c>
    </row>
    <row r="71" spans="1:10" x14ac:dyDescent="0.25">
      <c r="A71" s="1067" t="s">
        <v>255</v>
      </c>
      <c r="B71" s="1067" t="s">
        <v>59</v>
      </c>
      <c r="C71" s="1067" t="s">
        <v>306</v>
      </c>
      <c r="D71" s="1067">
        <v>14</v>
      </c>
      <c r="E71" s="1067">
        <v>2</v>
      </c>
      <c r="F71" s="1067">
        <v>2</v>
      </c>
      <c r="G71" s="1067"/>
      <c r="H71" s="1067">
        <v>8</v>
      </c>
      <c r="I71" s="1067">
        <v>2</v>
      </c>
      <c r="J71" s="1067"/>
    </row>
    <row r="72" spans="1:10" x14ac:dyDescent="0.25">
      <c r="A72" s="1067" t="s">
        <v>255</v>
      </c>
      <c r="B72" s="1067" t="s">
        <v>60</v>
      </c>
      <c r="C72" s="1067" t="s">
        <v>307</v>
      </c>
      <c r="D72" s="1067">
        <v>22</v>
      </c>
      <c r="E72" s="1067"/>
      <c r="F72" s="1067">
        <v>2</v>
      </c>
      <c r="G72" s="1067">
        <v>2</v>
      </c>
      <c r="H72" s="1067">
        <v>16</v>
      </c>
      <c r="I72" s="1067">
        <v>2</v>
      </c>
      <c r="J72" s="1067"/>
    </row>
    <row r="73" spans="1:10" x14ac:dyDescent="0.25">
      <c r="A73" s="1067" t="s">
        <v>254</v>
      </c>
      <c r="B73" s="1067" t="s">
        <v>31</v>
      </c>
      <c r="C73" s="1067" t="s">
        <v>301</v>
      </c>
      <c r="D73" s="1067">
        <v>38</v>
      </c>
      <c r="E73" s="1067">
        <v>4</v>
      </c>
      <c r="F73" s="1067">
        <v>4</v>
      </c>
      <c r="G73" s="1067">
        <v>2</v>
      </c>
      <c r="H73" s="1067">
        <v>16</v>
      </c>
      <c r="I73" s="1067">
        <v>12</v>
      </c>
      <c r="J73" s="1067"/>
    </row>
    <row r="74" spans="1:10" x14ac:dyDescent="0.25">
      <c r="A74" s="1067" t="s">
        <v>254</v>
      </c>
      <c r="B74" s="1067" t="s">
        <v>32</v>
      </c>
      <c r="C74" s="1067" t="s">
        <v>302</v>
      </c>
      <c r="D74" s="1067">
        <v>74</v>
      </c>
      <c r="E74" s="1067"/>
      <c r="F74" s="1067">
        <v>10</v>
      </c>
      <c r="G74" s="1067"/>
      <c r="H74" s="1067">
        <v>62</v>
      </c>
      <c r="I74" s="1067">
        <v>2</v>
      </c>
      <c r="J74" s="1067"/>
    </row>
    <row r="75" spans="1:10" x14ac:dyDescent="0.25">
      <c r="A75" s="1067" t="s">
        <v>254</v>
      </c>
      <c r="B75" s="1067" t="s">
        <v>33</v>
      </c>
      <c r="C75" s="1067" t="s">
        <v>308</v>
      </c>
      <c r="D75" s="1067">
        <v>26</v>
      </c>
      <c r="E75" s="1067"/>
      <c r="F75" s="1067">
        <v>2</v>
      </c>
      <c r="G75" s="1067"/>
      <c r="H75" s="1067">
        <v>22</v>
      </c>
      <c r="I75" s="1067">
        <v>2</v>
      </c>
      <c r="J75" s="1067"/>
    </row>
    <row r="76" spans="1:10" x14ac:dyDescent="0.25">
      <c r="A76" s="1067" t="s">
        <v>254</v>
      </c>
      <c r="B76" s="1067" t="s">
        <v>34</v>
      </c>
      <c r="C76" s="1067" t="s">
        <v>303</v>
      </c>
      <c r="D76" s="1067">
        <v>102</v>
      </c>
      <c r="E76" s="1067">
        <v>2</v>
      </c>
      <c r="F76" s="1067">
        <v>8</v>
      </c>
      <c r="G76" s="1067">
        <v>2</v>
      </c>
      <c r="H76" s="1067">
        <v>50</v>
      </c>
      <c r="I76" s="1067"/>
      <c r="J76" s="1067">
        <v>40</v>
      </c>
    </row>
    <row r="77" spans="1:10" x14ac:dyDescent="0.25">
      <c r="A77" s="1067" t="s">
        <v>254</v>
      </c>
      <c r="B77" s="1067" t="s">
        <v>258</v>
      </c>
      <c r="C77" s="1067" t="s">
        <v>304</v>
      </c>
      <c r="D77" s="1067">
        <v>50</v>
      </c>
      <c r="E77" s="1067">
        <v>8</v>
      </c>
      <c r="F77" s="1067">
        <v>2</v>
      </c>
      <c r="G77" s="1067">
        <v>4</v>
      </c>
      <c r="H77" s="1067">
        <v>24</v>
      </c>
      <c r="I77" s="1067">
        <v>12</v>
      </c>
      <c r="J77" s="1067"/>
    </row>
    <row r="78" spans="1:10" x14ac:dyDescent="0.25">
      <c r="A78" s="1067" t="s">
        <v>254</v>
      </c>
      <c r="B78" s="1067" t="s">
        <v>35</v>
      </c>
      <c r="C78" s="1067" t="s">
        <v>282</v>
      </c>
      <c r="D78" s="1067">
        <v>10</v>
      </c>
      <c r="E78" s="1067"/>
      <c r="F78" s="1067">
        <v>2</v>
      </c>
      <c r="G78" s="1067">
        <v>2</v>
      </c>
      <c r="H78" s="1067">
        <v>6</v>
      </c>
      <c r="I78" s="1067"/>
      <c r="J78" s="1067"/>
    </row>
    <row r="79" spans="1:10" x14ac:dyDescent="0.25">
      <c r="A79" s="1067" t="s">
        <v>254</v>
      </c>
      <c r="B79" s="1067" t="s">
        <v>36</v>
      </c>
      <c r="C79" s="1067" t="s">
        <v>283</v>
      </c>
      <c r="D79" s="1067">
        <v>60</v>
      </c>
      <c r="E79" s="1067">
        <v>2</v>
      </c>
      <c r="F79" s="1067">
        <v>8</v>
      </c>
      <c r="G79" s="1067">
        <v>6</v>
      </c>
      <c r="H79" s="1067">
        <v>44</v>
      </c>
      <c r="I79" s="1067"/>
      <c r="J79" s="1067"/>
    </row>
    <row r="80" spans="1:10" x14ac:dyDescent="0.25">
      <c r="A80" s="1067" t="s">
        <v>254</v>
      </c>
      <c r="B80" s="1067" t="s">
        <v>37</v>
      </c>
      <c r="C80" s="1067" t="s">
        <v>309</v>
      </c>
      <c r="D80" s="1067">
        <v>40</v>
      </c>
      <c r="E80" s="1067">
        <v>4</v>
      </c>
      <c r="F80" s="1067">
        <v>4</v>
      </c>
      <c r="G80" s="1067">
        <v>2</v>
      </c>
      <c r="H80" s="1067">
        <v>14</v>
      </c>
      <c r="I80" s="1067">
        <v>16</v>
      </c>
      <c r="J80" s="1067"/>
    </row>
    <row r="81" spans="1:10" x14ac:dyDescent="0.25">
      <c r="A81" s="1067" t="s">
        <v>254</v>
      </c>
      <c r="B81" s="1067" t="s">
        <v>38</v>
      </c>
      <c r="C81" s="1067" t="s">
        <v>284</v>
      </c>
      <c r="D81" s="1067">
        <v>22</v>
      </c>
      <c r="E81" s="1067">
        <v>2</v>
      </c>
      <c r="F81" s="1067"/>
      <c r="G81" s="1067"/>
      <c r="H81" s="1067">
        <v>18</v>
      </c>
      <c r="I81" s="1067">
        <v>2</v>
      </c>
      <c r="J81" s="1067"/>
    </row>
    <row r="82" spans="1:10" x14ac:dyDescent="0.25">
      <c r="A82" s="1067" t="s">
        <v>254</v>
      </c>
      <c r="B82" s="1067" t="s">
        <v>39</v>
      </c>
      <c r="C82" s="1067" t="s">
        <v>311</v>
      </c>
      <c r="D82" s="1067">
        <v>10</v>
      </c>
      <c r="E82" s="1067"/>
      <c r="F82" s="1067"/>
      <c r="G82" s="1067"/>
      <c r="H82" s="1067">
        <v>6</v>
      </c>
      <c r="I82" s="1067">
        <v>4</v>
      </c>
      <c r="J82" s="1067"/>
    </row>
    <row r="83" spans="1:10" x14ac:dyDescent="0.25">
      <c r="A83" s="1067" t="s">
        <v>254</v>
      </c>
      <c r="B83" s="1067" t="s">
        <v>40</v>
      </c>
      <c r="C83" s="1067" t="s">
        <v>285</v>
      </c>
      <c r="D83" s="1067">
        <v>18</v>
      </c>
      <c r="E83" s="1067"/>
      <c r="F83" s="1067"/>
      <c r="G83" s="1067"/>
      <c r="H83" s="1067">
        <v>18</v>
      </c>
      <c r="I83" s="1067"/>
      <c r="J83" s="1067"/>
    </row>
    <row r="84" spans="1:10" x14ac:dyDescent="0.25">
      <c r="A84" s="1067" t="s">
        <v>254</v>
      </c>
      <c r="B84" s="1067" t="s">
        <v>41</v>
      </c>
      <c r="C84" s="1067" t="s">
        <v>286</v>
      </c>
      <c r="D84" s="1067">
        <v>4</v>
      </c>
      <c r="E84" s="1067"/>
      <c r="F84" s="1067"/>
      <c r="G84" s="1067"/>
      <c r="H84" s="1067">
        <v>4</v>
      </c>
      <c r="I84" s="1067"/>
      <c r="J84" s="1067"/>
    </row>
    <row r="85" spans="1:10" x14ac:dyDescent="0.25">
      <c r="A85" s="1067" t="s">
        <v>254</v>
      </c>
      <c r="B85" s="1067" t="s">
        <v>42</v>
      </c>
      <c r="C85" s="1067" t="s">
        <v>288</v>
      </c>
      <c r="D85" s="1067">
        <v>34</v>
      </c>
      <c r="E85" s="1067">
        <v>2</v>
      </c>
      <c r="F85" s="1067">
        <v>8</v>
      </c>
      <c r="G85" s="1067"/>
      <c r="H85" s="1067">
        <v>20</v>
      </c>
      <c r="I85" s="1067">
        <v>4</v>
      </c>
      <c r="J85" s="1067"/>
    </row>
    <row r="86" spans="1:10" x14ac:dyDescent="0.25">
      <c r="A86" s="1067" t="s">
        <v>254</v>
      </c>
      <c r="B86" s="1067" t="s">
        <v>43</v>
      </c>
      <c r="C86" s="1067" t="s">
        <v>313</v>
      </c>
      <c r="D86" s="1067">
        <v>62</v>
      </c>
      <c r="E86" s="1067">
        <v>4</v>
      </c>
      <c r="F86" s="1067">
        <v>10</v>
      </c>
      <c r="G86" s="1067">
        <v>2</v>
      </c>
      <c r="H86" s="1067">
        <v>42</v>
      </c>
      <c r="I86" s="1067">
        <v>4</v>
      </c>
      <c r="J86" s="1067"/>
    </row>
    <row r="87" spans="1:10" x14ac:dyDescent="0.25">
      <c r="A87" s="1067" t="s">
        <v>254</v>
      </c>
      <c r="B87" s="1067" t="s">
        <v>121</v>
      </c>
      <c r="C87" s="1067" t="s">
        <v>312</v>
      </c>
      <c r="D87" s="1067">
        <v>28</v>
      </c>
      <c r="E87" s="1067">
        <v>4</v>
      </c>
      <c r="F87" s="1067">
        <v>3</v>
      </c>
      <c r="G87" s="1067">
        <v>3</v>
      </c>
      <c r="H87" s="1067">
        <v>18</v>
      </c>
      <c r="I87" s="1067"/>
      <c r="J87" s="1067"/>
    </row>
    <row r="88" spans="1:10" x14ac:dyDescent="0.25">
      <c r="A88" s="1067" t="s">
        <v>254</v>
      </c>
      <c r="B88" s="1067" t="s">
        <v>121</v>
      </c>
      <c r="C88" s="1067" t="s">
        <v>1076</v>
      </c>
      <c r="D88" s="1067">
        <v>28</v>
      </c>
      <c r="E88" s="1067">
        <v>4</v>
      </c>
      <c r="F88" s="1067">
        <v>3</v>
      </c>
      <c r="G88" s="1067">
        <v>3</v>
      </c>
      <c r="H88" s="1067">
        <v>18</v>
      </c>
      <c r="I88" s="1067"/>
      <c r="J88" s="1067"/>
    </row>
    <row r="89" spans="1:10" x14ac:dyDescent="0.25">
      <c r="A89" s="1067" t="s">
        <v>254</v>
      </c>
      <c r="B89" s="1067" t="s">
        <v>44</v>
      </c>
      <c r="C89" s="1067" t="s">
        <v>289</v>
      </c>
      <c r="D89" s="1067">
        <v>176</v>
      </c>
      <c r="E89" s="1067">
        <v>2</v>
      </c>
      <c r="F89" s="1067">
        <v>10</v>
      </c>
      <c r="G89" s="1067">
        <v>4</v>
      </c>
      <c r="H89" s="1067">
        <v>136</v>
      </c>
      <c r="I89" s="1067">
        <v>8</v>
      </c>
      <c r="J89" s="1067">
        <v>16</v>
      </c>
    </row>
    <row r="90" spans="1:10" x14ac:dyDescent="0.25">
      <c r="A90" s="1067" t="s">
        <v>254</v>
      </c>
      <c r="B90" s="1067" t="s">
        <v>45</v>
      </c>
      <c r="C90" s="1067" t="s">
        <v>290</v>
      </c>
      <c r="D90" s="1067">
        <v>16</v>
      </c>
      <c r="E90" s="1067">
        <v>2</v>
      </c>
      <c r="F90" s="1067"/>
      <c r="G90" s="1067"/>
      <c r="H90" s="1067">
        <v>14</v>
      </c>
      <c r="I90" s="1067"/>
      <c r="J90" s="1067"/>
    </row>
    <row r="91" spans="1:10" x14ac:dyDescent="0.25">
      <c r="A91" s="1067" t="s">
        <v>254</v>
      </c>
      <c r="B91" s="1067" t="s">
        <v>46</v>
      </c>
      <c r="C91" s="1067" t="s">
        <v>291</v>
      </c>
      <c r="D91" s="1067">
        <v>6</v>
      </c>
      <c r="E91" s="1067"/>
      <c r="F91" s="1067">
        <v>2</v>
      </c>
      <c r="G91" s="1067"/>
      <c r="H91" s="1067">
        <v>4</v>
      </c>
      <c r="I91" s="1067"/>
      <c r="J91" s="1067"/>
    </row>
    <row r="92" spans="1:10" x14ac:dyDescent="0.25">
      <c r="A92" s="1067" t="s">
        <v>254</v>
      </c>
      <c r="B92" s="1067" t="s">
        <v>47</v>
      </c>
      <c r="C92" s="1067" t="s">
        <v>292</v>
      </c>
      <c r="D92" s="1067">
        <v>38</v>
      </c>
      <c r="E92" s="1067"/>
      <c r="F92" s="1067">
        <v>6</v>
      </c>
      <c r="G92" s="1067"/>
      <c r="H92" s="1067">
        <v>26</v>
      </c>
      <c r="I92" s="1067">
        <v>2</v>
      </c>
      <c r="J92" s="1067">
        <v>4</v>
      </c>
    </row>
    <row r="93" spans="1:10" x14ac:dyDescent="0.25">
      <c r="A93" s="1067" t="s">
        <v>254</v>
      </c>
      <c r="B93" s="1067" t="s">
        <v>48</v>
      </c>
      <c r="C93" s="1067" t="s">
        <v>287</v>
      </c>
      <c r="D93" s="1067">
        <v>36</v>
      </c>
      <c r="E93" s="1067"/>
      <c r="F93" s="1067"/>
      <c r="G93" s="1067"/>
      <c r="H93" s="1067">
        <v>34</v>
      </c>
      <c r="I93" s="1067"/>
      <c r="J93" s="1067">
        <v>2</v>
      </c>
    </row>
    <row r="94" spans="1:10" x14ac:dyDescent="0.25">
      <c r="A94" s="1067" t="s">
        <v>254</v>
      </c>
      <c r="B94" s="1067" t="s">
        <v>49</v>
      </c>
      <c r="C94" s="1067" t="s">
        <v>293</v>
      </c>
      <c r="D94" s="1067">
        <v>40</v>
      </c>
      <c r="E94" s="1067"/>
      <c r="F94" s="1067">
        <v>4</v>
      </c>
      <c r="G94" s="1067"/>
      <c r="H94" s="1067">
        <v>32</v>
      </c>
      <c r="I94" s="1067">
        <v>2</v>
      </c>
      <c r="J94" s="1067">
        <v>2</v>
      </c>
    </row>
    <row r="95" spans="1:10" x14ac:dyDescent="0.25">
      <c r="A95" s="1067" t="s">
        <v>254</v>
      </c>
      <c r="B95" s="1067" t="s">
        <v>50</v>
      </c>
      <c r="C95" s="1067" t="s">
        <v>310</v>
      </c>
      <c r="D95" s="1067">
        <v>15</v>
      </c>
      <c r="E95" s="1067">
        <v>2</v>
      </c>
      <c r="F95" s="1067">
        <v>2</v>
      </c>
      <c r="G95" s="1067">
        <v>1</v>
      </c>
      <c r="H95" s="1067">
        <v>8</v>
      </c>
      <c r="I95" s="1067">
        <v>2</v>
      </c>
      <c r="J95" s="1067"/>
    </row>
    <row r="96" spans="1:10" x14ac:dyDescent="0.25">
      <c r="A96" s="1067" t="s">
        <v>254</v>
      </c>
      <c r="B96" s="1067" t="s">
        <v>50</v>
      </c>
      <c r="C96" s="1067" t="s">
        <v>1078</v>
      </c>
      <c r="D96" s="1067">
        <v>15</v>
      </c>
      <c r="E96" s="1067">
        <v>2</v>
      </c>
      <c r="F96" s="1067">
        <v>2</v>
      </c>
      <c r="G96" s="1067">
        <v>1</v>
      </c>
      <c r="H96" s="1067">
        <v>8</v>
      </c>
      <c r="I96" s="1067">
        <v>2</v>
      </c>
      <c r="J96" s="1067"/>
    </row>
    <row r="97" spans="1:10" x14ac:dyDescent="0.25">
      <c r="A97" s="1067" t="s">
        <v>254</v>
      </c>
      <c r="B97" s="1067" t="s">
        <v>51</v>
      </c>
      <c r="C97" s="1067" t="s">
        <v>294</v>
      </c>
      <c r="D97" s="1067">
        <v>30</v>
      </c>
      <c r="E97" s="1067"/>
      <c r="F97" s="1067"/>
      <c r="G97" s="1067"/>
      <c r="H97" s="1067">
        <v>28</v>
      </c>
      <c r="I97" s="1067"/>
      <c r="J97" s="1067">
        <v>2</v>
      </c>
    </row>
    <row r="98" spans="1:10" x14ac:dyDescent="0.25">
      <c r="A98" s="1067" t="s">
        <v>254</v>
      </c>
      <c r="B98" s="1067" t="s">
        <v>52</v>
      </c>
      <c r="C98" s="1067" t="s">
        <v>295</v>
      </c>
      <c r="D98" s="1067">
        <v>46</v>
      </c>
      <c r="E98" s="1067">
        <v>2</v>
      </c>
      <c r="F98" s="1067"/>
      <c r="G98" s="1067">
        <v>2</v>
      </c>
      <c r="H98" s="1067">
        <v>32</v>
      </c>
      <c r="I98" s="1067">
        <v>4</v>
      </c>
      <c r="J98" s="1067">
        <v>6</v>
      </c>
    </row>
    <row r="99" spans="1:10" x14ac:dyDescent="0.25">
      <c r="A99" s="1067" t="s">
        <v>254</v>
      </c>
      <c r="B99" s="1067" t="s">
        <v>53</v>
      </c>
      <c r="C99" s="1067" t="s">
        <v>305</v>
      </c>
      <c r="D99" s="1067">
        <v>20</v>
      </c>
      <c r="E99" s="1067">
        <v>4</v>
      </c>
      <c r="F99" s="1067">
        <v>8</v>
      </c>
      <c r="G99" s="1067"/>
      <c r="H99" s="1067">
        <v>8</v>
      </c>
      <c r="I99" s="1067"/>
      <c r="J99" s="1067"/>
    </row>
    <row r="100" spans="1:10" x14ac:dyDescent="0.25">
      <c r="A100" s="1067" t="s">
        <v>254</v>
      </c>
      <c r="B100" s="1067" t="s">
        <v>54</v>
      </c>
      <c r="C100" s="1067" t="s">
        <v>296</v>
      </c>
      <c r="D100" s="1067">
        <v>40</v>
      </c>
      <c r="E100" s="1067"/>
      <c r="F100" s="1067">
        <v>2</v>
      </c>
      <c r="G100" s="1067">
        <v>4</v>
      </c>
      <c r="H100" s="1067">
        <v>34</v>
      </c>
      <c r="I100" s="1067"/>
      <c r="J100" s="1067"/>
    </row>
    <row r="101" spans="1:10" x14ac:dyDescent="0.25">
      <c r="A101" s="1067" t="s">
        <v>254</v>
      </c>
      <c r="B101" s="1067" t="s">
        <v>55</v>
      </c>
      <c r="C101" s="1067" t="s">
        <v>297</v>
      </c>
      <c r="D101" s="1067">
        <v>36</v>
      </c>
      <c r="E101" s="1067"/>
      <c r="F101" s="1067">
        <v>2</v>
      </c>
      <c r="G101" s="1067"/>
      <c r="H101" s="1067">
        <v>32</v>
      </c>
      <c r="I101" s="1067"/>
      <c r="J101" s="1067">
        <v>2</v>
      </c>
    </row>
    <row r="102" spans="1:10" x14ac:dyDescent="0.25">
      <c r="A102" s="1067" t="s">
        <v>254</v>
      </c>
      <c r="B102" s="1067" t="s">
        <v>56</v>
      </c>
      <c r="C102" s="1067" t="s">
        <v>298</v>
      </c>
      <c r="D102" s="1067">
        <v>18</v>
      </c>
      <c r="E102" s="1067">
        <v>2</v>
      </c>
      <c r="F102" s="1067"/>
      <c r="G102" s="1067">
        <v>2</v>
      </c>
      <c r="H102" s="1067">
        <v>14</v>
      </c>
      <c r="I102" s="1067"/>
      <c r="J102" s="1067"/>
    </row>
    <row r="103" spans="1:10" x14ac:dyDescent="0.25">
      <c r="A103" s="1067" t="s">
        <v>254</v>
      </c>
      <c r="B103" s="1067" t="s">
        <v>57</v>
      </c>
      <c r="C103" s="1067" t="s">
        <v>299</v>
      </c>
      <c r="D103" s="1067">
        <v>48</v>
      </c>
      <c r="E103" s="1067">
        <v>2</v>
      </c>
      <c r="F103" s="1067">
        <v>12</v>
      </c>
      <c r="G103" s="1067">
        <v>4</v>
      </c>
      <c r="H103" s="1067">
        <v>28</v>
      </c>
      <c r="I103" s="1067">
        <v>2</v>
      </c>
      <c r="J103" s="1067"/>
    </row>
    <row r="104" spans="1:10" x14ac:dyDescent="0.25">
      <c r="A104" s="1067" t="s">
        <v>254</v>
      </c>
      <c r="B104" s="1067" t="s">
        <v>58</v>
      </c>
      <c r="C104" s="1067" t="s">
        <v>300</v>
      </c>
      <c r="D104" s="1067">
        <v>30</v>
      </c>
      <c r="E104" s="1067"/>
      <c r="F104" s="1067">
        <v>6</v>
      </c>
      <c r="G104" s="1067">
        <v>2</v>
      </c>
      <c r="H104" s="1067">
        <v>18</v>
      </c>
      <c r="I104" s="1067"/>
      <c r="J104" s="1067">
        <v>4</v>
      </c>
    </row>
    <row r="105" spans="1:10" x14ac:dyDescent="0.25">
      <c r="A105" s="1067" t="s">
        <v>254</v>
      </c>
      <c r="B105" s="1067" t="s">
        <v>59</v>
      </c>
      <c r="C105" s="1067" t="s">
        <v>306</v>
      </c>
      <c r="D105" s="1067">
        <v>14</v>
      </c>
      <c r="E105" s="1067">
        <v>2</v>
      </c>
      <c r="F105" s="1067">
        <v>2</v>
      </c>
      <c r="G105" s="1067"/>
      <c r="H105" s="1067">
        <v>8</v>
      </c>
      <c r="I105" s="1067">
        <v>2</v>
      </c>
      <c r="J105" s="1067"/>
    </row>
    <row r="106" spans="1:10" x14ac:dyDescent="0.25">
      <c r="A106" s="1067" t="s">
        <v>254</v>
      </c>
      <c r="B106" s="1067" t="s">
        <v>60</v>
      </c>
      <c r="C106" s="1067" t="s">
        <v>307</v>
      </c>
      <c r="D106" s="1067">
        <v>24</v>
      </c>
      <c r="E106" s="1067"/>
      <c r="F106" s="1067">
        <v>2</v>
      </c>
      <c r="G106" s="1067">
        <v>4</v>
      </c>
      <c r="H106" s="1067">
        <v>16</v>
      </c>
      <c r="I106" s="1067">
        <v>2</v>
      </c>
      <c r="J106" s="1067"/>
    </row>
    <row r="107" spans="1:10" x14ac:dyDescent="0.25">
      <c r="A107" s="1067" t="s">
        <v>851</v>
      </c>
      <c r="B107" s="1067" t="s">
        <v>31</v>
      </c>
      <c r="C107" s="1067" t="s">
        <v>301</v>
      </c>
      <c r="D107" s="1067">
        <v>42</v>
      </c>
      <c r="E107" s="1067">
        <v>2</v>
      </c>
      <c r="F107" s="1067">
        <v>8</v>
      </c>
      <c r="G107" s="1067">
        <v>2</v>
      </c>
      <c r="H107" s="1067">
        <v>18</v>
      </c>
      <c r="I107" s="1067">
        <v>12</v>
      </c>
      <c r="J107" s="1067"/>
    </row>
    <row r="108" spans="1:10" x14ac:dyDescent="0.25">
      <c r="A108" s="1067" t="s">
        <v>851</v>
      </c>
      <c r="B108" s="1067" t="s">
        <v>32</v>
      </c>
      <c r="C108" s="1067" t="s">
        <v>302</v>
      </c>
      <c r="D108" s="1067">
        <v>76</v>
      </c>
      <c r="E108" s="1067"/>
      <c r="F108" s="1067">
        <v>10</v>
      </c>
      <c r="G108" s="1067">
        <v>2</v>
      </c>
      <c r="H108" s="1067">
        <v>62</v>
      </c>
      <c r="I108" s="1067">
        <v>2</v>
      </c>
      <c r="J108" s="1067"/>
    </row>
    <row r="109" spans="1:10" x14ac:dyDescent="0.25">
      <c r="A109" s="1067" t="s">
        <v>851</v>
      </c>
      <c r="B109" s="1067" t="s">
        <v>33</v>
      </c>
      <c r="C109" s="1067" t="s">
        <v>308</v>
      </c>
      <c r="D109" s="1067">
        <v>26</v>
      </c>
      <c r="E109" s="1067"/>
      <c r="F109" s="1067">
        <v>2</v>
      </c>
      <c r="G109" s="1067"/>
      <c r="H109" s="1067">
        <v>22</v>
      </c>
      <c r="I109" s="1067">
        <v>2</v>
      </c>
      <c r="J109" s="1067"/>
    </row>
    <row r="110" spans="1:10" x14ac:dyDescent="0.25">
      <c r="A110" s="1067" t="s">
        <v>851</v>
      </c>
      <c r="B110" s="1067" t="s">
        <v>34</v>
      </c>
      <c r="C110" s="1067" t="s">
        <v>303</v>
      </c>
      <c r="D110" s="1067">
        <v>94</v>
      </c>
      <c r="E110" s="1067">
        <v>2</v>
      </c>
      <c r="F110" s="1067">
        <v>8</v>
      </c>
      <c r="G110" s="1067">
        <v>2</v>
      </c>
      <c r="H110" s="1067">
        <v>48</v>
      </c>
      <c r="I110" s="1067"/>
      <c r="J110" s="1067">
        <v>34</v>
      </c>
    </row>
    <row r="111" spans="1:10" x14ac:dyDescent="0.25">
      <c r="A111" s="1067" t="s">
        <v>851</v>
      </c>
      <c r="B111" s="1067" t="s">
        <v>258</v>
      </c>
      <c r="C111" s="1067" t="s">
        <v>304</v>
      </c>
      <c r="D111" s="1067">
        <v>50</v>
      </c>
      <c r="E111" s="1067">
        <v>6</v>
      </c>
      <c r="F111" s="1067">
        <v>6</v>
      </c>
      <c r="G111" s="1067">
        <v>4</v>
      </c>
      <c r="H111" s="1067">
        <v>24</v>
      </c>
      <c r="I111" s="1067">
        <v>10</v>
      </c>
      <c r="J111" s="1067"/>
    </row>
    <row r="112" spans="1:10" x14ac:dyDescent="0.25">
      <c r="A112" s="1067" t="s">
        <v>851</v>
      </c>
      <c r="B112" s="1067" t="s">
        <v>35</v>
      </c>
      <c r="C112" s="1067" t="s">
        <v>282</v>
      </c>
      <c r="D112" s="1067">
        <v>8</v>
      </c>
      <c r="E112" s="1067"/>
      <c r="F112" s="1067">
        <v>2</v>
      </c>
      <c r="G112" s="1067">
        <v>2</v>
      </c>
      <c r="H112" s="1067">
        <v>4</v>
      </c>
      <c r="I112" s="1067"/>
      <c r="J112" s="1067"/>
    </row>
    <row r="113" spans="1:10" x14ac:dyDescent="0.25">
      <c r="A113" s="1067" t="s">
        <v>851</v>
      </c>
      <c r="B113" s="1067" t="s">
        <v>36</v>
      </c>
      <c r="C113" s="1067" t="s">
        <v>283</v>
      </c>
      <c r="D113" s="1067">
        <v>56</v>
      </c>
      <c r="E113" s="1067">
        <v>2</v>
      </c>
      <c r="F113" s="1067">
        <v>6</v>
      </c>
      <c r="G113" s="1067">
        <v>6</v>
      </c>
      <c r="H113" s="1067">
        <v>42</v>
      </c>
      <c r="I113" s="1067"/>
      <c r="J113" s="1067"/>
    </row>
    <row r="114" spans="1:10" x14ac:dyDescent="0.25">
      <c r="A114" s="1067" t="s">
        <v>851</v>
      </c>
      <c r="B114" s="1067" t="s">
        <v>37</v>
      </c>
      <c r="C114" s="1067" t="s">
        <v>309</v>
      </c>
      <c r="D114" s="1067">
        <v>38</v>
      </c>
      <c r="E114" s="1067">
        <v>4</v>
      </c>
      <c r="F114" s="1067">
        <v>4</v>
      </c>
      <c r="G114" s="1067">
        <v>2</v>
      </c>
      <c r="H114" s="1067">
        <v>14</v>
      </c>
      <c r="I114" s="1067">
        <v>14</v>
      </c>
      <c r="J114" s="1067"/>
    </row>
    <row r="115" spans="1:10" x14ac:dyDescent="0.25">
      <c r="A115" s="1067" t="s">
        <v>851</v>
      </c>
      <c r="B115" s="1067" t="s">
        <v>38</v>
      </c>
      <c r="C115" s="1067" t="s">
        <v>284</v>
      </c>
      <c r="D115" s="1067">
        <v>22</v>
      </c>
      <c r="E115" s="1067">
        <v>2</v>
      </c>
      <c r="F115" s="1067"/>
      <c r="G115" s="1067"/>
      <c r="H115" s="1067">
        <v>18</v>
      </c>
      <c r="I115" s="1067">
        <v>2</v>
      </c>
      <c r="J115" s="1067"/>
    </row>
    <row r="116" spans="1:10" x14ac:dyDescent="0.25">
      <c r="A116" s="1067" t="s">
        <v>851</v>
      </c>
      <c r="B116" s="1067" t="s">
        <v>39</v>
      </c>
      <c r="C116" s="1067" t="s">
        <v>311</v>
      </c>
      <c r="D116" s="1067">
        <v>10</v>
      </c>
      <c r="E116" s="1067"/>
      <c r="F116" s="1067"/>
      <c r="G116" s="1067"/>
      <c r="H116" s="1067">
        <v>6</v>
      </c>
      <c r="I116" s="1067">
        <v>4</v>
      </c>
      <c r="J116" s="1067"/>
    </row>
    <row r="117" spans="1:10" x14ac:dyDescent="0.25">
      <c r="A117" s="1067" t="s">
        <v>851</v>
      </c>
      <c r="B117" s="1067" t="s">
        <v>40</v>
      </c>
      <c r="C117" s="1067" t="s">
        <v>285</v>
      </c>
      <c r="D117" s="1067">
        <v>20</v>
      </c>
      <c r="E117" s="1067"/>
      <c r="F117" s="1067">
        <v>2</v>
      </c>
      <c r="G117" s="1067"/>
      <c r="H117" s="1067">
        <v>18</v>
      </c>
      <c r="I117" s="1067"/>
      <c r="J117" s="1067"/>
    </row>
    <row r="118" spans="1:10" x14ac:dyDescent="0.25">
      <c r="A118" s="1067" t="s">
        <v>851</v>
      </c>
      <c r="B118" s="1067" t="s">
        <v>41</v>
      </c>
      <c r="C118" s="1067" t="s">
        <v>286</v>
      </c>
      <c r="D118" s="1067">
        <v>4</v>
      </c>
      <c r="E118" s="1067"/>
      <c r="F118" s="1067"/>
      <c r="G118" s="1067"/>
      <c r="H118" s="1067">
        <v>4</v>
      </c>
      <c r="I118" s="1067"/>
      <c r="J118" s="1067"/>
    </row>
    <row r="119" spans="1:10" x14ac:dyDescent="0.25">
      <c r="A119" s="1067" t="s">
        <v>851</v>
      </c>
      <c r="B119" s="1067" t="s">
        <v>42</v>
      </c>
      <c r="C119" s="1067" t="s">
        <v>288</v>
      </c>
      <c r="D119" s="1067">
        <v>36</v>
      </c>
      <c r="E119" s="1067">
        <v>4</v>
      </c>
      <c r="F119" s="1067">
        <v>10</v>
      </c>
      <c r="G119" s="1067"/>
      <c r="H119" s="1067">
        <v>18</v>
      </c>
      <c r="I119" s="1067">
        <v>4</v>
      </c>
      <c r="J119" s="1067"/>
    </row>
    <row r="120" spans="1:10" x14ac:dyDescent="0.25">
      <c r="A120" s="1067" t="s">
        <v>851</v>
      </c>
      <c r="B120" s="1067" t="s">
        <v>43</v>
      </c>
      <c r="C120" s="1067" t="s">
        <v>313</v>
      </c>
      <c r="D120" s="1067">
        <v>60</v>
      </c>
      <c r="E120" s="1067">
        <v>4</v>
      </c>
      <c r="F120" s="1067">
        <v>10</v>
      </c>
      <c r="G120" s="1067">
        <v>4</v>
      </c>
      <c r="H120" s="1067">
        <v>38</v>
      </c>
      <c r="I120" s="1067">
        <v>4</v>
      </c>
      <c r="J120" s="1067"/>
    </row>
    <row r="121" spans="1:10" x14ac:dyDescent="0.25">
      <c r="A121" s="1067" t="s">
        <v>851</v>
      </c>
      <c r="B121" s="1067" t="s">
        <v>121</v>
      </c>
      <c r="C121" s="1067" t="s">
        <v>312</v>
      </c>
      <c r="D121" s="1067">
        <v>28</v>
      </c>
      <c r="E121" s="1067">
        <v>3</v>
      </c>
      <c r="F121" s="1067">
        <v>3</v>
      </c>
      <c r="G121" s="1067">
        <v>3</v>
      </c>
      <c r="H121" s="1067">
        <v>19</v>
      </c>
      <c r="I121" s="1067"/>
      <c r="J121" s="1067"/>
    </row>
    <row r="122" spans="1:10" x14ac:dyDescent="0.25">
      <c r="A122" s="1067" t="s">
        <v>851</v>
      </c>
      <c r="B122" s="1067" t="s">
        <v>121</v>
      </c>
      <c r="C122" s="1067" t="s">
        <v>1076</v>
      </c>
      <c r="D122" s="1067">
        <v>28</v>
      </c>
      <c r="E122" s="1067">
        <v>3</v>
      </c>
      <c r="F122" s="1067">
        <v>3</v>
      </c>
      <c r="G122" s="1067">
        <v>3</v>
      </c>
      <c r="H122" s="1067">
        <v>19</v>
      </c>
      <c r="I122" s="1067"/>
      <c r="J122" s="1067"/>
    </row>
    <row r="123" spans="1:10" x14ac:dyDescent="0.25">
      <c r="A123" s="1067" t="s">
        <v>851</v>
      </c>
      <c r="B123" s="1067" t="s">
        <v>44</v>
      </c>
      <c r="C123" s="1067" t="s">
        <v>289</v>
      </c>
      <c r="D123" s="1067">
        <v>166</v>
      </c>
      <c r="E123" s="1067">
        <v>4</v>
      </c>
      <c r="F123" s="1067">
        <v>4</v>
      </c>
      <c r="G123" s="1067">
        <v>6</v>
      </c>
      <c r="H123" s="1067">
        <v>130</v>
      </c>
      <c r="I123" s="1067">
        <v>6</v>
      </c>
      <c r="J123" s="1067">
        <v>16</v>
      </c>
    </row>
    <row r="124" spans="1:10" x14ac:dyDescent="0.25">
      <c r="A124" s="1067" t="s">
        <v>851</v>
      </c>
      <c r="B124" s="1067" t="s">
        <v>45</v>
      </c>
      <c r="C124" s="1067" t="s">
        <v>290</v>
      </c>
      <c r="D124" s="1067">
        <v>14</v>
      </c>
      <c r="E124" s="1067">
        <v>2</v>
      </c>
      <c r="F124" s="1067"/>
      <c r="G124" s="1067"/>
      <c r="H124" s="1067">
        <v>12</v>
      </c>
      <c r="I124" s="1067"/>
      <c r="J124" s="1067"/>
    </row>
    <row r="125" spans="1:10" x14ac:dyDescent="0.25">
      <c r="A125" s="1067" t="s">
        <v>851</v>
      </c>
      <c r="B125" s="1067" t="s">
        <v>46</v>
      </c>
      <c r="C125" s="1067" t="s">
        <v>291</v>
      </c>
      <c r="D125" s="1067">
        <v>6</v>
      </c>
      <c r="E125" s="1067"/>
      <c r="F125" s="1067">
        <v>2</v>
      </c>
      <c r="G125" s="1067"/>
      <c r="H125" s="1067">
        <v>4</v>
      </c>
      <c r="I125" s="1067"/>
      <c r="J125" s="1067"/>
    </row>
    <row r="126" spans="1:10" x14ac:dyDescent="0.25">
      <c r="A126" s="1067" t="s">
        <v>851</v>
      </c>
      <c r="B126" s="1067" t="s">
        <v>47</v>
      </c>
      <c r="C126" s="1067" t="s">
        <v>292</v>
      </c>
      <c r="D126" s="1067">
        <v>40</v>
      </c>
      <c r="E126" s="1067"/>
      <c r="F126" s="1067">
        <v>6</v>
      </c>
      <c r="G126" s="1067">
        <v>2</v>
      </c>
      <c r="H126" s="1067">
        <v>26</v>
      </c>
      <c r="I126" s="1067">
        <v>2</v>
      </c>
      <c r="J126" s="1067">
        <v>4</v>
      </c>
    </row>
    <row r="127" spans="1:10" x14ac:dyDescent="0.25">
      <c r="A127" s="1067" t="s">
        <v>851</v>
      </c>
      <c r="B127" s="1067" t="s">
        <v>48</v>
      </c>
      <c r="C127" s="1067" t="s">
        <v>287</v>
      </c>
      <c r="D127" s="1067">
        <v>34</v>
      </c>
      <c r="E127" s="1067"/>
      <c r="F127" s="1067"/>
      <c r="G127" s="1067"/>
      <c r="H127" s="1067">
        <v>32</v>
      </c>
      <c r="I127" s="1067"/>
      <c r="J127" s="1067">
        <v>2</v>
      </c>
    </row>
    <row r="128" spans="1:10" x14ac:dyDescent="0.25">
      <c r="A128" s="1067" t="s">
        <v>851</v>
      </c>
      <c r="B128" s="1067" t="s">
        <v>49</v>
      </c>
      <c r="C128" s="1067" t="s">
        <v>293</v>
      </c>
      <c r="D128" s="1067">
        <v>40</v>
      </c>
      <c r="E128" s="1067"/>
      <c r="F128" s="1067">
        <v>4</v>
      </c>
      <c r="G128" s="1067"/>
      <c r="H128" s="1067">
        <v>32</v>
      </c>
      <c r="I128" s="1067">
        <v>2</v>
      </c>
      <c r="J128" s="1067">
        <v>2</v>
      </c>
    </row>
    <row r="129" spans="1:10" x14ac:dyDescent="0.25">
      <c r="A129" s="1067" t="s">
        <v>851</v>
      </c>
      <c r="B129" s="1067" t="s">
        <v>50</v>
      </c>
      <c r="C129" s="1067" t="s">
        <v>310</v>
      </c>
      <c r="D129" s="1067">
        <v>15</v>
      </c>
      <c r="E129" s="1067">
        <v>1</v>
      </c>
      <c r="F129" s="1067">
        <v>3</v>
      </c>
      <c r="G129" s="1067">
        <v>1</v>
      </c>
      <c r="H129" s="1067">
        <v>8</v>
      </c>
      <c r="I129" s="1067">
        <v>2</v>
      </c>
      <c r="J129" s="1067"/>
    </row>
    <row r="130" spans="1:10" x14ac:dyDescent="0.25">
      <c r="A130" s="1067" t="s">
        <v>851</v>
      </c>
      <c r="B130" s="1067" t="s">
        <v>50</v>
      </c>
      <c r="C130" s="1067" t="s">
        <v>1078</v>
      </c>
      <c r="D130" s="1067">
        <v>15</v>
      </c>
      <c r="E130" s="1067">
        <v>1</v>
      </c>
      <c r="F130" s="1067">
        <v>3</v>
      </c>
      <c r="G130" s="1067">
        <v>1</v>
      </c>
      <c r="H130" s="1067">
        <v>8</v>
      </c>
      <c r="I130" s="1067">
        <v>2</v>
      </c>
      <c r="J130" s="1067"/>
    </row>
    <row r="131" spans="1:10" x14ac:dyDescent="0.25">
      <c r="A131" s="1067" t="s">
        <v>851</v>
      </c>
      <c r="B131" s="1067" t="s">
        <v>51</v>
      </c>
      <c r="C131" s="1067" t="s">
        <v>294</v>
      </c>
      <c r="D131" s="1067">
        <v>34</v>
      </c>
      <c r="E131" s="1067"/>
      <c r="F131" s="1067"/>
      <c r="G131" s="1067"/>
      <c r="H131" s="1067">
        <v>32</v>
      </c>
      <c r="I131" s="1067"/>
      <c r="J131" s="1067">
        <v>2</v>
      </c>
    </row>
    <row r="132" spans="1:10" x14ac:dyDescent="0.25">
      <c r="A132" s="1067" t="s">
        <v>851</v>
      </c>
      <c r="B132" s="1067" t="s">
        <v>52</v>
      </c>
      <c r="C132" s="1067" t="s">
        <v>295</v>
      </c>
      <c r="D132" s="1067">
        <v>46</v>
      </c>
      <c r="E132" s="1067">
        <v>2</v>
      </c>
      <c r="F132" s="1067"/>
      <c r="G132" s="1067">
        <v>2</v>
      </c>
      <c r="H132" s="1067">
        <v>30</v>
      </c>
      <c r="I132" s="1067">
        <v>6</v>
      </c>
      <c r="J132" s="1067">
        <v>6</v>
      </c>
    </row>
    <row r="133" spans="1:10" x14ac:dyDescent="0.25">
      <c r="A133" s="1067" t="s">
        <v>851</v>
      </c>
      <c r="B133" s="1067" t="s">
        <v>53</v>
      </c>
      <c r="C133" s="1067" t="s">
        <v>305</v>
      </c>
      <c r="D133" s="1067">
        <v>18</v>
      </c>
      <c r="E133" s="1067">
        <v>4</v>
      </c>
      <c r="F133" s="1067">
        <v>6</v>
      </c>
      <c r="G133" s="1067"/>
      <c r="H133" s="1067">
        <v>8</v>
      </c>
      <c r="I133" s="1067"/>
      <c r="J133" s="1067"/>
    </row>
    <row r="134" spans="1:10" x14ac:dyDescent="0.25">
      <c r="A134" s="1067" t="s">
        <v>851</v>
      </c>
      <c r="B134" s="1067" t="s">
        <v>54</v>
      </c>
      <c r="C134" s="1067" t="s">
        <v>296</v>
      </c>
      <c r="D134" s="1067">
        <v>40</v>
      </c>
      <c r="E134" s="1067"/>
      <c r="F134" s="1067">
        <v>2</v>
      </c>
      <c r="G134" s="1067">
        <v>4</v>
      </c>
      <c r="H134" s="1067">
        <v>34</v>
      </c>
      <c r="I134" s="1067"/>
      <c r="J134" s="1067"/>
    </row>
    <row r="135" spans="1:10" x14ac:dyDescent="0.25">
      <c r="A135" s="1067" t="s">
        <v>851</v>
      </c>
      <c r="B135" s="1067" t="s">
        <v>55</v>
      </c>
      <c r="C135" s="1067" t="s">
        <v>297</v>
      </c>
      <c r="D135" s="1067">
        <v>32</v>
      </c>
      <c r="E135" s="1067"/>
      <c r="F135" s="1067">
        <v>2</v>
      </c>
      <c r="G135" s="1067"/>
      <c r="H135" s="1067">
        <v>28</v>
      </c>
      <c r="I135" s="1067"/>
      <c r="J135" s="1067">
        <v>2</v>
      </c>
    </row>
    <row r="136" spans="1:10" x14ac:dyDescent="0.25">
      <c r="A136" s="1067" t="s">
        <v>851</v>
      </c>
      <c r="B136" s="1067" t="s">
        <v>56</v>
      </c>
      <c r="C136" s="1067" t="s">
        <v>298</v>
      </c>
      <c r="D136" s="1067">
        <v>18</v>
      </c>
      <c r="E136" s="1067">
        <v>2</v>
      </c>
      <c r="F136" s="1067"/>
      <c r="G136" s="1067">
        <v>2</v>
      </c>
      <c r="H136" s="1067">
        <v>14</v>
      </c>
      <c r="I136" s="1067"/>
      <c r="J136" s="1067"/>
    </row>
    <row r="137" spans="1:10" x14ac:dyDescent="0.25">
      <c r="A137" s="1067" t="s">
        <v>851</v>
      </c>
      <c r="B137" s="1067" t="s">
        <v>57</v>
      </c>
      <c r="C137" s="1067" t="s">
        <v>299</v>
      </c>
      <c r="D137" s="1067">
        <v>46</v>
      </c>
      <c r="E137" s="1067">
        <v>2</v>
      </c>
      <c r="F137" s="1067">
        <v>10</v>
      </c>
      <c r="G137" s="1067">
        <v>4</v>
      </c>
      <c r="H137" s="1067">
        <v>28</v>
      </c>
      <c r="I137" s="1067">
        <v>2</v>
      </c>
      <c r="J137" s="1067"/>
    </row>
    <row r="138" spans="1:10" x14ac:dyDescent="0.25">
      <c r="A138" s="1067" t="s">
        <v>851</v>
      </c>
      <c r="B138" s="1067" t="s">
        <v>58</v>
      </c>
      <c r="C138" s="1067" t="s">
        <v>300</v>
      </c>
      <c r="D138" s="1067">
        <v>32</v>
      </c>
      <c r="E138" s="1067"/>
      <c r="F138" s="1067">
        <v>6</v>
      </c>
      <c r="G138" s="1067">
        <v>4</v>
      </c>
      <c r="H138" s="1067">
        <v>18</v>
      </c>
      <c r="I138" s="1067"/>
      <c r="J138" s="1067">
        <v>4</v>
      </c>
    </row>
    <row r="139" spans="1:10" x14ac:dyDescent="0.25">
      <c r="A139" s="1067" t="s">
        <v>851</v>
      </c>
      <c r="B139" s="1067" t="s">
        <v>59</v>
      </c>
      <c r="C139" s="1067" t="s">
        <v>306</v>
      </c>
      <c r="D139" s="1067">
        <v>14</v>
      </c>
      <c r="E139" s="1067">
        <v>2</v>
      </c>
      <c r="F139" s="1067">
        <v>2</v>
      </c>
      <c r="G139" s="1067"/>
      <c r="H139" s="1067">
        <v>8</v>
      </c>
      <c r="I139" s="1067">
        <v>2</v>
      </c>
      <c r="J139" s="1067"/>
    </row>
    <row r="140" spans="1:10" x14ac:dyDescent="0.25">
      <c r="A140" s="1067" t="s">
        <v>851</v>
      </c>
      <c r="B140" s="1067" t="s">
        <v>60</v>
      </c>
      <c r="C140" s="1067" t="s">
        <v>307</v>
      </c>
      <c r="D140" s="1067">
        <v>20</v>
      </c>
      <c r="E140" s="1067"/>
      <c r="F140" s="1067">
        <v>2</v>
      </c>
      <c r="G140" s="1067">
        <v>2</v>
      </c>
      <c r="H140" s="1067">
        <v>16</v>
      </c>
      <c r="I140" s="1067"/>
      <c r="J140" s="1067"/>
    </row>
  </sheetData>
  <sheetProtection algorithmName="SHA-512" hashValue="T13H9qYhUHuizTYu2usrbbqH+lIAvhs16CJp3vxXXjOMNiW2lAvrcURRxQ6wvgku5WxJlSv92yMcHWFV6brvgQ==" saltValue="zF9zj6bIBNioUKS4/s6wew==" spinCount="100000" sheet="1" scenarios="1" formatCells="0" formatColumns="0" formatRows="0" sort="0" autoFilter="0" pivotTables="0"/>
  <pageMargins left="0.7" right="0.7" top="0.75" bottom="0.75" header="0.3" footer="0.3"/>
  <pageSetup paperSize="9" fitToHeight="5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H18"/>
  <sheetViews>
    <sheetView zoomScale="85" zoomScaleNormal="85" workbookViewId="0">
      <pane ySplit="4" topLeftCell="A5" activePane="bottomLeft" state="frozen"/>
      <selection pane="bottomLeft"/>
    </sheetView>
  </sheetViews>
  <sheetFormatPr defaultRowHeight="15" x14ac:dyDescent="0.25"/>
  <sheetData>
    <row r="4" spans="1:8" x14ac:dyDescent="0.25">
      <c r="A4" s="1066" t="s">
        <v>1242</v>
      </c>
      <c r="B4" s="1066" t="s">
        <v>465</v>
      </c>
      <c r="C4" s="1066" t="s">
        <v>245</v>
      </c>
      <c r="D4" s="1066" t="s">
        <v>1243</v>
      </c>
      <c r="E4" s="1066" t="s">
        <v>1244</v>
      </c>
      <c r="F4" s="1066" t="s">
        <v>1245</v>
      </c>
      <c r="G4" s="1066" t="s">
        <v>1246</v>
      </c>
      <c r="H4" s="1066" t="s">
        <v>26</v>
      </c>
    </row>
    <row r="5" spans="1:8" x14ac:dyDescent="0.25">
      <c r="A5" s="1067" t="s">
        <v>196</v>
      </c>
      <c r="B5" s="1067" t="s">
        <v>213</v>
      </c>
      <c r="C5" s="1067" t="s">
        <v>325</v>
      </c>
      <c r="D5" s="1067">
        <v>49</v>
      </c>
      <c r="E5" s="1067">
        <v>8</v>
      </c>
      <c r="F5" s="1067">
        <v>37</v>
      </c>
      <c r="G5" s="1067">
        <v>15</v>
      </c>
      <c r="H5" s="1067">
        <v>109</v>
      </c>
    </row>
    <row r="6" spans="1:8" x14ac:dyDescent="0.25">
      <c r="A6" s="1067" t="s">
        <v>196</v>
      </c>
      <c r="B6" s="1067" t="s">
        <v>213</v>
      </c>
      <c r="C6" s="1067" t="s">
        <v>205</v>
      </c>
      <c r="D6" s="1067">
        <v>43</v>
      </c>
      <c r="E6" s="1067">
        <v>5</v>
      </c>
      <c r="F6" s="1067">
        <v>29</v>
      </c>
      <c r="G6" s="1067">
        <v>4</v>
      </c>
      <c r="H6" s="1067">
        <v>81</v>
      </c>
    </row>
    <row r="7" spans="1:8" x14ac:dyDescent="0.25">
      <c r="A7" s="1067" t="s">
        <v>196</v>
      </c>
      <c r="B7" s="1067" t="s">
        <v>213</v>
      </c>
      <c r="C7" s="1067" t="s">
        <v>204</v>
      </c>
      <c r="D7" s="1067">
        <v>38</v>
      </c>
      <c r="E7" s="1067">
        <v>3</v>
      </c>
      <c r="F7" s="1067">
        <v>20</v>
      </c>
      <c r="G7" s="1067">
        <v>8</v>
      </c>
      <c r="H7" s="1067">
        <v>69</v>
      </c>
    </row>
    <row r="8" spans="1:8" x14ac:dyDescent="0.25">
      <c r="A8" s="1067" t="s">
        <v>196</v>
      </c>
      <c r="B8" s="1067" t="s">
        <v>213</v>
      </c>
      <c r="C8" s="1067" t="s">
        <v>203</v>
      </c>
      <c r="D8" s="1067">
        <v>31</v>
      </c>
      <c r="E8" s="1067">
        <v>6</v>
      </c>
      <c r="F8" s="1067">
        <v>30</v>
      </c>
      <c r="G8" s="1067">
        <v>8</v>
      </c>
      <c r="H8" s="1067">
        <v>75</v>
      </c>
    </row>
    <row r="9" spans="1:8" x14ac:dyDescent="0.25">
      <c r="A9" s="1067" t="s">
        <v>196</v>
      </c>
      <c r="B9" s="1067" t="s">
        <v>197</v>
      </c>
      <c r="C9" s="1067" t="s">
        <v>202</v>
      </c>
      <c r="D9" s="1067">
        <v>3</v>
      </c>
      <c r="E9" s="1067"/>
      <c r="F9" s="1067">
        <v>6</v>
      </c>
      <c r="G9" s="1067"/>
      <c r="H9" s="1067">
        <v>9</v>
      </c>
    </row>
    <row r="10" spans="1:8" x14ac:dyDescent="0.25">
      <c r="A10" s="1067" t="s">
        <v>196</v>
      </c>
      <c r="B10" s="1067" t="s">
        <v>213</v>
      </c>
      <c r="C10" s="1067" t="s">
        <v>202</v>
      </c>
      <c r="D10" s="1067">
        <v>39</v>
      </c>
      <c r="E10" s="1067">
        <v>13</v>
      </c>
      <c r="F10" s="1067">
        <v>37</v>
      </c>
      <c r="G10" s="1067">
        <v>1</v>
      </c>
      <c r="H10" s="1067">
        <v>90</v>
      </c>
    </row>
    <row r="11" spans="1:8" x14ac:dyDescent="0.25">
      <c r="A11" s="1067" t="s">
        <v>196</v>
      </c>
      <c r="B11" s="1067" t="s">
        <v>197</v>
      </c>
      <c r="C11" s="1067" t="s">
        <v>273</v>
      </c>
      <c r="D11" s="1067">
        <v>2</v>
      </c>
      <c r="E11" s="1067"/>
      <c r="F11" s="1067">
        <v>3</v>
      </c>
      <c r="G11" s="1067"/>
      <c r="H11" s="1067">
        <v>5</v>
      </c>
    </row>
    <row r="12" spans="1:8" x14ac:dyDescent="0.25">
      <c r="A12" s="1067" t="s">
        <v>196</v>
      </c>
      <c r="B12" s="1067" t="s">
        <v>213</v>
      </c>
      <c r="C12" s="1067" t="s">
        <v>273</v>
      </c>
      <c r="D12" s="1067">
        <v>44</v>
      </c>
      <c r="E12" s="1067">
        <v>10</v>
      </c>
      <c r="F12" s="1067">
        <v>22</v>
      </c>
      <c r="G12" s="1067">
        <v>2</v>
      </c>
      <c r="H12" s="1067">
        <v>78</v>
      </c>
    </row>
    <row r="13" spans="1:8" x14ac:dyDescent="0.25">
      <c r="A13" s="1067" t="s">
        <v>196</v>
      </c>
      <c r="B13" s="1067" t="s">
        <v>197</v>
      </c>
      <c r="C13" s="1067" t="s">
        <v>255</v>
      </c>
      <c r="D13" s="1067">
        <v>3</v>
      </c>
      <c r="E13" s="1067">
        <v>2</v>
      </c>
      <c r="F13" s="1067">
        <v>3</v>
      </c>
      <c r="G13" s="1067"/>
      <c r="H13" s="1067">
        <v>8</v>
      </c>
    </row>
    <row r="14" spans="1:8" x14ac:dyDescent="0.25">
      <c r="A14" s="1067" t="s">
        <v>196</v>
      </c>
      <c r="B14" s="1067" t="s">
        <v>213</v>
      </c>
      <c r="C14" s="1067" t="s">
        <v>255</v>
      </c>
      <c r="D14" s="1067">
        <v>32</v>
      </c>
      <c r="E14" s="1067">
        <v>9</v>
      </c>
      <c r="F14" s="1067">
        <v>12</v>
      </c>
      <c r="G14" s="1067"/>
      <c r="H14" s="1067">
        <v>53</v>
      </c>
    </row>
    <row r="15" spans="1:8" x14ac:dyDescent="0.25">
      <c r="A15" s="1067" t="s">
        <v>196</v>
      </c>
      <c r="B15" s="1067" t="s">
        <v>197</v>
      </c>
      <c r="C15" s="1067" t="s">
        <v>254</v>
      </c>
      <c r="D15" s="1067">
        <v>2</v>
      </c>
      <c r="E15" s="1067">
        <v>2</v>
      </c>
      <c r="F15" s="1067">
        <v>6</v>
      </c>
      <c r="G15" s="1067">
        <v>1</v>
      </c>
      <c r="H15" s="1067">
        <v>11</v>
      </c>
    </row>
    <row r="16" spans="1:8" x14ac:dyDescent="0.25">
      <c r="A16" s="1067" t="s">
        <v>196</v>
      </c>
      <c r="B16" s="1067" t="s">
        <v>213</v>
      </c>
      <c r="C16" s="1067" t="s">
        <v>254</v>
      </c>
      <c r="D16" s="1067">
        <v>48</v>
      </c>
      <c r="E16" s="1067">
        <v>8</v>
      </c>
      <c r="F16" s="1067">
        <v>15</v>
      </c>
      <c r="G16" s="1067">
        <v>1</v>
      </c>
      <c r="H16" s="1067">
        <v>72</v>
      </c>
    </row>
    <row r="17" spans="1:8" x14ac:dyDescent="0.25">
      <c r="A17" s="1067" t="s">
        <v>196</v>
      </c>
      <c r="B17" s="1067" t="s">
        <v>197</v>
      </c>
      <c r="C17" s="1067" t="s">
        <v>851</v>
      </c>
      <c r="D17" s="1067">
        <v>1</v>
      </c>
      <c r="E17" s="1067"/>
      <c r="F17" s="1067">
        <v>1</v>
      </c>
      <c r="G17" s="1067">
        <v>1</v>
      </c>
      <c r="H17" s="1067">
        <v>3</v>
      </c>
    </row>
    <row r="18" spans="1:8" x14ac:dyDescent="0.25">
      <c r="A18" s="1067" t="s">
        <v>196</v>
      </c>
      <c r="B18" s="1067" t="s">
        <v>213</v>
      </c>
      <c r="C18" s="1067" t="s">
        <v>851</v>
      </c>
      <c r="D18" s="1067">
        <v>33</v>
      </c>
      <c r="E18" s="1067">
        <v>10</v>
      </c>
      <c r="F18" s="1067">
        <v>9</v>
      </c>
      <c r="G18" s="1067">
        <v>1</v>
      </c>
      <c r="H18" s="1067">
        <v>53</v>
      </c>
    </row>
  </sheetData>
  <sheetProtection algorithmName="SHA-512" hashValue="EkFtYMy35aYVo6wou/fLJILH1NX4bK3iTw+lVMuVV3WMG7d/H+XjznBE+vdToyhcP08QHvlfXPxbhRKKJjLHvQ==" saltValue="WBnOA6uq5SKAY0hx+Vt4aA==" spinCount="100000" sheet="1" scenarios="1" formatCells="0" formatColumns="0" formatRows="0" sort="0" autoFilter="0" pivotTables="0"/>
  <pageMargins left="0.7" right="0.7" top="0.75" bottom="0.75" header="0.3" footer="0.3"/>
  <pageSetup paperSize="9" fitToHeight="50"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G36"/>
  <sheetViews>
    <sheetView zoomScale="85" zoomScaleNormal="85" workbookViewId="0">
      <pane ySplit="4" topLeftCell="A5" activePane="bottomLeft" state="frozen"/>
      <selection pane="bottomLeft"/>
    </sheetView>
  </sheetViews>
  <sheetFormatPr defaultRowHeight="15" x14ac:dyDescent="0.25"/>
  <sheetData>
    <row r="4" spans="1:7" x14ac:dyDescent="0.25">
      <c r="A4" s="1066" t="s">
        <v>120</v>
      </c>
      <c r="B4" s="1066" t="s">
        <v>515</v>
      </c>
      <c r="C4" s="1066" t="s">
        <v>202</v>
      </c>
      <c r="D4" s="1066" t="s">
        <v>273</v>
      </c>
      <c r="E4" s="1066" t="s">
        <v>255</v>
      </c>
      <c r="F4" s="1066" t="s">
        <v>254</v>
      </c>
      <c r="G4" s="1066" t="s">
        <v>851</v>
      </c>
    </row>
    <row r="5" spans="1:7" x14ac:dyDescent="0.25">
      <c r="A5" s="1067" t="s">
        <v>31</v>
      </c>
      <c r="B5" s="1067" t="s">
        <v>301</v>
      </c>
      <c r="C5" s="1067">
        <v>8</v>
      </c>
      <c r="D5" s="1067">
        <v>1</v>
      </c>
      <c r="E5" s="1067">
        <v>1</v>
      </c>
      <c r="F5" s="1067">
        <v>1</v>
      </c>
      <c r="G5" s="1067"/>
    </row>
    <row r="6" spans="1:7" x14ac:dyDescent="0.25">
      <c r="A6" s="1067" t="s">
        <v>32</v>
      </c>
      <c r="B6" s="1067" t="s">
        <v>302</v>
      </c>
      <c r="C6" s="1067">
        <v>1</v>
      </c>
      <c r="D6" s="1067">
        <v>3</v>
      </c>
      <c r="E6" s="1067">
        <v>1</v>
      </c>
      <c r="F6" s="1067">
        <v>1</v>
      </c>
      <c r="G6" s="1067">
        <v>3</v>
      </c>
    </row>
    <row r="7" spans="1:7" x14ac:dyDescent="0.25">
      <c r="A7" s="1067" t="s">
        <v>33</v>
      </c>
      <c r="B7" s="1067" t="s">
        <v>308</v>
      </c>
      <c r="C7" s="1067"/>
      <c r="D7" s="1067"/>
      <c r="E7" s="1067"/>
      <c r="F7" s="1067"/>
      <c r="G7" s="1067"/>
    </row>
    <row r="8" spans="1:7" x14ac:dyDescent="0.25">
      <c r="A8" s="1067" t="s">
        <v>34</v>
      </c>
      <c r="B8" s="1067" t="s">
        <v>303</v>
      </c>
      <c r="C8" s="1067">
        <v>1</v>
      </c>
      <c r="D8" s="1067">
        <v>3</v>
      </c>
      <c r="E8" s="1067"/>
      <c r="F8" s="1067">
        <v>1</v>
      </c>
      <c r="G8" s="1067"/>
    </row>
    <row r="9" spans="1:7" x14ac:dyDescent="0.25">
      <c r="A9" s="1067" t="s">
        <v>258</v>
      </c>
      <c r="B9" s="1067" t="s">
        <v>304</v>
      </c>
      <c r="C9" s="1067">
        <v>6</v>
      </c>
      <c r="D9" s="1067">
        <v>5</v>
      </c>
      <c r="E9" s="1067">
        <v>2</v>
      </c>
      <c r="F9" s="1067">
        <v>8</v>
      </c>
      <c r="G9" s="1067">
        <v>6</v>
      </c>
    </row>
    <row r="10" spans="1:7" x14ac:dyDescent="0.25">
      <c r="A10" s="1067" t="s">
        <v>35</v>
      </c>
      <c r="B10" s="1067" t="s">
        <v>282</v>
      </c>
      <c r="C10" s="1067">
        <v>1</v>
      </c>
      <c r="D10" s="1067"/>
      <c r="E10" s="1067"/>
      <c r="F10" s="1067"/>
      <c r="G10" s="1067"/>
    </row>
    <row r="11" spans="1:7" x14ac:dyDescent="0.25">
      <c r="A11" s="1067" t="s">
        <v>36</v>
      </c>
      <c r="B11" s="1067" t="s">
        <v>283</v>
      </c>
      <c r="C11" s="1067">
        <v>2</v>
      </c>
      <c r="D11" s="1067">
        <v>1</v>
      </c>
      <c r="E11" s="1067"/>
      <c r="F11" s="1067"/>
      <c r="G11" s="1067">
        <v>3</v>
      </c>
    </row>
    <row r="12" spans="1:7" x14ac:dyDescent="0.25">
      <c r="A12" s="1067" t="s">
        <v>37</v>
      </c>
      <c r="B12" s="1067" t="s">
        <v>309</v>
      </c>
      <c r="C12" s="1067">
        <v>2</v>
      </c>
      <c r="D12" s="1067">
        <v>9</v>
      </c>
      <c r="E12" s="1067">
        <v>3</v>
      </c>
      <c r="F12" s="1067">
        <v>3</v>
      </c>
      <c r="G12" s="1067">
        <v>3</v>
      </c>
    </row>
    <row r="13" spans="1:7" x14ac:dyDescent="0.25">
      <c r="A13" s="1067" t="s">
        <v>38</v>
      </c>
      <c r="B13" s="1067" t="s">
        <v>284</v>
      </c>
      <c r="C13" s="1067">
        <v>3</v>
      </c>
      <c r="D13" s="1067">
        <v>1</v>
      </c>
      <c r="E13" s="1067">
        <v>1</v>
      </c>
      <c r="F13" s="1067">
        <v>3</v>
      </c>
      <c r="G13" s="1067"/>
    </row>
    <row r="14" spans="1:7" x14ac:dyDescent="0.25">
      <c r="A14" s="1067" t="s">
        <v>39</v>
      </c>
      <c r="B14" s="1067" t="s">
        <v>311</v>
      </c>
      <c r="C14" s="1067">
        <v>1</v>
      </c>
      <c r="D14" s="1067">
        <v>3</v>
      </c>
      <c r="E14" s="1067"/>
      <c r="F14" s="1067">
        <v>4</v>
      </c>
      <c r="G14" s="1067"/>
    </row>
    <row r="15" spans="1:7" x14ac:dyDescent="0.25">
      <c r="A15" s="1067" t="s">
        <v>40</v>
      </c>
      <c r="B15" s="1067" t="s">
        <v>285</v>
      </c>
      <c r="C15" s="1067">
        <v>2</v>
      </c>
      <c r="D15" s="1067">
        <v>2</v>
      </c>
      <c r="E15" s="1067"/>
      <c r="F15" s="1067"/>
      <c r="G15" s="1067"/>
    </row>
    <row r="16" spans="1:7" x14ac:dyDescent="0.25">
      <c r="A16" s="1067" t="s">
        <v>41</v>
      </c>
      <c r="B16" s="1067" t="s">
        <v>286</v>
      </c>
      <c r="C16" s="1067"/>
      <c r="D16" s="1067"/>
      <c r="E16" s="1067"/>
      <c r="F16" s="1067"/>
      <c r="G16" s="1067"/>
    </row>
    <row r="17" spans="1:7" x14ac:dyDescent="0.25">
      <c r="A17" s="1067" t="s">
        <v>42</v>
      </c>
      <c r="B17" s="1067" t="s">
        <v>288</v>
      </c>
      <c r="C17" s="1067">
        <v>5</v>
      </c>
      <c r="D17" s="1067">
        <v>2</v>
      </c>
      <c r="E17" s="1067"/>
      <c r="F17" s="1067"/>
      <c r="G17" s="1067"/>
    </row>
    <row r="18" spans="1:7" x14ac:dyDescent="0.25">
      <c r="A18" s="1067" t="s">
        <v>43</v>
      </c>
      <c r="B18" s="1067" t="s">
        <v>313</v>
      </c>
      <c r="C18" s="1067">
        <v>6</v>
      </c>
      <c r="D18" s="1067"/>
      <c r="E18" s="1067">
        <v>3</v>
      </c>
      <c r="F18" s="1067">
        <v>6</v>
      </c>
      <c r="G18" s="1067">
        <v>2</v>
      </c>
    </row>
    <row r="19" spans="1:7" x14ac:dyDescent="0.25">
      <c r="A19" s="1067" t="s">
        <v>121</v>
      </c>
      <c r="B19" s="1067" t="s">
        <v>1076</v>
      </c>
      <c r="C19" s="1067">
        <v>16</v>
      </c>
      <c r="D19" s="1067">
        <v>19</v>
      </c>
      <c r="E19" s="1067">
        <v>20</v>
      </c>
      <c r="F19" s="1067">
        <v>23</v>
      </c>
      <c r="G19" s="1067">
        <v>12</v>
      </c>
    </row>
    <row r="20" spans="1:7" x14ac:dyDescent="0.25">
      <c r="A20" s="1067" t="s">
        <v>44</v>
      </c>
      <c r="B20" s="1067" t="s">
        <v>289</v>
      </c>
      <c r="C20" s="1067">
        <v>2</v>
      </c>
      <c r="D20" s="1067">
        <v>1</v>
      </c>
      <c r="E20" s="1067"/>
      <c r="F20" s="1067"/>
      <c r="G20" s="1067"/>
    </row>
    <row r="21" spans="1:7" x14ac:dyDescent="0.25">
      <c r="A21" s="1067" t="s">
        <v>45</v>
      </c>
      <c r="B21" s="1067" t="s">
        <v>290</v>
      </c>
      <c r="C21" s="1067">
        <v>4</v>
      </c>
      <c r="D21" s="1067">
        <v>4</v>
      </c>
      <c r="E21" s="1067">
        <v>3</v>
      </c>
      <c r="F21" s="1067">
        <v>2</v>
      </c>
      <c r="G21" s="1067">
        <v>1</v>
      </c>
    </row>
    <row r="22" spans="1:7" x14ac:dyDescent="0.25">
      <c r="A22" s="1067" t="s">
        <v>46</v>
      </c>
      <c r="B22" s="1067" t="s">
        <v>291</v>
      </c>
      <c r="C22" s="1067"/>
      <c r="D22" s="1067">
        <v>3</v>
      </c>
      <c r="E22" s="1067">
        <v>2</v>
      </c>
      <c r="F22" s="1067">
        <v>1</v>
      </c>
      <c r="G22" s="1067">
        <v>3</v>
      </c>
    </row>
    <row r="23" spans="1:7" x14ac:dyDescent="0.25">
      <c r="A23" s="1067" t="s">
        <v>47</v>
      </c>
      <c r="B23" s="1067" t="s">
        <v>292</v>
      </c>
      <c r="C23" s="1067"/>
      <c r="D23" s="1067"/>
      <c r="E23" s="1067"/>
      <c r="F23" s="1067">
        <v>1</v>
      </c>
      <c r="G23" s="1067">
        <v>3</v>
      </c>
    </row>
    <row r="24" spans="1:7" x14ac:dyDescent="0.25">
      <c r="A24" s="1067" t="s">
        <v>48</v>
      </c>
      <c r="B24" s="1067" t="s">
        <v>287</v>
      </c>
      <c r="C24" s="1067"/>
      <c r="D24" s="1067"/>
      <c r="E24" s="1067"/>
      <c r="F24" s="1067"/>
      <c r="G24" s="1067"/>
    </row>
    <row r="25" spans="1:7" x14ac:dyDescent="0.25">
      <c r="A25" s="1067" t="s">
        <v>49</v>
      </c>
      <c r="B25" s="1067" t="s">
        <v>293</v>
      </c>
      <c r="C25" s="1067">
        <v>4</v>
      </c>
      <c r="D25" s="1067">
        <v>5</v>
      </c>
      <c r="E25" s="1067">
        <v>2</v>
      </c>
      <c r="F25" s="1067">
        <v>2</v>
      </c>
      <c r="G25" s="1067">
        <v>3</v>
      </c>
    </row>
    <row r="26" spans="1:7" x14ac:dyDescent="0.25">
      <c r="A26" s="1067" t="s">
        <v>50</v>
      </c>
      <c r="B26" s="1067" t="s">
        <v>1078</v>
      </c>
      <c r="C26" s="1067">
        <v>7</v>
      </c>
      <c r="D26" s="1067">
        <v>3</v>
      </c>
      <c r="E26" s="1067">
        <v>6</v>
      </c>
      <c r="F26" s="1067">
        <v>3</v>
      </c>
      <c r="G26" s="1067">
        <v>8</v>
      </c>
    </row>
    <row r="27" spans="1:7" x14ac:dyDescent="0.25">
      <c r="A27" s="1067" t="s">
        <v>51</v>
      </c>
      <c r="B27" s="1067" t="s">
        <v>294</v>
      </c>
      <c r="C27" s="1067"/>
      <c r="D27" s="1067"/>
      <c r="E27" s="1067"/>
      <c r="F27" s="1067"/>
      <c r="G27" s="1067"/>
    </row>
    <row r="28" spans="1:7" x14ac:dyDescent="0.25">
      <c r="A28" s="1067" t="s">
        <v>52</v>
      </c>
      <c r="B28" s="1067" t="s">
        <v>295</v>
      </c>
      <c r="C28" s="1067"/>
      <c r="D28" s="1067"/>
      <c r="E28" s="1067"/>
      <c r="F28" s="1067"/>
      <c r="G28" s="1067"/>
    </row>
    <row r="29" spans="1:7" x14ac:dyDescent="0.25">
      <c r="A29" s="1067" t="s">
        <v>53</v>
      </c>
      <c r="B29" s="1067" t="s">
        <v>305</v>
      </c>
      <c r="C29" s="1067">
        <v>3</v>
      </c>
      <c r="D29" s="1067">
        <v>2</v>
      </c>
      <c r="E29" s="1067">
        <v>1</v>
      </c>
      <c r="F29" s="1067">
        <v>1</v>
      </c>
      <c r="G29" s="1067">
        <v>2</v>
      </c>
    </row>
    <row r="30" spans="1:7" x14ac:dyDescent="0.25">
      <c r="A30" s="1067" t="s">
        <v>54</v>
      </c>
      <c r="B30" s="1067" t="s">
        <v>296</v>
      </c>
      <c r="C30" s="1067"/>
      <c r="D30" s="1067">
        <v>2</v>
      </c>
      <c r="E30" s="1067">
        <v>3</v>
      </c>
      <c r="F30" s="1067">
        <v>3</v>
      </c>
      <c r="G30" s="1067">
        <v>1</v>
      </c>
    </row>
    <row r="31" spans="1:7" x14ac:dyDescent="0.25">
      <c r="A31" s="1067" t="s">
        <v>55</v>
      </c>
      <c r="B31" s="1067" t="s">
        <v>297</v>
      </c>
      <c r="C31" s="1067"/>
      <c r="D31" s="1067"/>
      <c r="E31" s="1067"/>
      <c r="F31" s="1067"/>
      <c r="G31" s="1067"/>
    </row>
    <row r="32" spans="1:7" x14ac:dyDescent="0.25">
      <c r="A32" s="1067" t="s">
        <v>56</v>
      </c>
      <c r="B32" s="1067" t="s">
        <v>298</v>
      </c>
      <c r="C32" s="1067">
        <v>3</v>
      </c>
      <c r="D32" s="1067"/>
      <c r="E32" s="1067">
        <v>1</v>
      </c>
      <c r="F32" s="1067"/>
      <c r="G32" s="1067"/>
    </row>
    <row r="33" spans="1:7" x14ac:dyDescent="0.25">
      <c r="A33" s="1067" t="s">
        <v>57</v>
      </c>
      <c r="B33" s="1067" t="s">
        <v>299</v>
      </c>
      <c r="C33" s="1067">
        <v>5</v>
      </c>
      <c r="D33" s="1067">
        <v>2</v>
      </c>
      <c r="E33" s="1067"/>
      <c r="F33" s="1067">
        <v>1</v>
      </c>
      <c r="G33" s="1067">
        <v>1</v>
      </c>
    </row>
    <row r="34" spans="1:7" x14ac:dyDescent="0.25">
      <c r="A34" s="1067" t="s">
        <v>58</v>
      </c>
      <c r="B34" s="1067" t="s">
        <v>300</v>
      </c>
      <c r="C34" s="1067">
        <v>2</v>
      </c>
      <c r="D34" s="1067">
        <v>3</v>
      </c>
      <c r="E34" s="1067"/>
      <c r="F34" s="1067">
        <v>1</v>
      </c>
      <c r="G34" s="1067"/>
    </row>
    <row r="35" spans="1:7" x14ac:dyDescent="0.25">
      <c r="A35" s="1067" t="s">
        <v>59</v>
      </c>
      <c r="B35" s="1067" t="s">
        <v>306</v>
      </c>
      <c r="C35" s="1067">
        <v>2</v>
      </c>
      <c r="D35" s="1067">
        <v>1</v>
      </c>
      <c r="E35" s="1067"/>
      <c r="F35" s="1067">
        <v>2</v>
      </c>
      <c r="G35" s="1067"/>
    </row>
    <row r="36" spans="1:7" x14ac:dyDescent="0.25">
      <c r="A36" s="1067" t="s">
        <v>60</v>
      </c>
      <c r="B36" s="1067" t="s">
        <v>307</v>
      </c>
      <c r="C36" s="1067">
        <v>4</v>
      </c>
      <c r="D36" s="1067">
        <v>3</v>
      </c>
      <c r="E36" s="1067">
        <v>4</v>
      </c>
      <c r="F36" s="1067">
        <v>5</v>
      </c>
      <c r="G36" s="1067">
        <v>2</v>
      </c>
    </row>
  </sheetData>
  <sheetProtection algorithmName="SHA-512" hashValue="eGWkXMJMV1PH4pcmxPzcaoFov2cCk5cGnqxpQV5NOqU51JsKoJsXhCA2r7X4eLtY6jy9jBRrtlp7n5Bh/pLmyA==" saltValue="GWFc/f+VSlTVz1E08Yh0EA==" spinCount="100000" sheet="1" scenarios="1" formatCells="0" formatColumns="0" formatRows="0" sort="0" autoFilter="0" pivotTables="0"/>
  <pageMargins left="0.7" right="0.7" top="0.75" bottom="0.75" header="0.3" footer="0.3"/>
  <pageSetup paperSize="9" fitToHeight="5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J14"/>
  <sheetViews>
    <sheetView zoomScale="85" zoomScaleNormal="85" workbookViewId="0">
      <pane ySplit="4" topLeftCell="A5" activePane="bottomLeft" state="frozen"/>
      <selection pane="bottomLeft"/>
    </sheetView>
  </sheetViews>
  <sheetFormatPr defaultRowHeight="15" x14ac:dyDescent="0.25"/>
  <sheetData>
    <row r="4" spans="1:10" x14ac:dyDescent="0.25">
      <c r="A4" s="1066" t="s">
        <v>329</v>
      </c>
      <c r="B4" s="1066" t="s">
        <v>1251</v>
      </c>
      <c r="C4" s="1066" t="s">
        <v>1252</v>
      </c>
      <c r="D4" s="1066" t="s">
        <v>1253</v>
      </c>
      <c r="E4" s="1066" t="s">
        <v>1254</v>
      </c>
      <c r="F4" s="1066" t="s">
        <v>1255</v>
      </c>
      <c r="G4" s="1066" t="s">
        <v>1256</v>
      </c>
      <c r="H4" s="1066" t="s">
        <v>489</v>
      </c>
      <c r="I4" s="1066" t="s">
        <v>1257</v>
      </c>
      <c r="J4" s="1066" t="s">
        <v>1258</v>
      </c>
    </row>
    <row r="5" spans="1:10" x14ac:dyDescent="0.25">
      <c r="A5" s="1067" t="s">
        <v>1250</v>
      </c>
      <c r="B5" s="1067">
        <v>33998</v>
      </c>
      <c r="C5" s="1067">
        <v>18732</v>
      </c>
      <c r="D5" s="1067">
        <v>52730</v>
      </c>
      <c r="E5" s="1067"/>
      <c r="F5" s="1067"/>
      <c r="G5" s="1067"/>
      <c r="H5" s="1067">
        <v>2364850</v>
      </c>
      <c r="I5" s="1067">
        <v>2.23</v>
      </c>
      <c r="J5" s="1067"/>
    </row>
    <row r="6" spans="1:10" x14ac:dyDescent="0.25">
      <c r="A6" s="1067" t="s">
        <v>325</v>
      </c>
      <c r="B6" s="1067">
        <v>28846</v>
      </c>
      <c r="C6" s="1067">
        <v>27699</v>
      </c>
      <c r="D6" s="1067">
        <v>56545</v>
      </c>
      <c r="E6" s="1067">
        <v>46395</v>
      </c>
      <c r="F6" s="1067"/>
      <c r="G6" s="1067"/>
      <c r="H6" s="1067">
        <v>2376424</v>
      </c>
      <c r="I6" s="1067">
        <v>2.379</v>
      </c>
      <c r="J6" s="1067">
        <v>1.952</v>
      </c>
    </row>
    <row r="7" spans="1:10" x14ac:dyDescent="0.25">
      <c r="A7" s="1067" t="s">
        <v>205</v>
      </c>
      <c r="B7" s="1067">
        <v>26013</v>
      </c>
      <c r="C7" s="1067">
        <v>30238</v>
      </c>
      <c r="D7" s="1067">
        <v>56251</v>
      </c>
      <c r="E7" s="1067">
        <v>44122</v>
      </c>
      <c r="F7" s="1067"/>
      <c r="G7" s="1067"/>
      <c r="H7" s="1067">
        <v>2386660</v>
      </c>
      <c r="I7" s="1067">
        <v>2.3570000000000002</v>
      </c>
      <c r="J7" s="1067">
        <v>1.849</v>
      </c>
    </row>
    <row r="8" spans="1:10" x14ac:dyDescent="0.25">
      <c r="A8" s="1067" t="s">
        <v>204</v>
      </c>
      <c r="B8" s="1067">
        <v>29576</v>
      </c>
      <c r="C8" s="1067">
        <v>41472</v>
      </c>
      <c r="D8" s="1067">
        <v>71048</v>
      </c>
      <c r="E8" s="1067">
        <v>46164</v>
      </c>
      <c r="F8" s="1071">
        <v>30359</v>
      </c>
      <c r="G8" s="1071">
        <v>15805</v>
      </c>
      <c r="H8" s="1067">
        <v>2400342</v>
      </c>
      <c r="I8" s="1067">
        <v>2.96</v>
      </c>
      <c r="J8" s="1067">
        <v>1.923</v>
      </c>
    </row>
    <row r="9" spans="1:10" x14ac:dyDescent="0.25">
      <c r="A9" s="1067" t="s">
        <v>203</v>
      </c>
      <c r="B9" s="1067">
        <v>26986</v>
      </c>
      <c r="C9" s="1067">
        <v>38729</v>
      </c>
      <c r="D9" s="1067">
        <v>65715</v>
      </c>
      <c r="E9" s="1067">
        <v>41832</v>
      </c>
      <c r="F9" s="1071">
        <v>28032</v>
      </c>
      <c r="G9" s="1071">
        <v>13800</v>
      </c>
      <c r="H9" s="1067">
        <v>2416014</v>
      </c>
      <c r="I9" s="1067">
        <v>2.72</v>
      </c>
      <c r="J9" s="1067">
        <v>1.7310000000000001</v>
      </c>
    </row>
    <row r="10" spans="1:10" x14ac:dyDescent="0.25">
      <c r="A10" s="1067" t="s">
        <v>202</v>
      </c>
      <c r="B10" s="1067">
        <v>28338</v>
      </c>
      <c r="C10" s="1067">
        <v>43379</v>
      </c>
      <c r="D10" s="1067">
        <v>71717</v>
      </c>
      <c r="E10" s="1067">
        <v>43710</v>
      </c>
      <c r="F10" s="1071">
        <v>28897</v>
      </c>
      <c r="G10" s="1071">
        <v>14813</v>
      </c>
      <c r="H10" s="1067">
        <v>2429943</v>
      </c>
      <c r="I10" s="1067">
        <v>2.9510000000000001</v>
      </c>
      <c r="J10" s="1067">
        <v>1.7989999999999999</v>
      </c>
    </row>
    <row r="11" spans="1:10" x14ac:dyDescent="0.25">
      <c r="A11" s="1067" t="s">
        <v>273</v>
      </c>
      <c r="B11" s="1067">
        <v>29016</v>
      </c>
      <c r="C11" s="1067">
        <v>41785</v>
      </c>
      <c r="D11" s="1067">
        <v>70801</v>
      </c>
      <c r="E11" s="1067">
        <v>44321</v>
      </c>
      <c r="F11" s="1071">
        <v>27955</v>
      </c>
      <c r="G11" s="1071">
        <v>16366</v>
      </c>
      <c r="H11" s="1067">
        <v>2446171</v>
      </c>
      <c r="I11" s="1067">
        <v>2.8940000000000001</v>
      </c>
      <c r="J11" s="1067">
        <v>1.8120000000000001</v>
      </c>
    </row>
    <row r="12" spans="1:10" x14ac:dyDescent="0.25">
      <c r="A12" s="1067" t="s">
        <v>255</v>
      </c>
      <c r="B12" s="1067">
        <v>27754</v>
      </c>
      <c r="C12" s="1067">
        <v>42077</v>
      </c>
      <c r="D12" s="1067">
        <v>69831</v>
      </c>
      <c r="E12" s="1067">
        <v>42385</v>
      </c>
      <c r="F12" s="1071">
        <v>28114</v>
      </c>
      <c r="G12" s="1071">
        <v>14271</v>
      </c>
      <c r="H12" s="1067">
        <v>2462736</v>
      </c>
      <c r="I12" s="1067">
        <v>2.8359999999999999</v>
      </c>
      <c r="J12" s="1067">
        <v>1.7210000000000001</v>
      </c>
    </row>
    <row r="13" spans="1:10" x14ac:dyDescent="0.25">
      <c r="A13" s="1067" t="s">
        <v>254</v>
      </c>
      <c r="B13" s="1067">
        <v>24462</v>
      </c>
      <c r="C13" s="1067">
        <v>44740</v>
      </c>
      <c r="D13" s="1067">
        <v>69202</v>
      </c>
      <c r="E13" s="1067">
        <v>37549</v>
      </c>
      <c r="F13" s="1071">
        <v>25645</v>
      </c>
      <c r="G13" s="1071">
        <v>11904</v>
      </c>
      <c r="H13" s="1067">
        <v>2477275</v>
      </c>
      <c r="I13" s="1067">
        <v>2.7930000000000001</v>
      </c>
      <c r="J13" s="1067">
        <v>1.516</v>
      </c>
    </row>
    <row r="14" spans="1:10" x14ac:dyDescent="0.25">
      <c r="A14" s="1067" t="s">
        <v>851</v>
      </c>
      <c r="B14" s="1067">
        <v>22287</v>
      </c>
      <c r="C14" s="1067">
        <v>46940</v>
      </c>
      <c r="D14" s="1067">
        <v>69227</v>
      </c>
      <c r="E14" s="1067">
        <v>34605</v>
      </c>
      <c r="F14" s="1071">
        <v>24013</v>
      </c>
      <c r="G14" s="1071">
        <v>10592</v>
      </c>
      <c r="H14" s="1067">
        <v>2495623</v>
      </c>
      <c r="I14" s="1067">
        <v>2.774</v>
      </c>
      <c r="J14" s="1067">
        <v>1.387</v>
      </c>
    </row>
  </sheetData>
  <sheetProtection algorithmName="SHA-512" hashValue="lIjFEouoD7m9oMahYWysWYbE21biaAlIqYK66Y7PFfyjvfoTBJ2vmAb/JPwaBXRVI2mUD8NzEDuYly+s5MRLbg==" saltValue="UnXFpmHiTCwCqRmAct2fSg==" spinCount="100000" sheet="1" scenarios="1" formatCells="0" formatColumns="0" formatRows="0" sort="0" autoFilter="0" pivotTables="0"/>
  <pageMargins left="0.7" right="0.7" top="0.75" bottom="0.75" header="0.3" footer="0.3"/>
  <pageSetup paperSize="9" fitToHeight="5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W11"/>
  <sheetViews>
    <sheetView zoomScale="85" zoomScaleNormal="85" workbookViewId="0">
      <pane ySplit="4" topLeftCell="A5" activePane="bottomLeft" state="frozen"/>
      <selection pane="bottomLeft"/>
    </sheetView>
  </sheetViews>
  <sheetFormatPr defaultRowHeight="15" x14ac:dyDescent="0.25"/>
  <sheetData>
    <row r="4" spans="1:23" x14ac:dyDescent="0.25">
      <c r="A4" s="1066" t="s">
        <v>329</v>
      </c>
      <c r="B4" s="1066" t="s">
        <v>1259</v>
      </c>
      <c r="C4" s="1070">
        <v>43961</v>
      </c>
      <c r="D4" s="1070">
        <v>44151</v>
      </c>
      <c r="E4" s="1066" t="s">
        <v>1260</v>
      </c>
      <c r="F4" s="1066" t="s">
        <v>1261</v>
      </c>
      <c r="G4" s="1066" t="s">
        <v>1262</v>
      </c>
      <c r="H4" s="1066" t="s">
        <v>1263</v>
      </c>
      <c r="I4" s="1066" t="s">
        <v>1264</v>
      </c>
      <c r="J4" s="1066" t="s">
        <v>1265</v>
      </c>
      <c r="K4" s="1066" t="s">
        <v>1266</v>
      </c>
      <c r="L4" s="1066" t="s">
        <v>1267</v>
      </c>
      <c r="M4" s="1066" t="s">
        <v>1268</v>
      </c>
      <c r="N4" s="1066" t="s">
        <v>1269</v>
      </c>
      <c r="O4" s="1066" t="s">
        <v>1270</v>
      </c>
      <c r="P4" s="1066" t="s">
        <v>1</v>
      </c>
      <c r="Q4" s="1066" t="s">
        <v>1271</v>
      </c>
      <c r="R4" s="1066" t="s">
        <v>1272</v>
      </c>
      <c r="S4" s="1066" t="s">
        <v>1273</v>
      </c>
      <c r="T4" s="1066" t="s">
        <v>1274</v>
      </c>
      <c r="U4" s="1066" t="s">
        <v>1275</v>
      </c>
      <c r="V4" s="1066" t="s">
        <v>1276</v>
      </c>
      <c r="W4" s="1066" t="s">
        <v>1277</v>
      </c>
    </row>
    <row r="5" spans="1:23" x14ac:dyDescent="0.25">
      <c r="A5" s="1067" t="s">
        <v>204</v>
      </c>
      <c r="B5" s="1067">
        <v>9522</v>
      </c>
      <c r="C5" s="1067">
        <v>8378</v>
      </c>
      <c r="D5" s="1067">
        <v>6148</v>
      </c>
      <c r="E5" s="1067">
        <v>21422</v>
      </c>
      <c r="F5" s="1067">
        <v>45974</v>
      </c>
      <c r="G5" s="1067">
        <v>43449</v>
      </c>
      <c r="H5" s="1067">
        <v>134893</v>
      </c>
      <c r="I5" s="1067">
        <v>3.2383018810174025</v>
      </c>
      <c r="J5" s="1067">
        <v>2.4963871217651703</v>
      </c>
      <c r="K5" s="1067">
        <v>1.7888109120957136</v>
      </c>
      <c r="L5" s="1067">
        <v>2.1791939972981331</v>
      </c>
      <c r="M5" s="1067">
        <v>2.1170750711117843</v>
      </c>
      <c r="N5" s="1067">
        <v>3.6214893874165974</v>
      </c>
      <c r="O5" s="1067">
        <v>2.5319180884809578</v>
      </c>
      <c r="P5" s="1067">
        <v>2013</v>
      </c>
      <c r="Q5" s="1067">
        <v>294043</v>
      </c>
      <c r="R5" s="1067">
        <v>335605</v>
      </c>
      <c r="S5" s="1067">
        <v>343692</v>
      </c>
      <c r="T5" s="1067">
        <v>983024</v>
      </c>
      <c r="U5" s="1067">
        <v>2171581</v>
      </c>
      <c r="V5" s="1067">
        <v>1199755</v>
      </c>
      <c r="W5" s="1067">
        <v>5327700</v>
      </c>
    </row>
    <row r="6" spans="1:23" x14ac:dyDescent="0.25">
      <c r="A6" s="1067" t="s">
        <v>203</v>
      </c>
      <c r="B6" s="1067">
        <v>9301</v>
      </c>
      <c r="C6" s="1067">
        <v>8100</v>
      </c>
      <c r="D6" s="1067">
        <v>5611</v>
      </c>
      <c r="E6" s="1067">
        <v>17596</v>
      </c>
      <c r="F6" s="1067">
        <v>41757</v>
      </c>
      <c r="G6" s="1067">
        <v>43048</v>
      </c>
      <c r="H6" s="1067">
        <v>125413</v>
      </c>
      <c r="I6" s="1067">
        <v>3.1868346484751093</v>
      </c>
      <c r="J6" s="1067">
        <v>2.358737813187965</v>
      </c>
      <c r="K6" s="1067">
        <v>1.6718611261747125</v>
      </c>
      <c r="L6" s="1067">
        <v>1.788600366339834</v>
      </c>
      <c r="M6" s="1067">
        <v>1.9208273399000049</v>
      </c>
      <c r="N6" s="1067">
        <v>3.5313264951207186</v>
      </c>
      <c r="O6" s="1067">
        <v>2.3452202857356568</v>
      </c>
      <c r="P6" s="1067">
        <v>2014</v>
      </c>
      <c r="Q6" s="1067">
        <v>291857</v>
      </c>
      <c r="R6" s="1067">
        <v>343404</v>
      </c>
      <c r="S6" s="1067">
        <v>335614</v>
      </c>
      <c r="T6" s="1067">
        <v>983786</v>
      </c>
      <c r="U6" s="1067">
        <v>2173907</v>
      </c>
      <c r="V6" s="1067">
        <v>1219032</v>
      </c>
      <c r="W6" s="1067">
        <v>5347600</v>
      </c>
    </row>
    <row r="7" spans="1:23" x14ac:dyDescent="0.25">
      <c r="A7" s="1067" t="s">
        <v>202</v>
      </c>
      <c r="B7" s="1067">
        <v>9270</v>
      </c>
      <c r="C7" s="1067">
        <v>8385</v>
      </c>
      <c r="D7" s="1067">
        <v>5779</v>
      </c>
      <c r="E7" s="1067">
        <v>17567</v>
      </c>
      <c r="F7" s="1067">
        <v>43991</v>
      </c>
      <c r="G7" s="1067">
        <v>49733</v>
      </c>
      <c r="H7" s="1067">
        <v>134725</v>
      </c>
      <c r="I7" s="1067">
        <v>3.1836633765377402</v>
      </c>
      <c r="J7" s="1067">
        <v>2.4072968224256135</v>
      </c>
      <c r="K7" s="1067">
        <v>1.7431198195046029</v>
      </c>
      <c r="L7" s="1067">
        <v>1.7731512977404358</v>
      </c>
      <c r="M7" s="1067">
        <v>2.0207351468548169</v>
      </c>
      <c r="N7" s="1067">
        <v>4.0293256937670341</v>
      </c>
      <c r="O7" s="1067">
        <v>2.5074446305602085</v>
      </c>
      <c r="P7" s="1067">
        <v>2015</v>
      </c>
      <c r="Q7" s="1067">
        <v>291174</v>
      </c>
      <c r="R7" s="1067">
        <v>348316</v>
      </c>
      <c r="S7" s="1067">
        <v>331532</v>
      </c>
      <c r="T7" s="1067">
        <v>990722</v>
      </c>
      <c r="U7" s="1067">
        <v>2176980</v>
      </c>
      <c r="V7" s="1067">
        <v>1234276</v>
      </c>
      <c r="W7" s="1067">
        <v>5373000</v>
      </c>
    </row>
    <row r="8" spans="1:23" x14ac:dyDescent="0.25">
      <c r="A8" s="1067" t="s">
        <v>273</v>
      </c>
      <c r="B8" s="1067">
        <v>7684</v>
      </c>
      <c r="C8" s="1067">
        <v>7945</v>
      </c>
      <c r="D8" s="1067">
        <v>5617</v>
      </c>
      <c r="E8" s="1067">
        <v>13019</v>
      </c>
      <c r="F8" s="1067">
        <v>42665</v>
      </c>
      <c r="G8" s="1067">
        <v>52260</v>
      </c>
      <c r="H8" s="1067">
        <v>129190</v>
      </c>
      <c r="I8" s="1067">
        <v>2.6751335129753024</v>
      </c>
      <c r="J8" s="1067">
        <v>2.2349055966874452</v>
      </c>
      <c r="K8" s="1067">
        <v>1.7018839798088752</v>
      </c>
      <c r="L8" s="1067">
        <v>1.3071088286822989</v>
      </c>
      <c r="M8" s="1067">
        <v>1.9537466004625981</v>
      </c>
      <c r="N8" s="1067">
        <v>4.1736147049240033</v>
      </c>
      <c r="O8" s="1067">
        <v>2.3903269376653653</v>
      </c>
      <c r="P8" s="1067">
        <v>2016</v>
      </c>
      <c r="Q8" s="1067">
        <v>287238</v>
      </c>
      <c r="R8" s="1067">
        <v>355496</v>
      </c>
      <c r="S8" s="1067">
        <v>330046</v>
      </c>
      <c r="T8" s="1067">
        <v>996015</v>
      </c>
      <c r="U8" s="1067">
        <v>2183753</v>
      </c>
      <c r="V8" s="1067">
        <v>1252152</v>
      </c>
      <c r="W8" s="1067">
        <v>5404700</v>
      </c>
    </row>
    <row r="9" spans="1:23" x14ac:dyDescent="0.25">
      <c r="A9" s="1067" t="s">
        <v>255</v>
      </c>
      <c r="B9" s="1067">
        <v>7694</v>
      </c>
      <c r="C9" s="1067">
        <v>7954</v>
      </c>
      <c r="D9" s="1067">
        <v>5364</v>
      </c>
      <c r="E9" s="1067">
        <v>13881</v>
      </c>
      <c r="F9" s="1067">
        <v>42205</v>
      </c>
      <c r="G9" s="1067">
        <v>50848</v>
      </c>
      <c r="H9" s="1067">
        <v>127946</v>
      </c>
      <c r="I9" s="1067">
        <v>2.7273436226099408</v>
      </c>
      <c r="J9" s="1067">
        <v>2.209395346770072</v>
      </c>
      <c r="K9" s="1067">
        <v>1.6209257770713341</v>
      </c>
      <c r="L9" s="1067">
        <v>1.3984682435577371</v>
      </c>
      <c r="M9" s="1067">
        <v>1.9291712357163395</v>
      </c>
      <c r="N9" s="1067">
        <v>3.9992103510084149</v>
      </c>
      <c r="O9" s="1067">
        <v>2.3585385636336822</v>
      </c>
      <c r="P9" s="1067">
        <v>2017</v>
      </c>
      <c r="Q9" s="1067">
        <v>282106</v>
      </c>
      <c r="R9" s="1067">
        <v>360008</v>
      </c>
      <c r="S9" s="1067">
        <v>330922</v>
      </c>
      <c r="T9" s="1067">
        <v>992586</v>
      </c>
      <c r="U9" s="1067">
        <v>2187727</v>
      </c>
      <c r="V9" s="1067">
        <v>1271451</v>
      </c>
      <c r="W9" s="1067">
        <v>5424800</v>
      </c>
    </row>
    <row r="10" spans="1:23" x14ac:dyDescent="0.25">
      <c r="A10" s="1067" t="s">
        <v>254</v>
      </c>
      <c r="B10" s="1067">
        <v>7266</v>
      </c>
      <c r="C10" s="1067">
        <v>7987</v>
      </c>
      <c r="D10" s="1067">
        <v>5517</v>
      </c>
      <c r="E10" s="1067">
        <v>13947</v>
      </c>
      <c r="F10" s="1067">
        <v>41141</v>
      </c>
      <c r="G10" s="1067">
        <v>48727</v>
      </c>
      <c r="H10" s="1067">
        <v>124585</v>
      </c>
      <c r="I10" s="1067">
        <v>2.6244121620157332</v>
      </c>
      <c r="J10" s="1067">
        <v>2.2083850613962568</v>
      </c>
      <c r="K10" s="1067">
        <v>1.6496084534584368</v>
      </c>
      <c r="L10" s="1067">
        <v>1.415210647920309</v>
      </c>
      <c r="M10" s="1067">
        <v>1.8794160521253469</v>
      </c>
      <c r="N10" s="1067">
        <v>3.7755600151868527</v>
      </c>
      <c r="O10" s="1067">
        <v>2.2909655946010554</v>
      </c>
      <c r="P10" s="1067">
        <v>2018</v>
      </c>
      <c r="Q10" s="1067">
        <v>276862</v>
      </c>
      <c r="R10" s="1067">
        <v>361667</v>
      </c>
      <c r="S10" s="1067">
        <v>334443</v>
      </c>
      <c r="T10" s="1067">
        <v>985507</v>
      </c>
      <c r="U10" s="1067">
        <v>2189031</v>
      </c>
      <c r="V10" s="1067">
        <v>1290590</v>
      </c>
      <c r="W10" s="1067">
        <v>5438100</v>
      </c>
    </row>
    <row r="11" spans="1:23" x14ac:dyDescent="0.25">
      <c r="A11" s="1067" t="s">
        <v>851</v>
      </c>
      <c r="B11" s="1067">
        <v>7040</v>
      </c>
      <c r="C11" s="1067">
        <v>7889</v>
      </c>
      <c r="D11" s="1067">
        <v>5512</v>
      </c>
      <c r="E11" s="1067">
        <v>13665</v>
      </c>
      <c r="F11" s="1067">
        <v>40167</v>
      </c>
      <c r="G11" s="1067">
        <v>48759</v>
      </c>
      <c r="H11" s="1067">
        <v>123032</v>
      </c>
      <c r="I11" s="1067">
        <v>2.5909500763667817</v>
      </c>
      <c r="J11" s="1067">
        <v>2.1887441563666123</v>
      </c>
      <c r="K11" s="1067">
        <v>1.6055974529491785</v>
      </c>
      <c r="L11" s="1067">
        <v>1.3978495723593021</v>
      </c>
      <c r="M11" s="1067">
        <v>1.8299783502449267</v>
      </c>
      <c r="N11" s="1067">
        <v>3.7069672037672556</v>
      </c>
      <c r="O11" s="1067">
        <v>2.251972251203485</v>
      </c>
      <c r="P11" s="1067">
        <v>2019</v>
      </c>
      <c r="Q11" s="1067">
        <v>271715</v>
      </c>
      <c r="R11" s="1067">
        <v>360435</v>
      </c>
      <c r="S11" s="1067">
        <v>343299</v>
      </c>
      <c r="T11" s="1067">
        <v>977573</v>
      </c>
      <c r="U11" s="1067">
        <v>2194944</v>
      </c>
      <c r="V11" s="1067">
        <v>1315334</v>
      </c>
      <c r="W11" s="1067">
        <v>5463300</v>
      </c>
    </row>
  </sheetData>
  <sheetProtection algorithmName="SHA-512" hashValue="dhBrvWoqaBZNrKyDWUj2hZsUW5dPgFw7iCE6lNgTNGW7bDp/Yk0t69RZvc1YkErxlvZzZeFvMqoUHBXCd4IVZQ==" saltValue="59ip2tsDpSr9joHxDZSvpA==" spinCount="100000" sheet="1" scenarios="1" formatCells="0" formatColumns="0" formatRows="0" sort="0" autoFilter="0" pivotTables="0"/>
  <pageMargins left="0.7" right="0.7" top="0.75" bottom="0.75" header="0.3" footer="0.3"/>
  <pageSetup paperSize="9" fitToHeight="50"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L18"/>
  <sheetViews>
    <sheetView zoomScale="85" zoomScaleNormal="85" workbookViewId="0">
      <pane ySplit="4" topLeftCell="A5" activePane="bottomLeft" state="frozen"/>
      <selection pane="bottomLeft"/>
    </sheetView>
  </sheetViews>
  <sheetFormatPr defaultRowHeight="15" x14ac:dyDescent="0.25"/>
  <sheetData>
    <row r="4" spans="1:12" x14ac:dyDescent="0.25">
      <c r="A4" s="1066" t="s">
        <v>329</v>
      </c>
      <c r="B4" s="1066" t="s">
        <v>1279</v>
      </c>
      <c r="C4" s="1066" t="s">
        <v>1280</v>
      </c>
      <c r="D4" s="1066" t="s">
        <v>1281</v>
      </c>
      <c r="E4" s="1066" t="s">
        <v>1282</v>
      </c>
      <c r="F4" s="1066" t="s">
        <v>1283</v>
      </c>
      <c r="G4" s="1066" t="s">
        <v>1284</v>
      </c>
      <c r="H4" s="1066" t="s">
        <v>1285</v>
      </c>
      <c r="I4" s="1066" t="s">
        <v>1286</v>
      </c>
      <c r="J4" s="1066" t="s">
        <v>1287</v>
      </c>
      <c r="K4" s="1066" t="s">
        <v>1288</v>
      </c>
      <c r="L4" s="1066" t="s">
        <v>1289</v>
      </c>
    </row>
    <row r="5" spans="1:12" x14ac:dyDescent="0.25">
      <c r="A5" s="1067" t="s">
        <v>204</v>
      </c>
      <c r="B5" s="1067" t="s">
        <v>196</v>
      </c>
      <c r="C5" s="1067">
        <v>66828</v>
      </c>
      <c r="D5" s="1067"/>
      <c r="E5" s="1067"/>
      <c r="F5" s="1067"/>
      <c r="G5" s="1067">
        <v>2400342</v>
      </c>
      <c r="H5" s="1067">
        <v>2387809</v>
      </c>
      <c r="I5" s="1067">
        <v>2376011</v>
      </c>
      <c r="J5" s="1067">
        <v>2.7800000000000002</v>
      </c>
      <c r="K5" s="1067"/>
      <c r="L5" s="1067"/>
    </row>
    <row r="6" spans="1:12" x14ac:dyDescent="0.25">
      <c r="A6" s="1067" t="s">
        <v>203</v>
      </c>
      <c r="B6" s="1067" t="s">
        <v>196</v>
      </c>
      <c r="C6" s="1067">
        <v>63640</v>
      </c>
      <c r="D6" s="1067"/>
      <c r="E6" s="1067"/>
      <c r="F6" s="1067"/>
      <c r="G6" s="1067">
        <v>2416014</v>
      </c>
      <c r="H6" s="1067">
        <v>2401005</v>
      </c>
      <c r="I6" s="1067">
        <v>2388858</v>
      </c>
      <c r="J6" s="1067">
        <v>2.63</v>
      </c>
      <c r="K6" s="1067"/>
      <c r="L6" s="1067"/>
    </row>
    <row r="7" spans="1:12" x14ac:dyDescent="0.25">
      <c r="A7" s="1067" t="s">
        <v>202</v>
      </c>
      <c r="B7" s="1067" t="s">
        <v>196</v>
      </c>
      <c r="C7" s="1067">
        <v>69038</v>
      </c>
      <c r="D7" s="1067">
        <v>176331</v>
      </c>
      <c r="E7" s="1067"/>
      <c r="F7" s="1067"/>
      <c r="G7" s="1067">
        <v>2429943</v>
      </c>
      <c r="H7" s="1067">
        <v>2415433</v>
      </c>
      <c r="I7" s="1067">
        <v>2401877</v>
      </c>
      <c r="J7" s="1067">
        <v>2.84</v>
      </c>
      <c r="K7" s="1067">
        <v>7.3</v>
      </c>
      <c r="L7" s="1067"/>
    </row>
    <row r="8" spans="1:12" x14ac:dyDescent="0.25">
      <c r="A8" s="1067" t="s">
        <v>273</v>
      </c>
      <c r="B8" s="1067" t="s">
        <v>196</v>
      </c>
      <c r="C8" s="1067">
        <v>68202</v>
      </c>
      <c r="D8" s="1067">
        <v>177208</v>
      </c>
      <c r="E8" s="1067"/>
      <c r="F8" s="1067">
        <v>45412</v>
      </c>
      <c r="G8" s="1067">
        <v>2446171</v>
      </c>
      <c r="H8" s="1067">
        <v>2430709</v>
      </c>
      <c r="I8" s="1067">
        <v>2415826</v>
      </c>
      <c r="J8" s="1067">
        <v>2.79</v>
      </c>
      <c r="K8" s="1067">
        <v>7.29</v>
      </c>
      <c r="L8" s="1067"/>
    </row>
    <row r="9" spans="1:12" x14ac:dyDescent="0.25">
      <c r="A9" s="1067" t="s">
        <v>255</v>
      </c>
      <c r="B9" s="1067" t="s">
        <v>196</v>
      </c>
      <c r="C9" s="1067">
        <v>67131</v>
      </c>
      <c r="D9" s="1067">
        <v>180398</v>
      </c>
      <c r="E9" s="1067">
        <v>264044</v>
      </c>
      <c r="F9" s="1067">
        <v>45808</v>
      </c>
      <c r="G9" s="1067">
        <v>2462736</v>
      </c>
      <c r="H9" s="1067">
        <v>2446283</v>
      </c>
      <c r="I9" s="1067">
        <v>2431041</v>
      </c>
      <c r="J9" s="1067">
        <v>2.73</v>
      </c>
      <c r="K9" s="1067">
        <v>7.37</v>
      </c>
      <c r="L9" s="1067">
        <v>10.79</v>
      </c>
    </row>
    <row r="10" spans="1:12" x14ac:dyDescent="0.25">
      <c r="A10" s="1067" t="s">
        <v>254</v>
      </c>
      <c r="B10" s="1067" t="s">
        <v>196</v>
      </c>
      <c r="C10" s="1067">
        <v>66180</v>
      </c>
      <c r="D10" s="1067">
        <v>176578</v>
      </c>
      <c r="E10" s="1067">
        <v>267536</v>
      </c>
      <c r="F10" s="1067">
        <v>47304</v>
      </c>
      <c r="G10" s="1067">
        <v>2477275</v>
      </c>
      <c r="H10" s="1067">
        <v>2462061</v>
      </c>
      <c r="I10" s="1067">
        <v>2446428</v>
      </c>
      <c r="J10" s="1067">
        <v>2.67</v>
      </c>
      <c r="K10" s="1067">
        <v>7.17</v>
      </c>
      <c r="L10" s="1067">
        <v>10.87</v>
      </c>
    </row>
    <row r="11" spans="1:12" x14ac:dyDescent="0.25">
      <c r="A11" s="1067" t="s">
        <v>851</v>
      </c>
      <c r="B11" s="1067" t="s">
        <v>196</v>
      </c>
      <c r="C11" s="1067">
        <v>66048</v>
      </c>
      <c r="D11" s="1067">
        <v>174608</v>
      </c>
      <c r="E11" s="1067">
        <v>272382</v>
      </c>
      <c r="F11" s="1067">
        <v>47476</v>
      </c>
      <c r="G11" s="1067">
        <v>2495623</v>
      </c>
      <c r="H11" s="1067">
        <v>2478545</v>
      </c>
      <c r="I11" s="1067">
        <v>2462350</v>
      </c>
      <c r="J11" s="1067">
        <v>2.65</v>
      </c>
      <c r="K11" s="1067">
        <v>7.04</v>
      </c>
      <c r="L11" s="1067">
        <v>10.99</v>
      </c>
    </row>
    <row r="12" spans="1:12" x14ac:dyDescent="0.25">
      <c r="A12" s="1067" t="s">
        <v>204</v>
      </c>
      <c r="B12" s="1067" t="s">
        <v>1278</v>
      </c>
      <c r="C12" s="1067">
        <v>29094</v>
      </c>
      <c r="D12" s="1067"/>
      <c r="E12" s="1067"/>
      <c r="F12" s="1067"/>
      <c r="G12" s="1067">
        <v>2400342</v>
      </c>
      <c r="H12" s="1067">
        <v>2387809</v>
      </c>
      <c r="I12" s="1067">
        <v>2376011</v>
      </c>
      <c r="J12" s="1067">
        <v>1.21</v>
      </c>
      <c r="K12" s="1067"/>
      <c r="L12" s="1067"/>
    </row>
    <row r="13" spans="1:12" x14ac:dyDescent="0.25">
      <c r="A13" s="1067" t="s">
        <v>203</v>
      </c>
      <c r="B13" s="1067" t="s">
        <v>1278</v>
      </c>
      <c r="C13" s="1067">
        <v>26541</v>
      </c>
      <c r="D13" s="1067"/>
      <c r="E13" s="1067"/>
      <c r="F13" s="1067"/>
      <c r="G13" s="1067">
        <v>2416014</v>
      </c>
      <c r="H13" s="1067">
        <v>2401005</v>
      </c>
      <c r="I13" s="1067">
        <v>2388858</v>
      </c>
      <c r="J13" s="1067">
        <v>1.1000000000000001</v>
      </c>
      <c r="K13" s="1067"/>
      <c r="L13" s="1067"/>
    </row>
    <row r="14" spans="1:12" x14ac:dyDescent="0.25">
      <c r="A14" s="1067" t="s">
        <v>202</v>
      </c>
      <c r="B14" s="1067" t="s">
        <v>1278</v>
      </c>
      <c r="C14" s="1067">
        <v>27846</v>
      </c>
      <c r="D14" s="1067">
        <v>79298</v>
      </c>
      <c r="E14" s="1067"/>
      <c r="F14" s="1067"/>
      <c r="G14" s="1067">
        <v>2429943</v>
      </c>
      <c r="H14" s="1067">
        <v>2415433</v>
      </c>
      <c r="I14" s="1067">
        <v>2401877</v>
      </c>
      <c r="J14" s="1067">
        <v>1.1499999999999999</v>
      </c>
      <c r="K14" s="1067">
        <v>3.2800000000000002</v>
      </c>
      <c r="L14" s="1067"/>
    </row>
    <row r="15" spans="1:12" x14ac:dyDescent="0.25">
      <c r="A15" s="1067" t="s">
        <v>273</v>
      </c>
      <c r="B15" s="1067" t="s">
        <v>1278</v>
      </c>
      <c r="C15" s="1067">
        <v>28400</v>
      </c>
      <c r="D15" s="1067">
        <v>78665</v>
      </c>
      <c r="E15" s="1067"/>
      <c r="F15" s="1067"/>
      <c r="G15" s="1067">
        <v>2446171</v>
      </c>
      <c r="H15" s="1067">
        <v>2430709</v>
      </c>
      <c r="I15" s="1067">
        <v>2415826</v>
      </c>
      <c r="J15" s="1067">
        <v>1.1599999999999999</v>
      </c>
      <c r="K15" s="1067">
        <v>3.24</v>
      </c>
      <c r="L15" s="1067"/>
    </row>
    <row r="16" spans="1:12" x14ac:dyDescent="0.25">
      <c r="A16" s="1067" t="s">
        <v>255</v>
      </c>
      <c r="B16" s="1067" t="s">
        <v>1278</v>
      </c>
      <c r="C16" s="1067">
        <v>27184</v>
      </c>
      <c r="D16" s="1067">
        <v>79049</v>
      </c>
      <c r="E16" s="1067">
        <v>121558</v>
      </c>
      <c r="F16" s="1067"/>
      <c r="G16" s="1067">
        <v>2462736</v>
      </c>
      <c r="H16" s="1067">
        <v>2446283</v>
      </c>
      <c r="I16" s="1067">
        <v>2431041</v>
      </c>
      <c r="J16" s="1067">
        <v>1.1000000000000001</v>
      </c>
      <c r="K16" s="1067">
        <v>3.23</v>
      </c>
      <c r="L16" s="1067">
        <v>4.97</v>
      </c>
    </row>
    <row r="17" spans="1:12" x14ac:dyDescent="0.25">
      <c r="A17" s="1067" t="s">
        <v>254</v>
      </c>
      <c r="B17" s="1067" t="s">
        <v>1278</v>
      </c>
      <c r="C17" s="1067">
        <v>23995</v>
      </c>
      <c r="D17" s="1067">
        <v>75250</v>
      </c>
      <c r="E17" s="1067">
        <v>119658</v>
      </c>
      <c r="F17" s="1067"/>
      <c r="G17" s="1067">
        <v>2477275</v>
      </c>
      <c r="H17" s="1067">
        <v>2462061</v>
      </c>
      <c r="I17" s="1067">
        <v>2446428</v>
      </c>
      <c r="J17" s="1067">
        <v>0.97</v>
      </c>
      <c r="K17" s="1067">
        <v>3.06</v>
      </c>
      <c r="L17" s="1067">
        <v>4.8600000000000003</v>
      </c>
    </row>
    <row r="18" spans="1:12" x14ac:dyDescent="0.25">
      <c r="A18" s="1067" t="s">
        <v>851</v>
      </c>
      <c r="B18" s="1067" t="s">
        <v>1278</v>
      </c>
      <c r="C18" s="1067">
        <v>21864</v>
      </c>
      <c r="D18" s="1067">
        <v>69788</v>
      </c>
      <c r="E18" s="1067">
        <v>117386</v>
      </c>
      <c r="F18" s="1067"/>
      <c r="G18" s="1067">
        <v>2495623</v>
      </c>
      <c r="H18" s="1067">
        <v>2478545</v>
      </c>
      <c r="I18" s="1067">
        <v>2462350</v>
      </c>
      <c r="J18" s="1067">
        <v>0.88</v>
      </c>
      <c r="K18" s="1067">
        <v>2.82</v>
      </c>
      <c r="L18" s="1067">
        <v>4.74</v>
      </c>
    </row>
  </sheetData>
  <sheetProtection algorithmName="SHA-512" hashValue="LJyCTUpbzDLPMQoXTlOYLcK9e3sYRxn6vhG6R26X5DMom336azAbY5Aeos9GFa2E6x4DpoovVVyxIYr954RaNQ==" saltValue="Gp8IWBvF6Im0e6JiGs2QnA==" spinCount="100000" sheet="1" scenarios="1" formatCells="0" formatColumns="0" formatRows="0" sort="0" autoFilter="0" pivotTables="0"/>
  <pageMargins left="0.7" right="0.7" top="0.75" bottom="0.75" header="0.3" footer="0.3"/>
  <pageSetup paperSize="9" fitToHeight="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D9B3FF"/>
    <pageSetUpPr fitToPage="1"/>
  </sheetPr>
  <dimension ref="A1:S30"/>
  <sheetViews>
    <sheetView showGridLines="0" workbookViewId="0">
      <pane ySplit="2" topLeftCell="A3" activePane="bottomLeft" state="frozen"/>
      <selection pane="bottomLeft" sqref="A1:J1"/>
    </sheetView>
  </sheetViews>
  <sheetFormatPr defaultRowHeight="15" x14ac:dyDescent="0.25"/>
  <cols>
    <col min="1" max="1" width="17.85546875" customWidth="1"/>
    <col min="2" max="6" width="10.28515625" customWidth="1"/>
    <col min="7" max="7" width="14" customWidth="1"/>
    <col min="8" max="8" width="12.42578125" customWidth="1"/>
    <col min="9" max="9" width="10.42578125" customWidth="1"/>
    <col min="10" max="10" width="10.5703125" customWidth="1"/>
    <col min="11" max="11" width="11" customWidth="1"/>
    <col min="12" max="12" width="12.42578125" customWidth="1"/>
    <col min="13" max="13" width="11.5703125" customWidth="1"/>
    <col min="14" max="14" width="10.42578125" customWidth="1"/>
    <col min="15" max="15" width="10.85546875" customWidth="1"/>
    <col min="16" max="16" width="10.7109375" customWidth="1"/>
    <col min="18" max="18" width="10" customWidth="1"/>
  </cols>
  <sheetData>
    <row r="1" spans="1:19" ht="15.75" x14ac:dyDescent="0.25">
      <c r="A1" s="1077" t="s">
        <v>657</v>
      </c>
      <c r="B1" s="1077"/>
      <c r="C1" s="1077"/>
      <c r="D1" s="1077"/>
      <c r="E1" s="1077"/>
      <c r="F1" s="1077"/>
      <c r="G1" s="1077"/>
      <c r="H1" s="1077"/>
      <c r="I1" s="1077"/>
      <c r="J1" s="1077"/>
    </row>
    <row r="2" spans="1:19" ht="18" x14ac:dyDescent="0.25">
      <c r="A2" s="772" t="s">
        <v>578</v>
      </c>
      <c r="B2" s="1"/>
      <c r="C2" s="1"/>
      <c r="D2" s="1"/>
      <c r="E2" s="1"/>
      <c r="F2" s="1"/>
      <c r="G2" s="1"/>
      <c r="H2" s="1"/>
      <c r="I2" s="1"/>
      <c r="J2" s="1"/>
    </row>
    <row r="3" spans="1:19" ht="18" x14ac:dyDescent="0.25">
      <c r="A3" s="1"/>
      <c r="B3" s="1"/>
      <c r="C3" s="1"/>
      <c r="D3" s="1"/>
      <c r="E3" s="1"/>
      <c r="F3" s="1"/>
      <c r="G3" s="1"/>
      <c r="H3" s="1"/>
      <c r="I3" s="1"/>
      <c r="J3" s="1"/>
    </row>
    <row r="4" spans="1:19" ht="15.75" x14ac:dyDescent="0.25">
      <c r="A4" s="657" t="s">
        <v>658</v>
      </c>
      <c r="B4" s="657"/>
      <c r="C4" s="657"/>
      <c r="D4" s="657"/>
      <c r="E4" s="657"/>
      <c r="F4" s="657"/>
      <c r="G4" s="657"/>
      <c r="H4" s="657"/>
      <c r="I4" s="657"/>
      <c r="J4" s="657"/>
    </row>
    <row r="5" spans="1:19" x14ac:dyDescent="0.25">
      <c r="A5" t="s">
        <v>363</v>
      </c>
      <c r="B5" t="s">
        <v>718</v>
      </c>
    </row>
    <row r="6" spans="1:19" x14ac:dyDescent="0.25">
      <c r="A6" t="s">
        <v>364</v>
      </c>
      <c r="B6" t="s">
        <v>366</v>
      </c>
    </row>
    <row r="7" spans="1:19" x14ac:dyDescent="0.25">
      <c r="A7" t="s">
        <v>365</v>
      </c>
      <c r="B7" t="s">
        <v>367</v>
      </c>
    </row>
    <row r="9" spans="1:19" ht="30" customHeight="1" x14ac:dyDescent="0.25">
      <c r="A9" s="254"/>
      <c r="B9" s="164"/>
      <c r="C9" s="164"/>
      <c r="D9" s="164"/>
      <c r="E9" s="164"/>
      <c r="F9" s="164"/>
      <c r="G9" s="164"/>
      <c r="H9" s="164"/>
      <c r="I9" s="255" t="s">
        <v>213</v>
      </c>
      <c r="J9" s="233"/>
      <c r="K9" s="256"/>
      <c r="L9" s="256"/>
      <c r="M9" s="256"/>
      <c r="N9" s="477" t="s">
        <v>197</v>
      </c>
      <c r="O9" s="475"/>
      <c r="Q9" s="476"/>
      <c r="S9" s="608"/>
    </row>
    <row r="10" spans="1:19" ht="15.75" x14ac:dyDescent="0.25">
      <c r="A10" s="254"/>
      <c r="B10" s="175"/>
      <c r="C10" s="175"/>
      <c r="D10" s="175"/>
      <c r="F10" s="910" t="s">
        <v>190</v>
      </c>
      <c r="G10" s="164"/>
      <c r="H10" s="164"/>
      <c r="K10" s="920"/>
      <c r="L10" s="909"/>
      <c r="M10" s="909"/>
      <c r="N10" s="923"/>
      <c r="Q10" s="783"/>
      <c r="S10" s="783"/>
    </row>
    <row r="11" spans="1:19" ht="60.75" x14ac:dyDescent="0.25">
      <c r="A11" s="257" t="s">
        <v>1</v>
      </c>
      <c r="B11" s="258" t="s">
        <v>122</v>
      </c>
      <c r="C11" s="258" t="s">
        <v>189</v>
      </c>
      <c r="D11" s="258" t="s">
        <v>660</v>
      </c>
      <c r="E11" s="609" t="s">
        <v>214</v>
      </c>
      <c r="F11" s="258" t="s">
        <v>198</v>
      </c>
      <c r="G11" s="258" t="s">
        <v>199</v>
      </c>
      <c r="H11" s="611" t="s">
        <v>200</v>
      </c>
      <c r="I11" s="921" t="s">
        <v>659</v>
      </c>
      <c r="J11" s="929" t="s">
        <v>215</v>
      </c>
      <c r="K11" s="258" t="s">
        <v>123</v>
      </c>
      <c r="L11" s="258" t="s">
        <v>124</v>
      </c>
      <c r="M11" s="921" t="s">
        <v>661</v>
      </c>
      <c r="N11" s="922" t="s">
        <v>201</v>
      </c>
      <c r="S11" s="612"/>
    </row>
    <row r="12" spans="1:19" x14ac:dyDescent="0.25">
      <c r="A12" s="223" t="s">
        <v>205</v>
      </c>
      <c r="B12" s="166">
        <v>465</v>
      </c>
      <c r="C12" s="166">
        <v>28</v>
      </c>
      <c r="D12" s="166">
        <v>37</v>
      </c>
      <c r="E12" s="911">
        <v>22</v>
      </c>
      <c r="F12" s="166">
        <v>15</v>
      </c>
      <c r="G12" s="166">
        <v>30</v>
      </c>
      <c r="H12" s="166">
        <v>23</v>
      </c>
      <c r="I12" s="926">
        <f t="shared" ref="I12:I17" si="0">SUM(B12:H12)</f>
        <v>620</v>
      </c>
      <c r="J12" s="864"/>
      <c r="K12" s="915">
        <v>59</v>
      </c>
      <c r="L12" s="259">
        <v>31</v>
      </c>
      <c r="M12" s="928">
        <v>805</v>
      </c>
      <c r="N12" s="930">
        <f>I12+M12+K12+L12</f>
        <v>1515</v>
      </c>
      <c r="P12" s="543"/>
      <c r="S12" s="150"/>
    </row>
    <row r="13" spans="1:19" x14ac:dyDescent="0.25">
      <c r="A13" s="223" t="s">
        <v>204</v>
      </c>
      <c r="B13" s="78">
        <v>452</v>
      </c>
      <c r="C13" s="78">
        <v>31</v>
      </c>
      <c r="D13" s="78">
        <v>21</v>
      </c>
      <c r="E13" s="912"/>
      <c r="F13" s="78">
        <v>19</v>
      </c>
      <c r="G13" s="78">
        <v>29</v>
      </c>
      <c r="H13" s="78">
        <v>25</v>
      </c>
      <c r="I13" s="945">
        <f>SUM(B13:H13)</f>
        <v>577</v>
      </c>
      <c r="J13" s="864"/>
      <c r="K13" s="916">
        <v>65</v>
      </c>
      <c r="L13" s="260">
        <v>31</v>
      </c>
      <c r="M13" s="924">
        <v>628</v>
      </c>
      <c r="N13" s="931">
        <f t="shared" ref="N13:N15" si="1">I13+M13+K13+L13</f>
        <v>1301</v>
      </c>
      <c r="S13" s="150"/>
    </row>
    <row r="14" spans="1:19" x14ac:dyDescent="0.25">
      <c r="A14" s="223" t="s">
        <v>203</v>
      </c>
      <c r="B14" s="78">
        <v>449</v>
      </c>
      <c r="C14" s="78">
        <v>14</v>
      </c>
      <c r="D14" s="78">
        <v>23</v>
      </c>
      <c r="E14" s="913">
        <v>25</v>
      </c>
      <c r="F14" s="78">
        <v>16</v>
      </c>
      <c r="G14" s="78">
        <v>36</v>
      </c>
      <c r="H14" s="78">
        <v>24</v>
      </c>
      <c r="I14" s="610">
        <f t="shared" si="0"/>
        <v>587</v>
      </c>
      <c r="J14" s="864"/>
      <c r="K14" s="916">
        <v>85</v>
      </c>
      <c r="L14" s="260">
        <v>27</v>
      </c>
      <c r="M14" s="924">
        <v>875</v>
      </c>
      <c r="N14" s="931">
        <f t="shared" si="1"/>
        <v>1574</v>
      </c>
      <c r="S14" s="150"/>
    </row>
    <row r="15" spans="1:19" x14ac:dyDescent="0.25">
      <c r="A15" s="223" t="s">
        <v>202</v>
      </c>
      <c r="B15" s="78">
        <v>438</v>
      </c>
      <c r="C15" s="78">
        <v>12</v>
      </c>
      <c r="D15" s="946">
        <v>14</v>
      </c>
      <c r="E15" s="913">
        <v>24</v>
      </c>
      <c r="F15" s="78">
        <v>18</v>
      </c>
      <c r="G15" s="78">
        <v>39</v>
      </c>
      <c r="H15" s="78">
        <v>47</v>
      </c>
      <c r="I15" s="610">
        <f t="shared" si="0"/>
        <v>592</v>
      </c>
      <c r="J15" s="864"/>
      <c r="K15" s="916">
        <v>65</v>
      </c>
      <c r="L15" s="260">
        <v>42</v>
      </c>
      <c r="M15" s="924">
        <v>811</v>
      </c>
      <c r="N15" s="931">
        <f t="shared" si="1"/>
        <v>1510</v>
      </c>
      <c r="S15" s="150"/>
    </row>
    <row r="16" spans="1:19" x14ac:dyDescent="0.25">
      <c r="A16" s="223" t="str">
        <f>'h14'!A23</f>
        <v>2016-17</v>
      </c>
      <c r="B16" s="78">
        <f>'h14'!G23</f>
        <v>418</v>
      </c>
      <c r="C16" s="78">
        <f>'h14'!C23</f>
        <v>26</v>
      </c>
      <c r="D16" s="78">
        <f>'h14'!H23</f>
        <v>43</v>
      </c>
      <c r="E16" s="913">
        <f>'h14'!D23</f>
        <v>26</v>
      </c>
      <c r="F16" s="78">
        <f>'h14'!F23</f>
        <v>17</v>
      </c>
      <c r="G16" s="78">
        <f>'h14'!I23</f>
        <v>34</v>
      </c>
      <c r="H16" s="78">
        <f>'h14'!E23</f>
        <v>68</v>
      </c>
      <c r="I16" s="610">
        <f t="shared" si="0"/>
        <v>632</v>
      </c>
      <c r="J16" s="864"/>
      <c r="K16" s="917">
        <f>SUM('h14'!$J$23:$P$23)</f>
        <v>65</v>
      </c>
      <c r="L16" s="260">
        <f>SUM('h14'!$Q$23:$V$23)</f>
        <v>62</v>
      </c>
      <c r="M16" s="924">
        <f>('h14'!B7+'h14'!C7)-J16</f>
        <v>788</v>
      </c>
      <c r="N16" s="931">
        <f>GETPIVOTDATA("2017-18",'h14'!$A$4,"FinYear","2016-17")</f>
        <v>1547</v>
      </c>
      <c r="S16" s="150"/>
    </row>
    <row r="17" spans="1:19" x14ac:dyDescent="0.25">
      <c r="A17" s="223" t="str">
        <f>'h14'!A24</f>
        <v>2017-18</v>
      </c>
      <c r="B17" s="78">
        <f>'h14'!G24</f>
        <v>417</v>
      </c>
      <c r="C17" s="78">
        <f>'h14'!C24</f>
        <v>25</v>
      </c>
      <c r="D17" s="78">
        <f>'h14'!H24</f>
        <v>43</v>
      </c>
      <c r="E17" s="913">
        <f>'h14'!D24</f>
        <v>27</v>
      </c>
      <c r="F17" s="78">
        <f>'h14'!F24</f>
        <v>20</v>
      </c>
      <c r="G17" s="78">
        <f>'h14'!I24</f>
        <v>41</v>
      </c>
      <c r="H17" s="78">
        <f>'h14'!E24</f>
        <v>59</v>
      </c>
      <c r="I17" s="610">
        <f t="shared" si="0"/>
        <v>632</v>
      </c>
      <c r="J17" s="927">
        <f>'h14'!E8</f>
        <v>95</v>
      </c>
      <c r="K17" s="917">
        <f>SUM('h14'!J24:P24)</f>
        <v>74</v>
      </c>
      <c r="L17" s="260">
        <f>SUM('h14'!$Q$24:$V$24)</f>
        <v>64</v>
      </c>
      <c r="M17" s="924">
        <f>('h14'!B8+'h14'!C8)</f>
        <v>641</v>
      </c>
      <c r="N17" s="931">
        <f>GETPIVOTDATA("2017-18",'h14'!$A$4,"FinYear","2017-18")</f>
        <v>1506</v>
      </c>
      <c r="P17" s="543"/>
      <c r="S17" s="150"/>
    </row>
    <row r="18" spans="1:19" x14ac:dyDescent="0.25">
      <c r="A18" s="223" t="str">
        <f>'h14'!A25</f>
        <v>2018-19</v>
      </c>
      <c r="B18" s="78">
        <f>'h14'!G25</f>
        <v>431</v>
      </c>
      <c r="C18" s="78">
        <f>'h14'!C25</f>
        <v>28</v>
      </c>
      <c r="D18" s="78">
        <f>'h14'!H25</f>
        <v>42</v>
      </c>
      <c r="E18" s="913">
        <f>'h14'!D25</f>
        <v>39</v>
      </c>
      <c r="F18" s="78">
        <f>'h14'!F25</f>
        <v>25</v>
      </c>
      <c r="G18" s="78">
        <f>'h14'!I25</f>
        <v>39</v>
      </c>
      <c r="H18" s="78">
        <f>'h14'!E25</f>
        <v>62</v>
      </c>
      <c r="I18" s="610">
        <f t="shared" ref="I18" si="2">SUM(B18:H18)</f>
        <v>666</v>
      </c>
      <c r="J18" s="927">
        <f>'h14'!E9</f>
        <v>198</v>
      </c>
      <c r="K18" s="917">
        <f>SUM('h14'!J25:P25)</f>
        <v>90</v>
      </c>
      <c r="L18" s="260">
        <f>SUM('h14'!$Q$25:$V$25)</f>
        <v>65</v>
      </c>
      <c r="M18" s="924">
        <f>('h14'!B9+'h14'!C9)</f>
        <v>532</v>
      </c>
      <c r="N18" s="931">
        <f>GETPIVOTDATA("2017-18",'h14'!$A$4,"FinYear","2018-19")</f>
        <v>1551</v>
      </c>
      <c r="P18" s="543"/>
      <c r="S18" s="150"/>
    </row>
    <row r="19" spans="1:19" ht="15.75" thickBot="1" x14ac:dyDescent="0.3">
      <c r="A19" s="237" t="str">
        <f>'h14'!A26</f>
        <v>2019-20</v>
      </c>
      <c r="B19" s="466">
        <f>'h14'!G26</f>
        <v>421</v>
      </c>
      <c r="C19" s="466">
        <f>'h14'!C26</f>
        <v>26</v>
      </c>
      <c r="D19" s="466">
        <f>'h14'!H26</f>
        <v>39</v>
      </c>
      <c r="E19" s="914">
        <f>'h14'!D26</f>
        <v>41</v>
      </c>
      <c r="F19" s="466">
        <f>'h14'!F26</f>
        <v>29</v>
      </c>
      <c r="G19" s="466">
        <f>'h14'!I26</f>
        <v>36</v>
      </c>
      <c r="H19" s="466">
        <f>'h14'!E26</f>
        <v>63</v>
      </c>
      <c r="I19" s="919">
        <f>SUM(B19:H19)</f>
        <v>655</v>
      </c>
      <c r="J19" s="925">
        <f>'h14'!E10</f>
        <v>285</v>
      </c>
      <c r="K19" s="918">
        <f>SUM('h14'!J26:P26)</f>
        <v>86</v>
      </c>
      <c r="L19" s="466">
        <f>SUM('h14'!$Q$26:$V$26)</f>
        <v>71</v>
      </c>
      <c r="M19" s="925">
        <f>('h14'!B10+'h14'!C10)</f>
        <v>470</v>
      </c>
      <c r="N19" s="932">
        <f>GETPIVOTDATA("2017-18",'h14'!$A$4,"FinYear","2019-20")</f>
        <v>1567</v>
      </c>
      <c r="S19" s="150"/>
    </row>
    <row r="20" spans="1:19" x14ac:dyDescent="0.25">
      <c r="A20" s="478"/>
      <c r="B20" s="78"/>
      <c r="C20" s="78"/>
      <c r="D20" s="78"/>
      <c r="E20" s="78"/>
      <c r="F20" s="78"/>
      <c r="G20" s="78"/>
      <c r="H20" s="78"/>
      <c r="I20" s="78"/>
      <c r="J20" s="78"/>
      <c r="K20" s="78"/>
      <c r="L20" s="78"/>
      <c r="M20" s="78"/>
      <c r="O20" s="78"/>
      <c r="Q20" s="78"/>
      <c r="R20" s="78"/>
      <c r="S20" s="78"/>
    </row>
    <row r="21" spans="1:19" x14ac:dyDescent="0.25">
      <c r="A21" s="437" t="s">
        <v>8</v>
      </c>
      <c r="I21" s="181"/>
    </row>
    <row r="22" spans="1:19" ht="30.75" customHeight="1" x14ac:dyDescent="0.25">
      <c r="A22" s="1088" t="s">
        <v>954</v>
      </c>
      <c r="B22" s="1088"/>
      <c r="C22" s="1088"/>
      <c r="D22" s="1088"/>
      <c r="E22" s="1088"/>
      <c r="F22" s="1088"/>
      <c r="G22" s="1088"/>
      <c r="H22" s="1088"/>
      <c r="I22" s="1088"/>
      <c r="J22" s="1088"/>
      <c r="K22" s="1088"/>
      <c r="L22" s="1088"/>
      <c r="M22" s="1088"/>
      <c r="N22" s="1088"/>
    </row>
    <row r="23" spans="1:19" ht="15" customHeight="1" x14ac:dyDescent="0.25">
      <c r="A23" s="566" t="s">
        <v>821</v>
      </c>
      <c r="B23" s="938"/>
      <c r="C23" s="938"/>
      <c r="D23" s="938"/>
      <c r="E23" s="938"/>
      <c r="F23" s="938"/>
      <c r="G23" s="938"/>
      <c r="H23" s="938"/>
      <c r="I23" s="938"/>
      <c r="J23" s="938"/>
      <c r="K23" s="938"/>
      <c r="L23" s="938"/>
      <c r="M23" s="938"/>
      <c r="N23" s="938"/>
    </row>
    <row r="24" spans="1:19" ht="30" customHeight="1" x14ac:dyDescent="0.25">
      <c r="A24" s="1076" t="s">
        <v>799</v>
      </c>
      <c r="B24" s="1076"/>
      <c r="C24" s="1076"/>
      <c r="D24" s="1076"/>
      <c r="E24" s="1076"/>
      <c r="F24" s="1076"/>
      <c r="G24" s="1076"/>
      <c r="H24" s="1076"/>
      <c r="I24" s="1076"/>
      <c r="J24" s="1076"/>
      <c r="K24" s="1076"/>
      <c r="L24" s="1076"/>
      <c r="M24" s="1076"/>
      <c r="N24" s="1076"/>
    </row>
    <row r="25" spans="1:19" ht="45" customHeight="1" x14ac:dyDescent="0.25">
      <c r="A25" s="1076" t="s">
        <v>800</v>
      </c>
      <c r="B25" s="1076"/>
      <c r="C25" s="1076"/>
      <c r="D25" s="1076"/>
      <c r="E25" s="1076"/>
      <c r="F25" s="1076"/>
      <c r="G25" s="1076"/>
      <c r="H25" s="1076"/>
      <c r="I25" s="1076"/>
      <c r="J25" s="1076"/>
      <c r="K25" s="1076"/>
      <c r="L25" s="1076"/>
      <c r="M25" s="1076"/>
      <c r="N25" s="1076"/>
      <c r="O25" s="689"/>
      <c r="P25" s="689"/>
      <c r="Q25" s="689"/>
      <c r="R25" s="689"/>
    </row>
    <row r="26" spans="1:19" x14ac:dyDescent="0.25">
      <c r="A26" t="s">
        <v>237</v>
      </c>
    </row>
    <row r="27" spans="1:19" ht="45" customHeight="1" x14ac:dyDescent="0.25">
      <c r="A27" s="1076" t="s">
        <v>801</v>
      </c>
      <c r="B27" s="1076"/>
      <c r="C27" s="1076"/>
      <c r="D27" s="1076"/>
      <c r="E27" s="1076"/>
      <c r="F27" s="1076"/>
      <c r="G27" s="1076"/>
      <c r="H27" s="1076"/>
      <c r="I27" s="1076"/>
      <c r="J27" s="1076"/>
      <c r="K27" s="1076"/>
      <c r="L27" s="1076"/>
      <c r="M27" s="1076"/>
      <c r="N27" s="1076"/>
      <c r="O27" s="525"/>
      <c r="P27" s="525"/>
      <c r="Q27" s="525"/>
      <c r="R27" s="525"/>
      <c r="S27" s="606"/>
    </row>
    <row r="28" spans="1:19" x14ac:dyDescent="0.25">
      <c r="S28" s="607"/>
    </row>
    <row r="30" spans="1:19" x14ac:dyDescent="0.25">
      <c r="A30" s="498"/>
    </row>
  </sheetData>
  <sheetProtection algorithmName="SHA-512" hashValue="JGsAidHnpvzpRwV7c0RaxRHZW2dKx7wcbtdXkAbKA4/AP7VKh0HxLS1dkUk4qrmMPcjHcHyAi5QMcurEErAAVg==" saltValue="JXDJoDKZ8F6OQ1jiY3ZEMA==" spinCount="100000" sheet="1" scenarios="1" formatCells="0" formatColumns="0" formatRows="0" sort="0" autoFilter="0" pivotTables="0"/>
  <mergeCells count="5">
    <mergeCell ref="A1:J1"/>
    <mergeCell ref="A22:N22"/>
    <mergeCell ref="A24:N24"/>
    <mergeCell ref="A25:N25"/>
    <mergeCell ref="A27:N27"/>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2"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zoomScale="85" zoomScaleNormal="85" workbookViewId="0">
      <pane ySplit="4" topLeftCell="A5" activePane="bottomLeft" state="frozen"/>
      <selection pane="bottomLeft"/>
    </sheetView>
  </sheetViews>
  <sheetFormatPr defaultRowHeight="15" x14ac:dyDescent="0.25"/>
  <sheetData>
    <row r="1" spans="1:8" ht="15.75" x14ac:dyDescent="0.25">
      <c r="A1" s="981" t="s">
        <v>1292</v>
      </c>
    </row>
    <row r="2" spans="1:8" x14ac:dyDescent="0.25">
      <c r="A2" s="1139">
        <v>44071</v>
      </c>
      <c r="B2" s="1140"/>
    </row>
    <row r="4" spans="1:8" x14ac:dyDescent="0.25">
      <c r="A4" s="1066" t="s">
        <v>329</v>
      </c>
      <c r="B4" s="1066" t="s">
        <v>566</v>
      </c>
      <c r="C4" s="1066">
        <v>1</v>
      </c>
      <c r="D4" s="1066">
        <v>2</v>
      </c>
      <c r="E4" s="1066">
        <v>3</v>
      </c>
      <c r="F4" s="1066">
        <v>4</v>
      </c>
      <c r="G4" s="1066">
        <v>5</v>
      </c>
      <c r="H4" s="1066" t="s">
        <v>26</v>
      </c>
    </row>
    <row r="5" spans="1:8" x14ac:dyDescent="0.25">
      <c r="A5" s="1067" t="s">
        <v>203</v>
      </c>
      <c r="B5" s="1067" t="s">
        <v>1290</v>
      </c>
      <c r="C5" s="1067">
        <v>3.4</v>
      </c>
      <c r="D5" s="1067">
        <v>3.16</v>
      </c>
      <c r="E5" s="1067">
        <v>2.63</v>
      </c>
      <c r="F5" s="1067">
        <v>2.2200000000000002</v>
      </c>
      <c r="G5" s="1067">
        <v>1.94</v>
      </c>
      <c r="H5" s="1067">
        <v>2.7</v>
      </c>
    </row>
    <row r="6" spans="1:8" x14ac:dyDescent="0.25">
      <c r="A6" s="1067" t="s">
        <v>202</v>
      </c>
      <c r="B6" s="1067" t="s">
        <v>1290</v>
      </c>
      <c r="C6" s="1067">
        <v>3.59</v>
      </c>
      <c r="D6" s="1067">
        <v>3.44</v>
      </c>
      <c r="E6" s="1067">
        <v>2.89</v>
      </c>
      <c r="F6" s="1067">
        <v>2.5099999999999998</v>
      </c>
      <c r="G6" s="1067">
        <v>2.0499999999999998</v>
      </c>
      <c r="H6" s="1067">
        <v>2.93</v>
      </c>
    </row>
    <row r="7" spans="1:8" x14ac:dyDescent="0.25">
      <c r="A7" s="1067" t="s">
        <v>273</v>
      </c>
      <c r="B7" s="1067" t="s">
        <v>1290</v>
      </c>
      <c r="C7" s="1067">
        <v>3.34</v>
      </c>
      <c r="D7" s="1067">
        <v>3.3</v>
      </c>
      <c r="E7" s="1067">
        <v>2.86</v>
      </c>
      <c r="F7" s="1067">
        <v>2.61</v>
      </c>
      <c r="G7" s="1067">
        <v>2.12</v>
      </c>
      <c r="H7" s="1067">
        <v>2.87</v>
      </c>
    </row>
    <row r="8" spans="1:8" x14ac:dyDescent="0.25">
      <c r="A8" s="1067" t="s">
        <v>255</v>
      </c>
      <c r="B8" s="1067" t="s">
        <v>1290</v>
      </c>
      <c r="C8" s="1067">
        <v>3.48</v>
      </c>
      <c r="D8" s="1067">
        <v>3.19</v>
      </c>
      <c r="E8" s="1067">
        <v>2.76</v>
      </c>
      <c r="F8" s="1067">
        <v>2.46</v>
      </c>
      <c r="G8" s="1067">
        <v>2.0099999999999998</v>
      </c>
      <c r="H8" s="1067">
        <v>2.8</v>
      </c>
    </row>
    <row r="9" spans="1:8" x14ac:dyDescent="0.25">
      <c r="A9" s="1067" t="s">
        <v>254</v>
      </c>
      <c r="B9" s="1067" t="s">
        <v>1290</v>
      </c>
      <c r="C9" s="1067">
        <v>3.65</v>
      </c>
      <c r="D9" s="1067">
        <v>3.21</v>
      </c>
      <c r="E9" s="1067">
        <v>2.68</v>
      </c>
      <c r="F9" s="1067">
        <v>2.21</v>
      </c>
      <c r="G9" s="1067">
        <v>1.91</v>
      </c>
      <c r="H9" s="1067">
        <v>2.76</v>
      </c>
    </row>
    <row r="10" spans="1:8" x14ac:dyDescent="0.25">
      <c r="A10" s="1067" t="s">
        <v>851</v>
      </c>
      <c r="B10" s="1067" t="s">
        <v>1290</v>
      </c>
      <c r="C10" s="1067">
        <v>3.67</v>
      </c>
      <c r="D10" s="1067">
        <v>3.1</v>
      </c>
      <c r="E10" s="1067">
        <v>2.65</v>
      </c>
      <c r="F10" s="1067">
        <v>2.2599999999999998</v>
      </c>
      <c r="G10" s="1067">
        <v>1.87</v>
      </c>
      <c r="H10" s="1067">
        <v>2.74</v>
      </c>
    </row>
    <row r="11" spans="1:8" x14ac:dyDescent="0.25">
      <c r="A11" s="1067" t="s">
        <v>203</v>
      </c>
      <c r="B11" s="1067" t="s">
        <v>865</v>
      </c>
      <c r="C11" s="1067">
        <v>17883</v>
      </c>
      <c r="D11" s="1067">
        <v>15938</v>
      </c>
      <c r="E11" s="1067">
        <v>12820</v>
      </c>
      <c r="F11" s="1067">
        <v>10359</v>
      </c>
      <c r="G11" s="1067">
        <v>8715</v>
      </c>
      <c r="H11" s="1067">
        <v>65715</v>
      </c>
    </row>
    <row r="12" spans="1:8" x14ac:dyDescent="0.25">
      <c r="A12" s="1067" t="s">
        <v>202</v>
      </c>
      <c r="B12" s="1067" t="s">
        <v>865</v>
      </c>
      <c r="C12" s="1067">
        <v>18993</v>
      </c>
      <c r="D12" s="1067">
        <v>17419</v>
      </c>
      <c r="E12" s="1067">
        <v>14153</v>
      </c>
      <c r="F12" s="1067">
        <v>11858</v>
      </c>
      <c r="G12" s="1067">
        <v>9294</v>
      </c>
      <c r="H12" s="1067">
        <v>71717</v>
      </c>
    </row>
    <row r="13" spans="1:8" x14ac:dyDescent="0.25">
      <c r="A13" s="1067" t="s">
        <v>273</v>
      </c>
      <c r="B13" s="1067" t="s">
        <v>865</v>
      </c>
      <c r="C13" s="1067">
        <v>17707</v>
      </c>
      <c r="D13" s="1067">
        <v>16801</v>
      </c>
      <c r="E13" s="1067">
        <v>14140</v>
      </c>
      <c r="F13" s="1067">
        <v>12512</v>
      </c>
      <c r="G13" s="1067">
        <v>9641</v>
      </c>
      <c r="H13" s="1067">
        <v>70801</v>
      </c>
    </row>
    <row r="14" spans="1:8" x14ac:dyDescent="0.25">
      <c r="A14" s="1067" t="s">
        <v>255</v>
      </c>
      <c r="B14" s="1067" t="s">
        <v>865</v>
      </c>
      <c r="C14" s="1067">
        <v>18513</v>
      </c>
      <c r="D14" s="1067">
        <v>16350</v>
      </c>
      <c r="E14" s="1067">
        <v>13755</v>
      </c>
      <c r="F14" s="1067">
        <v>11983</v>
      </c>
      <c r="G14" s="1067">
        <v>9230</v>
      </c>
      <c r="H14" s="1067">
        <v>69831</v>
      </c>
    </row>
    <row r="15" spans="1:8" x14ac:dyDescent="0.25">
      <c r="A15" s="1067" t="s">
        <v>254</v>
      </c>
      <c r="B15" s="1067" t="s">
        <v>865</v>
      </c>
      <c r="C15" s="1067">
        <v>19491</v>
      </c>
      <c r="D15" s="1067">
        <v>16489</v>
      </c>
      <c r="E15" s="1067">
        <v>13423</v>
      </c>
      <c r="F15" s="1067">
        <v>10933</v>
      </c>
      <c r="G15" s="1067">
        <v>8866</v>
      </c>
      <c r="H15" s="1067">
        <v>69202</v>
      </c>
    </row>
    <row r="16" spans="1:8" x14ac:dyDescent="0.25">
      <c r="A16" s="1067" t="s">
        <v>851</v>
      </c>
      <c r="B16" s="1067" t="s">
        <v>865</v>
      </c>
      <c r="C16" s="1067">
        <v>19687</v>
      </c>
      <c r="D16" s="1067">
        <v>16058</v>
      </c>
      <c r="E16" s="1067">
        <v>13385</v>
      </c>
      <c r="F16" s="1067">
        <v>11357</v>
      </c>
      <c r="G16" s="1067">
        <v>8740</v>
      </c>
      <c r="H16" s="1067">
        <v>69227</v>
      </c>
    </row>
    <row r="30" spans="1:9" x14ac:dyDescent="0.25">
      <c r="A30" s="1069" t="s">
        <v>329</v>
      </c>
      <c r="B30" s="1069" t="s">
        <v>566</v>
      </c>
      <c r="C30" s="1069">
        <v>1</v>
      </c>
      <c r="D30" s="1069">
        <v>2</v>
      </c>
      <c r="E30" s="1069">
        <v>3</v>
      </c>
      <c r="F30" s="1069">
        <v>4</v>
      </c>
      <c r="G30" s="1069">
        <v>5</v>
      </c>
      <c r="H30" s="1069">
        <v>6</v>
      </c>
      <c r="I30" s="1069" t="s">
        <v>26</v>
      </c>
    </row>
    <row r="31" spans="1:9" x14ac:dyDescent="0.25">
      <c r="A31" s="1067" t="s">
        <v>203</v>
      </c>
      <c r="B31" s="1067" t="s">
        <v>1290</v>
      </c>
      <c r="C31" s="1067">
        <v>2.63</v>
      </c>
      <c r="D31" s="1067">
        <v>3</v>
      </c>
      <c r="E31" s="1067">
        <v>2.52</v>
      </c>
      <c r="F31" s="1067">
        <v>2.5299999999999998</v>
      </c>
      <c r="G31" s="1067">
        <v>2.23</v>
      </c>
      <c r="H31" s="1067">
        <v>2.4500000000000002</v>
      </c>
      <c r="I31" s="1067">
        <v>2.7</v>
      </c>
    </row>
    <row r="32" spans="1:9" x14ac:dyDescent="0.25">
      <c r="A32" s="1067" t="s">
        <v>202</v>
      </c>
      <c r="B32" s="1067" t="s">
        <v>1290</v>
      </c>
      <c r="C32" s="1067">
        <v>2.75</v>
      </c>
      <c r="D32" s="1067">
        <v>3.4</v>
      </c>
      <c r="E32" s="1067">
        <v>2.66</v>
      </c>
      <c r="F32" s="1067">
        <v>2.71</v>
      </c>
      <c r="G32" s="1067">
        <v>2.2799999999999998</v>
      </c>
      <c r="H32" s="1067">
        <v>2.75</v>
      </c>
      <c r="I32" s="1067">
        <v>2.93</v>
      </c>
    </row>
    <row r="33" spans="1:9" x14ac:dyDescent="0.25">
      <c r="A33" s="1067" t="s">
        <v>273</v>
      </c>
      <c r="B33" s="1067" t="s">
        <v>1290</v>
      </c>
      <c r="C33" s="1067">
        <v>2.54</v>
      </c>
      <c r="D33" s="1067">
        <v>3.3</v>
      </c>
      <c r="E33" s="1067">
        <v>2.61</v>
      </c>
      <c r="F33" s="1067">
        <v>3.3</v>
      </c>
      <c r="G33" s="1067">
        <v>2.4</v>
      </c>
      <c r="H33" s="1067">
        <v>3.11</v>
      </c>
      <c r="I33" s="1067">
        <v>2.87</v>
      </c>
    </row>
    <row r="34" spans="1:9" x14ac:dyDescent="0.25">
      <c r="A34" s="1067" t="s">
        <v>255</v>
      </c>
      <c r="B34" s="1067" t="s">
        <v>1290</v>
      </c>
      <c r="C34" s="1067">
        <v>2.63</v>
      </c>
      <c r="D34" s="1067">
        <v>3.1</v>
      </c>
      <c r="E34" s="1067">
        <v>2.46</v>
      </c>
      <c r="F34" s="1067">
        <v>3.38</v>
      </c>
      <c r="G34" s="1067">
        <v>2.2599999999999998</v>
      </c>
      <c r="H34" s="1067">
        <v>3.2</v>
      </c>
      <c r="I34" s="1067">
        <v>2.8</v>
      </c>
    </row>
    <row r="35" spans="1:9" x14ac:dyDescent="0.25">
      <c r="A35" s="1067" t="s">
        <v>254</v>
      </c>
      <c r="B35" s="1067" t="s">
        <v>1290</v>
      </c>
      <c r="C35" s="1067">
        <v>2.85</v>
      </c>
      <c r="D35" s="1067">
        <v>3.01</v>
      </c>
      <c r="E35" s="1067">
        <v>2.39</v>
      </c>
      <c r="F35" s="1067">
        <v>2.93</v>
      </c>
      <c r="G35" s="1067">
        <v>2.02</v>
      </c>
      <c r="H35" s="1067">
        <v>2.4700000000000002</v>
      </c>
      <c r="I35" s="1067">
        <v>2.76</v>
      </c>
    </row>
    <row r="36" spans="1:9" x14ac:dyDescent="0.25">
      <c r="A36" s="1067" t="s">
        <v>851</v>
      </c>
      <c r="B36" s="1067" t="s">
        <v>1290</v>
      </c>
      <c r="C36" s="1067">
        <v>2.76</v>
      </c>
      <c r="D36" s="1067">
        <v>2.96</v>
      </c>
      <c r="E36" s="1067">
        <v>2.48</v>
      </c>
      <c r="F36" s="1067">
        <v>2.8</v>
      </c>
      <c r="G36" s="1067">
        <v>2.2200000000000002</v>
      </c>
      <c r="H36" s="1067">
        <v>2.52</v>
      </c>
      <c r="I36" s="1067">
        <v>2.74</v>
      </c>
    </row>
    <row r="37" spans="1:9" x14ac:dyDescent="0.25">
      <c r="A37" s="1067" t="s">
        <v>203</v>
      </c>
      <c r="B37" s="1067" t="s">
        <v>865</v>
      </c>
      <c r="C37" s="1067">
        <v>22832</v>
      </c>
      <c r="D37" s="1067">
        <v>26356</v>
      </c>
      <c r="E37" s="1067">
        <v>5123</v>
      </c>
      <c r="F37" s="1067">
        <v>2287</v>
      </c>
      <c r="G37" s="1067">
        <v>5570</v>
      </c>
      <c r="H37" s="1067">
        <v>3547</v>
      </c>
      <c r="I37" s="1067">
        <v>65715</v>
      </c>
    </row>
    <row r="38" spans="1:9" x14ac:dyDescent="0.25">
      <c r="A38" s="1067" t="s">
        <v>202</v>
      </c>
      <c r="B38" s="1067" t="s">
        <v>865</v>
      </c>
      <c r="C38" s="1067">
        <v>24059</v>
      </c>
      <c r="D38" s="1067">
        <v>30013</v>
      </c>
      <c r="E38" s="1067">
        <v>5434</v>
      </c>
      <c r="F38" s="1067">
        <v>2463</v>
      </c>
      <c r="G38" s="1067">
        <v>5747</v>
      </c>
      <c r="H38" s="1067">
        <v>4001</v>
      </c>
      <c r="I38" s="1067">
        <v>71717</v>
      </c>
    </row>
    <row r="39" spans="1:9" x14ac:dyDescent="0.25">
      <c r="A39" s="1067" t="s">
        <v>273</v>
      </c>
      <c r="B39" s="1067" t="s">
        <v>865</v>
      </c>
      <c r="C39" s="1067">
        <v>22380</v>
      </c>
      <c r="D39" s="1067">
        <v>29336</v>
      </c>
      <c r="E39" s="1067">
        <v>5378</v>
      </c>
      <c r="F39" s="1067">
        <v>3000</v>
      </c>
      <c r="G39" s="1067">
        <v>6153</v>
      </c>
      <c r="H39" s="1067">
        <v>4554</v>
      </c>
      <c r="I39" s="1067">
        <v>70801</v>
      </c>
    </row>
    <row r="40" spans="1:9" x14ac:dyDescent="0.25">
      <c r="A40" s="1067" t="s">
        <v>255</v>
      </c>
      <c r="B40" s="1067" t="s">
        <v>865</v>
      </c>
      <c r="C40" s="1067">
        <v>23396</v>
      </c>
      <c r="D40" s="1067">
        <v>27662</v>
      </c>
      <c r="E40" s="1067">
        <v>5101</v>
      </c>
      <c r="F40" s="1067">
        <v>3090</v>
      </c>
      <c r="G40" s="1067">
        <v>5853</v>
      </c>
      <c r="H40" s="1067">
        <v>4729</v>
      </c>
      <c r="I40" s="1067">
        <v>69831</v>
      </c>
    </row>
    <row r="41" spans="1:9" x14ac:dyDescent="0.25">
      <c r="A41" s="1067" t="s">
        <v>254</v>
      </c>
      <c r="B41" s="1067" t="s">
        <v>865</v>
      </c>
      <c r="C41" s="1067">
        <v>25614</v>
      </c>
      <c r="D41" s="1067">
        <v>26967</v>
      </c>
      <c r="E41" s="1067">
        <v>4968</v>
      </c>
      <c r="F41" s="1067">
        <v>2685</v>
      </c>
      <c r="G41" s="1067">
        <v>5307</v>
      </c>
      <c r="H41" s="1067">
        <v>3661</v>
      </c>
      <c r="I41" s="1067">
        <v>69202</v>
      </c>
    </row>
    <row r="42" spans="1:9" x14ac:dyDescent="0.25">
      <c r="A42" s="1067" t="s">
        <v>851</v>
      </c>
      <c r="B42" s="1067" t="s">
        <v>865</v>
      </c>
      <c r="C42" s="1067">
        <v>25046</v>
      </c>
      <c r="D42" s="1067">
        <v>26688</v>
      </c>
      <c r="E42" s="1067">
        <v>5211</v>
      </c>
      <c r="F42" s="1067">
        <v>2581</v>
      </c>
      <c r="G42" s="1067">
        <v>5941</v>
      </c>
      <c r="H42" s="1067">
        <v>3760</v>
      </c>
      <c r="I42" s="1067">
        <v>69227</v>
      </c>
    </row>
  </sheetData>
  <sheetProtection algorithmName="SHA-512" hashValue="/VD8m+R8n7YVSbkLWxMz/7o/Lv2u0rrb/5xlT7Tvjkve9dY1IX2XxkK5Z8K+7fDJm4UtNYryU0cHp4XtgpZKkw==" saltValue="uFJba7yLKM++l85CALi18w==" spinCount="100000" sheet="1" scenarios="1" formatCells="0" formatColumns="0" formatRows="0" sort="0" autoFilter="0" pivotTables="0"/>
  <mergeCells count="1">
    <mergeCell ref="A2:B2"/>
  </mergeCells>
  <pageMargins left="0.7" right="0.7" top="0.75" bottom="0.75" header="0.3" footer="0.3"/>
  <pageSetup paperSize="9" fitToHeight="50"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B7"/>
  <sheetViews>
    <sheetView zoomScale="85" zoomScaleNormal="85" workbookViewId="0">
      <pane ySplit="4" topLeftCell="A5" activePane="bottomLeft" state="frozen"/>
      <selection pane="bottomLeft"/>
    </sheetView>
  </sheetViews>
  <sheetFormatPr defaultRowHeight="15" x14ac:dyDescent="0.25"/>
  <sheetData>
    <row r="4" spans="1:2" x14ac:dyDescent="0.25">
      <c r="A4" s="1066" t="s">
        <v>329</v>
      </c>
      <c r="B4" s="1066" t="s">
        <v>1291</v>
      </c>
    </row>
    <row r="5" spans="1:2" x14ac:dyDescent="0.25">
      <c r="A5" s="1067" t="s">
        <v>255</v>
      </c>
      <c r="B5" s="1067">
        <v>76</v>
      </c>
    </row>
    <row r="6" spans="1:2" x14ac:dyDescent="0.25">
      <c r="A6" s="1067" t="s">
        <v>254</v>
      </c>
      <c r="B6" s="1067">
        <v>24</v>
      </c>
    </row>
    <row r="7" spans="1:2" x14ac:dyDescent="0.25">
      <c r="A7" s="1067" t="s">
        <v>851</v>
      </c>
      <c r="B7" s="1067">
        <v>5</v>
      </c>
    </row>
  </sheetData>
  <sheetProtection algorithmName="SHA-512" hashValue="8tV/FObGoq7/Le/yzvE7nQiWTx8vzxKp7UtU9Iz8zYxySITl0vVpSwX5y7x73joaQWW1gOCC+/PneFM9L6e4iQ==" saltValue="hSKaPpic3iu1edi/xYLkug==" spinCount="100000" sheet="1" scenarios="1" formatCells="0" formatColumns="0" formatRows="0" sort="0" autoFilter="0" pivotTables="0"/>
  <pageMargins left="0.7" right="0.7" top="0.75" bottom="0.75" header="0.3" footer="0.3"/>
  <pageSetup paperSize="9" fitToHeight="5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E10"/>
  <sheetViews>
    <sheetView zoomScale="85" zoomScaleNormal="85" workbookViewId="0">
      <pane ySplit="4" topLeftCell="A5" activePane="bottomLeft" state="frozen"/>
      <selection pane="bottomLeft"/>
    </sheetView>
  </sheetViews>
  <sheetFormatPr defaultRowHeight="15" x14ac:dyDescent="0.25"/>
  <sheetData>
    <row r="4" spans="1:5" x14ac:dyDescent="0.25">
      <c r="A4" s="1066" t="s">
        <v>1293</v>
      </c>
      <c r="B4" s="1066" t="s">
        <v>1294</v>
      </c>
      <c r="C4" s="1066" t="s">
        <v>1295</v>
      </c>
      <c r="D4" s="1066" t="s">
        <v>1296</v>
      </c>
      <c r="E4" s="1066" t="s">
        <v>1297</v>
      </c>
    </row>
    <row r="5" spans="1:5" x14ac:dyDescent="0.25">
      <c r="A5" s="1067" t="s">
        <v>203</v>
      </c>
      <c r="B5" s="1067">
        <v>21</v>
      </c>
      <c r="C5" s="1067"/>
      <c r="D5" s="1067">
        <v>21</v>
      </c>
      <c r="E5" s="1067">
        <v>15</v>
      </c>
    </row>
    <row r="6" spans="1:5" x14ac:dyDescent="0.25">
      <c r="A6" s="1067" t="s">
        <v>202</v>
      </c>
      <c r="B6" s="1067">
        <v>22</v>
      </c>
      <c r="C6" s="1067"/>
      <c r="D6" s="1067">
        <v>22</v>
      </c>
      <c r="E6" s="1067">
        <v>17</v>
      </c>
    </row>
    <row r="7" spans="1:5" x14ac:dyDescent="0.25">
      <c r="A7" s="1067" t="s">
        <v>273</v>
      </c>
      <c r="B7" s="1067">
        <v>17</v>
      </c>
      <c r="C7" s="1067">
        <v>1</v>
      </c>
      <c r="D7" s="1067">
        <v>15</v>
      </c>
      <c r="E7" s="1067">
        <v>17</v>
      </c>
    </row>
    <row r="8" spans="1:5" x14ac:dyDescent="0.25">
      <c r="A8" s="1067" t="s">
        <v>255</v>
      </c>
      <c r="B8" s="1067">
        <v>26</v>
      </c>
      <c r="C8" s="1067">
        <v>2</v>
      </c>
      <c r="D8" s="1067">
        <v>15</v>
      </c>
      <c r="E8" s="1067">
        <v>26</v>
      </c>
    </row>
    <row r="9" spans="1:5" x14ac:dyDescent="0.25">
      <c r="A9" s="1067" t="s">
        <v>254</v>
      </c>
      <c r="B9" s="1067">
        <v>21</v>
      </c>
      <c r="C9" s="1067">
        <v>2</v>
      </c>
      <c r="D9" s="1067">
        <v>21</v>
      </c>
      <c r="E9" s="1067">
        <v>21</v>
      </c>
    </row>
    <row r="10" spans="1:5" x14ac:dyDescent="0.25">
      <c r="A10" s="1067" t="s">
        <v>851</v>
      </c>
      <c r="B10" s="1067">
        <v>5</v>
      </c>
      <c r="C10" s="1067"/>
      <c r="D10" s="1067">
        <v>5</v>
      </c>
      <c r="E10" s="1067">
        <v>2</v>
      </c>
    </row>
  </sheetData>
  <sheetProtection algorithmName="SHA-512" hashValue="prESktOp/Wi20iniEphMOL11i0OKC8GoIqi3XfcrgIDX22D/vbQvu/4AyxeVSxapOsMuIzMHg/C0FQWR3JIA2Q==" saltValue="hMWdky5dgiLNtPB1rvspmw==" spinCount="100000" sheet="1" scenarios="1" formatCells="0" formatColumns="0" formatRows="0" sort="0" autoFilter="0" pivotTables="0"/>
  <pageMargins left="0.7" right="0.7" top="0.75" bottom="0.75" header="0.3" footer="0.3"/>
  <pageSetup paperSize="9" fitToHeight="50"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O228"/>
  <sheetViews>
    <sheetView zoomScale="85" zoomScaleNormal="85" workbookViewId="0">
      <pane ySplit="4" topLeftCell="A5" activePane="bottomLeft" state="frozen"/>
      <selection pane="bottomLeft"/>
    </sheetView>
  </sheetViews>
  <sheetFormatPr defaultRowHeight="15" x14ac:dyDescent="0.25"/>
  <sheetData>
    <row r="4" spans="1:15" x14ac:dyDescent="0.25">
      <c r="A4" s="1066" t="s">
        <v>329</v>
      </c>
      <c r="B4" s="1066" t="s">
        <v>928</v>
      </c>
      <c r="C4" s="1066" t="s">
        <v>1298</v>
      </c>
      <c r="D4" s="1066" t="s">
        <v>1251</v>
      </c>
      <c r="E4" s="1066" t="s">
        <v>1252</v>
      </c>
      <c r="F4" s="1066" t="s">
        <v>1253</v>
      </c>
      <c r="G4" s="1066" t="s">
        <v>1254</v>
      </c>
      <c r="H4" s="1066" t="s">
        <v>1255</v>
      </c>
      <c r="I4" s="1066" t="s">
        <v>1256</v>
      </c>
      <c r="J4" s="1066" t="s">
        <v>1299</v>
      </c>
      <c r="K4" s="1066" t="s">
        <v>1300</v>
      </c>
      <c r="L4" s="1066" t="s">
        <v>1301</v>
      </c>
      <c r="M4" s="1066" t="s">
        <v>489</v>
      </c>
      <c r="N4" s="1066" t="s">
        <v>1302</v>
      </c>
      <c r="O4" s="1066" t="s">
        <v>1303</v>
      </c>
    </row>
    <row r="5" spans="1:15" x14ac:dyDescent="0.25">
      <c r="A5" s="1067" t="s">
        <v>204</v>
      </c>
      <c r="B5" s="1067" t="s">
        <v>47</v>
      </c>
      <c r="C5" s="1067" t="s">
        <v>292</v>
      </c>
      <c r="D5" s="1067">
        <v>332</v>
      </c>
      <c r="E5" s="1067">
        <v>299</v>
      </c>
      <c r="F5" s="1067">
        <v>631</v>
      </c>
      <c r="G5" s="1067">
        <v>581</v>
      </c>
      <c r="H5" s="1067">
        <v>317</v>
      </c>
      <c r="I5" s="1067">
        <v>264</v>
      </c>
      <c r="J5" s="1067">
        <v>43495</v>
      </c>
      <c r="K5" s="1067">
        <v>1.4510000000000001</v>
      </c>
      <c r="L5" s="1067">
        <v>1.3360000000000001</v>
      </c>
      <c r="M5" s="1067">
        <v>40839</v>
      </c>
      <c r="N5" s="1067">
        <v>1.5449999999999999</v>
      </c>
      <c r="O5" s="1067">
        <v>1.423</v>
      </c>
    </row>
    <row r="6" spans="1:15" x14ac:dyDescent="0.25">
      <c r="A6" s="1067" t="s">
        <v>203</v>
      </c>
      <c r="B6" s="1067" t="s">
        <v>43</v>
      </c>
      <c r="C6" s="1067" t="s">
        <v>430</v>
      </c>
      <c r="D6" s="1067">
        <v>3404</v>
      </c>
      <c r="E6" s="1067">
        <v>3462</v>
      </c>
      <c r="F6" s="1067">
        <v>6866</v>
      </c>
      <c r="G6" s="1067">
        <v>5377</v>
      </c>
      <c r="H6" s="1067">
        <v>3640</v>
      </c>
      <c r="I6" s="1067">
        <v>1737</v>
      </c>
      <c r="J6" s="1067">
        <v>172425</v>
      </c>
      <c r="K6" s="1067">
        <v>3.9820000000000002</v>
      </c>
      <c r="L6" s="1067">
        <v>3.1179999999999999</v>
      </c>
      <c r="M6" s="1067">
        <v>163958</v>
      </c>
      <c r="N6" s="1067">
        <v>4.1879999999999997</v>
      </c>
      <c r="O6" s="1067">
        <v>3.2789999999999999</v>
      </c>
    </row>
    <row r="7" spans="1:15" x14ac:dyDescent="0.25">
      <c r="A7" s="1067" t="s">
        <v>203</v>
      </c>
      <c r="B7" s="1067" t="s">
        <v>121</v>
      </c>
      <c r="C7" s="1067" t="s">
        <v>312</v>
      </c>
      <c r="D7" s="1067">
        <v>2493</v>
      </c>
      <c r="E7" s="1067">
        <v>3638</v>
      </c>
      <c r="F7" s="1067">
        <v>6131</v>
      </c>
      <c r="G7" s="1067">
        <v>3703</v>
      </c>
      <c r="H7" s="1067">
        <v>2836</v>
      </c>
      <c r="I7" s="1067">
        <v>867</v>
      </c>
      <c r="J7" s="1067">
        <v>301891</v>
      </c>
      <c r="K7" s="1067">
        <v>2.0310000000000001</v>
      </c>
      <c r="L7" s="1067">
        <v>1.2270000000000001</v>
      </c>
      <c r="M7" s="1067">
        <v>286377</v>
      </c>
      <c r="N7" s="1067">
        <v>2.141</v>
      </c>
      <c r="O7" s="1067">
        <v>1.2929999999999999</v>
      </c>
    </row>
    <row r="8" spans="1:15" x14ac:dyDescent="0.25">
      <c r="A8" s="1067" t="s">
        <v>203</v>
      </c>
      <c r="B8" s="1067" t="s">
        <v>47</v>
      </c>
      <c r="C8" s="1067" t="s">
        <v>292</v>
      </c>
      <c r="D8" s="1067">
        <v>372</v>
      </c>
      <c r="E8" s="1067">
        <v>356</v>
      </c>
      <c r="F8" s="1067">
        <v>728</v>
      </c>
      <c r="G8" s="1067">
        <v>629</v>
      </c>
      <c r="H8" s="1067">
        <v>336</v>
      </c>
      <c r="I8" s="1067">
        <v>293</v>
      </c>
      <c r="J8" s="1067">
        <v>43788</v>
      </c>
      <c r="K8" s="1067">
        <v>1.663</v>
      </c>
      <c r="L8" s="1067">
        <v>1.4359999999999999</v>
      </c>
      <c r="M8" s="1067">
        <v>41288</v>
      </c>
      <c r="N8" s="1067">
        <v>1.7629999999999999</v>
      </c>
      <c r="O8" s="1067">
        <v>1.5229999999999999</v>
      </c>
    </row>
    <row r="9" spans="1:15" x14ac:dyDescent="0.25">
      <c r="A9" s="1067" t="s">
        <v>203</v>
      </c>
      <c r="B9" s="1067" t="s">
        <v>55</v>
      </c>
      <c r="C9" s="1067" t="s">
        <v>297</v>
      </c>
      <c r="D9" s="1067">
        <v>55</v>
      </c>
      <c r="E9" s="1067">
        <v>168</v>
      </c>
      <c r="F9" s="1067">
        <v>223</v>
      </c>
      <c r="G9" s="1067">
        <v>102</v>
      </c>
      <c r="H9" s="1067">
        <v>60</v>
      </c>
      <c r="I9" s="1067">
        <v>42</v>
      </c>
      <c r="J9" s="1067">
        <v>10950</v>
      </c>
      <c r="K9" s="1067">
        <v>2.0369999999999999</v>
      </c>
      <c r="L9" s="1067">
        <v>0.93200000000000005</v>
      </c>
      <c r="M9" s="1067">
        <v>10166</v>
      </c>
      <c r="N9" s="1067">
        <v>2.194</v>
      </c>
      <c r="O9" s="1067">
        <v>1.0029999999999999</v>
      </c>
    </row>
    <row r="10" spans="1:15" x14ac:dyDescent="0.25">
      <c r="A10" s="1067" t="s">
        <v>202</v>
      </c>
      <c r="B10" s="1067" t="s">
        <v>46</v>
      </c>
      <c r="C10" s="1067" t="s">
        <v>291</v>
      </c>
      <c r="D10" s="1067">
        <v>574</v>
      </c>
      <c r="E10" s="1067">
        <v>527</v>
      </c>
      <c r="F10" s="1067">
        <v>1101</v>
      </c>
      <c r="G10" s="1067">
        <v>909</v>
      </c>
      <c r="H10" s="1067">
        <v>474</v>
      </c>
      <c r="I10" s="1067">
        <v>435</v>
      </c>
      <c r="J10" s="1067">
        <v>38675</v>
      </c>
      <c r="K10" s="1067">
        <v>2.847</v>
      </c>
      <c r="L10" s="1067">
        <v>2.35</v>
      </c>
      <c r="M10" s="1067">
        <v>37069</v>
      </c>
      <c r="N10" s="1067">
        <v>2.97</v>
      </c>
      <c r="O10" s="1067">
        <v>2.452</v>
      </c>
    </row>
    <row r="11" spans="1:15" x14ac:dyDescent="0.25">
      <c r="A11" s="1067" t="s">
        <v>202</v>
      </c>
      <c r="B11" s="1067" t="s">
        <v>49</v>
      </c>
      <c r="C11" s="1067" t="s">
        <v>293</v>
      </c>
      <c r="D11" s="1067">
        <v>932</v>
      </c>
      <c r="E11" s="1067">
        <v>1137</v>
      </c>
      <c r="F11" s="1067">
        <v>2069</v>
      </c>
      <c r="G11" s="1067">
        <v>1485</v>
      </c>
      <c r="H11" s="1067">
        <v>954</v>
      </c>
      <c r="I11" s="1067">
        <v>531</v>
      </c>
      <c r="J11" s="1067">
        <v>67590</v>
      </c>
      <c r="K11" s="1067">
        <v>3.0609999999999999</v>
      </c>
      <c r="L11" s="1067">
        <v>2.1970000000000001</v>
      </c>
      <c r="M11" s="1067">
        <v>63189</v>
      </c>
      <c r="N11" s="1067">
        <v>3.274</v>
      </c>
      <c r="O11" s="1067">
        <v>2.35</v>
      </c>
    </row>
    <row r="12" spans="1:15" x14ac:dyDescent="0.25">
      <c r="A12" s="1067" t="s">
        <v>202</v>
      </c>
      <c r="B12" s="1067" t="s">
        <v>52</v>
      </c>
      <c r="C12" s="1067" t="s">
        <v>295</v>
      </c>
      <c r="D12" s="1067">
        <v>443</v>
      </c>
      <c r="E12" s="1067">
        <v>1554</v>
      </c>
      <c r="F12" s="1067">
        <v>1997</v>
      </c>
      <c r="G12" s="1067">
        <v>671</v>
      </c>
      <c r="H12" s="1067">
        <v>437</v>
      </c>
      <c r="I12" s="1067">
        <v>234</v>
      </c>
      <c r="J12" s="1067">
        <v>70828</v>
      </c>
      <c r="K12" s="1067">
        <v>2.82</v>
      </c>
      <c r="L12" s="1067">
        <v>0.94699999999999995</v>
      </c>
      <c r="M12" s="1067">
        <v>66545</v>
      </c>
      <c r="N12" s="1067">
        <v>3.0009999999999999</v>
      </c>
      <c r="O12" s="1067">
        <v>1.008</v>
      </c>
    </row>
    <row r="13" spans="1:15" x14ac:dyDescent="0.25">
      <c r="A13" s="1067" t="s">
        <v>202</v>
      </c>
      <c r="B13" s="1067" t="s">
        <v>53</v>
      </c>
      <c r="C13" s="1067" t="s">
        <v>305</v>
      </c>
      <c r="D13" s="1067">
        <v>794</v>
      </c>
      <c r="E13" s="1067">
        <v>944</v>
      </c>
      <c r="F13" s="1067">
        <v>1738</v>
      </c>
      <c r="G13" s="1067">
        <v>1264</v>
      </c>
      <c r="H13" s="1067">
        <v>865</v>
      </c>
      <c r="I13" s="1067">
        <v>399</v>
      </c>
      <c r="J13" s="1067">
        <v>84997</v>
      </c>
      <c r="K13" s="1067">
        <v>2.0449999999999999</v>
      </c>
      <c r="L13" s="1067">
        <v>1.4870000000000001</v>
      </c>
      <c r="M13" s="1067">
        <v>83245</v>
      </c>
      <c r="N13" s="1067">
        <v>2.0880000000000001</v>
      </c>
      <c r="O13" s="1067">
        <v>1.518</v>
      </c>
    </row>
    <row r="14" spans="1:15" x14ac:dyDescent="0.25">
      <c r="A14" s="1067" t="s">
        <v>202</v>
      </c>
      <c r="B14" s="1067" t="s">
        <v>57</v>
      </c>
      <c r="C14" s="1067" t="s">
        <v>299</v>
      </c>
      <c r="D14" s="1067">
        <v>1189</v>
      </c>
      <c r="E14" s="1067">
        <v>2143</v>
      </c>
      <c r="F14" s="1067">
        <v>3332</v>
      </c>
      <c r="G14" s="1067">
        <v>1907</v>
      </c>
      <c r="H14" s="1067">
        <v>1396</v>
      </c>
      <c r="I14" s="1067">
        <v>511</v>
      </c>
      <c r="J14" s="1067">
        <v>147849</v>
      </c>
      <c r="K14" s="1067">
        <v>2.254</v>
      </c>
      <c r="L14" s="1067">
        <v>1.29</v>
      </c>
      <c r="M14" s="1067">
        <v>143313</v>
      </c>
      <c r="N14" s="1067">
        <v>2.3250000000000002</v>
      </c>
      <c r="O14" s="1067">
        <v>1.331</v>
      </c>
    </row>
    <row r="15" spans="1:15" x14ac:dyDescent="0.25">
      <c r="A15" s="1067" t="s">
        <v>273</v>
      </c>
      <c r="B15" s="1067" t="s">
        <v>32</v>
      </c>
      <c r="C15" s="1067" t="s">
        <v>302</v>
      </c>
      <c r="D15" s="1067">
        <v>739</v>
      </c>
      <c r="E15" s="1067">
        <v>1595</v>
      </c>
      <c r="F15" s="1067">
        <v>2334</v>
      </c>
      <c r="G15" s="1067">
        <v>1222</v>
      </c>
      <c r="H15" s="1067">
        <v>712</v>
      </c>
      <c r="I15" s="1067">
        <v>510</v>
      </c>
      <c r="J15" s="1067">
        <v>116421</v>
      </c>
      <c r="K15" s="1067">
        <v>2.0049999999999999</v>
      </c>
      <c r="L15" s="1067">
        <v>1.05</v>
      </c>
      <c r="M15" s="1067">
        <v>110296</v>
      </c>
      <c r="N15" s="1067">
        <v>2.1160000000000001</v>
      </c>
      <c r="O15" s="1067">
        <v>1.1080000000000001</v>
      </c>
    </row>
    <row r="16" spans="1:15" x14ac:dyDescent="0.25">
      <c r="A16" s="1067" t="s">
        <v>273</v>
      </c>
      <c r="B16" s="1067" t="s">
        <v>39</v>
      </c>
      <c r="C16" s="1067" t="s">
        <v>311</v>
      </c>
      <c r="D16" s="1067">
        <v>720</v>
      </c>
      <c r="E16" s="1067">
        <v>659</v>
      </c>
      <c r="F16" s="1067">
        <v>1379</v>
      </c>
      <c r="G16" s="1067">
        <v>1148</v>
      </c>
      <c r="H16" s="1067">
        <v>857</v>
      </c>
      <c r="I16" s="1067">
        <v>291</v>
      </c>
      <c r="J16" s="1067">
        <v>46026</v>
      </c>
      <c r="K16" s="1067">
        <v>2.996</v>
      </c>
      <c r="L16" s="1067">
        <v>2.4940000000000002</v>
      </c>
      <c r="M16" s="1067">
        <v>45350</v>
      </c>
      <c r="N16" s="1067">
        <v>3.0409999999999999</v>
      </c>
      <c r="O16" s="1067">
        <v>2.5310000000000001</v>
      </c>
    </row>
    <row r="17" spans="1:15" x14ac:dyDescent="0.25">
      <c r="A17" s="1067" t="s">
        <v>273</v>
      </c>
      <c r="B17" s="1067" t="s">
        <v>60</v>
      </c>
      <c r="C17" s="1067" t="s">
        <v>307</v>
      </c>
      <c r="D17" s="1067">
        <v>972</v>
      </c>
      <c r="E17" s="1067">
        <v>766</v>
      </c>
      <c r="F17" s="1067">
        <v>1738</v>
      </c>
      <c r="G17" s="1067">
        <v>1502</v>
      </c>
      <c r="H17" s="1067">
        <v>837</v>
      </c>
      <c r="I17" s="1067">
        <v>665</v>
      </c>
      <c r="J17" s="1067">
        <v>78604</v>
      </c>
      <c r="K17" s="1067">
        <v>2.2109999999999999</v>
      </c>
      <c r="L17" s="1067">
        <v>1.911</v>
      </c>
      <c r="M17" s="1067">
        <v>76630</v>
      </c>
      <c r="N17" s="1067">
        <v>2.2679999999999998</v>
      </c>
      <c r="O17" s="1067">
        <v>1.96</v>
      </c>
    </row>
    <row r="18" spans="1:15" x14ac:dyDescent="0.25">
      <c r="A18" s="1067" t="s">
        <v>255</v>
      </c>
      <c r="B18" s="1067" t="s">
        <v>39</v>
      </c>
      <c r="C18" s="1067" t="s">
        <v>311</v>
      </c>
      <c r="D18" s="1067">
        <v>721</v>
      </c>
      <c r="E18" s="1067">
        <v>684</v>
      </c>
      <c r="F18" s="1067">
        <v>1405</v>
      </c>
      <c r="G18" s="1067">
        <v>1112</v>
      </c>
      <c r="H18" s="1067">
        <v>764</v>
      </c>
      <c r="I18" s="1067">
        <v>348</v>
      </c>
      <c r="J18" s="1067">
        <v>46430</v>
      </c>
      <c r="K18" s="1067">
        <v>3.0259999999999998</v>
      </c>
      <c r="L18" s="1067">
        <v>2.395</v>
      </c>
      <c r="M18" s="1067">
        <v>45690</v>
      </c>
      <c r="N18" s="1067">
        <v>3.0750000000000002</v>
      </c>
      <c r="O18" s="1067">
        <v>2.4340000000000002</v>
      </c>
    </row>
    <row r="19" spans="1:15" x14ac:dyDescent="0.25">
      <c r="A19" s="1067" t="s">
        <v>254</v>
      </c>
      <c r="B19" s="1067" t="s">
        <v>258</v>
      </c>
      <c r="C19" s="1067" t="s">
        <v>304</v>
      </c>
      <c r="D19" s="1067">
        <v>1893</v>
      </c>
      <c r="E19" s="1067">
        <v>2567</v>
      </c>
      <c r="F19" s="1067">
        <v>4460</v>
      </c>
      <c r="G19" s="1067">
        <v>2658</v>
      </c>
      <c r="H19" s="1067">
        <v>1882</v>
      </c>
      <c r="I19" s="1067">
        <v>776</v>
      </c>
      <c r="J19" s="1067">
        <v>249810</v>
      </c>
      <c r="K19" s="1067">
        <v>1.7849999999999999</v>
      </c>
      <c r="L19" s="1067">
        <v>1.0640000000000001</v>
      </c>
      <c r="M19" s="1067">
        <v>235771</v>
      </c>
      <c r="N19" s="1067">
        <v>1.8919999999999999</v>
      </c>
      <c r="O19" s="1067">
        <v>1.127</v>
      </c>
    </row>
    <row r="20" spans="1:15" x14ac:dyDescent="0.25">
      <c r="A20" s="1067" t="s">
        <v>254</v>
      </c>
      <c r="B20" s="1067" t="s">
        <v>46</v>
      </c>
      <c r="C20" s="1067" t="s">
        <v>291</v>
      </c>
      <c r="D20" s="1067">
        <v>394</v>
      </c>
      <c r="E20" s="1067">
        <v>606</v>
      </c>
      <c r="F20" s="1067">
        <v>1000</v>
      </c>
      <c r="G20" s="1067">
        <v>620</v>
      </c>
      <c r="H20" s="1067">
        <v>353</v>
      </c>
      <c r="I20" s="1067">
        <v>267</v>
      </c>
      <c r="J20" s="1067">
        <v>40612</v>
      </c>
      <c r="K20" s="1067">
        <v>2.4620000000000002</v>
      </c>
      <c r="L20" s="1067">
        <v>1.5269999999999999</v>
      </c>
      <c r="M20" s="1067">
        <v>39122</v>
      </c>
      <c r="N20" s="1067">
        <v>2.556</v>
      </c>
      <c r="O20" s="1067">
        <v>1.585</v>
      </c>
    </row>
    <row r="21" spans="1:15" x14ac:dyDescent="0.25">
      <c r="A21" s="1067" t="s">
        <v>254</v>
      </c>
      <c r="B21" s="1067" t="s">
        <v>49</v>
      </c>
      <c r="C21" s="1067" t="s">
        <v>293</v>
      </c>
      <c r="D21" s="1067">
        <v>701</v>
      </c>
      <c r="E21" s="1067">
        <v>879</v>
      </c>
      <c r="F21" s="1067">
        <v>1580</v>
      </c>
      <c r="G21" s="1067">
        <v>1174</v>
      </c>
      <c r="H21" s="1067">
        <v>725</v>
      </c>
      <c r="I21" s="1067">
        <v>449</v>
      </c>
      <c r="J21" s="1067">
        <v>68158</v>
      </c>
      <c r="K21" s="1067">
        <v>2.3180000000000001</v>
      </c>
      <c r="L21" s="1067">
        <v>1.722</v>
      </c>
      <c r="M21" s="1067">
        <v>63935</v>
      </c>
      <c r="N21" s="1067">
        <v>2.4710000000000001</v>
      </c>
      <c r="O21" s="1067">
        <v>1.8360000000000001</v>
      </c>
    </row>
    <row r="22" spans="1:15" x14ac:dyDescent="0.25">
      <c r="A22" s="1067" t="s">
        <v>254</v>
      </c>
      <c r="B22" s="1067" t="s">
        <v>53</v>
      </c>
      <c r="C22" s="1067" t="s">
        <v>305</v>
      </c>
      <c r="D22" s="1067">
        <v>848</v>
      </c>
      <c r="E22" s="1067">
        <v>1039</v>
      </c>
      <c r="F22" s="1067">
        <v>1887</v>
      </c>
      <c r="G22" s="1067">
        <v>1278</v>
      </c>
      <c r="H22" s="1067">
        <v>803</v>
      </c>
      <c r="I22" s="1067">
        <v>475</v>
      </c>
      <c r="J22" s="1067">
        <v>87265</v>
      </c>
      <c r="K22" s="1067">
        <v>2.1619999999999999</v>
      </c>
      <c r="L22" s="1067">
        <v>1.4650000000000001</v>
      </c>
      <c r="M22" s="1067">
        <v>85745</v>
      </c>
      <c r="N22" s="1067">
        <v>2.2010000000000001</v>
      </c>
      <c r="O22" s="1067">
        <v>1.49</v>
      </c>
    </row>
    <row r="23" spans="1:15" x14ac:dyDescent="0.25">
      <c r="A23" s="1067" t="s">
        <v>254</v>
      </c>
      <c r="B23" s="1067" t="s">
        <v>57</v>
      </c>
      <c r="C23" s="1067" t="s">
        <v>299</v>
      </c>
      <c r="D23" s="1067">
        <v>1352</v>
      </c>
      <c r="E23" s="1067">
        <v>2193</v>
      </c>
      <c r="F23" s="1067">
        <v>3545</v>
      </c>
      <c r="G23" s="1067">
        <v>2147</v>
      </c>
      <c r="H23" s="1067">
        <v>1663</v>
      </c>
      <c r="I23" s="1067">
        <v>484</v>
      </c>
      <c r="J23" s="1067">
        <v>151352</v>
      </c>
      <c r="K23" s="1067">
        <v>2.3420000000000001</v>
      </c>
      <c r="L23" s="1067">
        <v>1.419</v>
      </c>
      <c r="M23" s="1067">
        <v>146173</v>
      </c>
      <c r="N23" s="1067">
        <v>2.4249999999999998</v>
      </c>
      <c r="O23" s="1067">
        <v>1.4690000000000001</v>
      </c>
    </row>
    <row r="24" spans="1:15" x14ac:dyDescent="0.25">
      <c r="A24" s="1067" t="s">
        <v>851</v>
      </c>
      <c r="B24" s="1067" t="s">
        <v>33</v>
      </c>
      <c r="C24" s="1067" t="s">
        <v>308</v>
      </c>
      <c r="D24" s="1067">
        <v>440</v>
      </c>
      <c r="E24" s="1067">
        <v>1358</v>
      </c>
      <c r="F24" s="1067">
        <v>1798</v>
      </c>
      <c r="G24" s="1067">
        <v>677</v>
      </c>
      <c r="H24" s="1067">
        <v>474</v>
      </c>
      <c r="I24" s="1067">
        <v>203</v>
      </c>
      <c r="J24" s="1067">
        <v>56928</v>
      </c>
      <c r="K24" s="1067">
        <v>3.1579999999999999</v>
      </c>
      <c r="L24" s="1067">
        <v>1.1890000000000001</v>
      </c>
      <c r="M24" s="1067">
        <v>54221</v>
      </c>
      <c r="N24" s="1067">
        <v>3.3159999999999998</v>
      </c>
      <c r="O24" s="1067">
        <v>1.2490000000000001</v>
      </c>
    </row>
    <row r="25" spans="1:15" x14ac:dyDescent="0.25">
      <c r="A25" s="1067" t="s">
        <v>851</v>
      </c>
      <c r="B25" s="1067" t="s">
        <v>37</v>
      </c>
      <c r="C25" s="1067" t="s">
        <v>309</v>
      </c>
      <c r="D25" s="1067">
        <v>577</v>
      </c>
      <c r="E25" s="1067">
        <v>2144</v>
      </c>
      <c r="F25" s="1067">
        <v>2721</v>
      </c>
      <c r="G25" s="1067">
        <v>837</v>
      </c>
      <c r="H25" s="1067">
        <v>510</v>
      </c>
      <c r="I25" s="1067">
        <v>327</v>
      </c>
      <c r="J25" s="1067">
        <v>74891</v>
      </c>
      <c r="K25" s="1067">
        <v>3.633</v>
      </c>
      <c r="L25" s="1067">
        <v>1.1180000000000001</v>
      </c>
      <c r="M25" s="1067">
        <v>70685</v>
      </c>
      <c r="N25" s="1067">
        <v>3.8490000000000002</v>
      </c>
      <c r="O25" s="1067">
        <v>1.1839999999999999</v>
      </c>
    </row>
    <row r="26" spans="1:15" x14ac:dyDescent="0.25">
      <c r="A26" s="1067" t="s">
        <v>851</v>
      </c>
      <c r="B26" s="1067" t="s">
        <v>40</v>
      </c>
      <c r="C26" s="1067" t="s">
        <v>285</v>
      </c>
      <c r="D26" s="1067">
        <v>372</v>
      </c>
      <c r="E26" s="1067">
        <v>530</v>
      </c>
      <c r="F26" s="1067">
        <v>902</v>
      </c>
      <c r="G26" s="1067">
        <v>599</v>
      </c>
      <c r="H26" s="1067">
        <v>448</v>
      </c>
      <c r="I26" s="1067">
        <v>151</v>
      </c>
      <c r="J26" s="1067">
        <v>48851</v>
      </c>
      <c r="K26" s="1067">
        <v>1.8460000000000001</v>
      </c>
      <c r="L26" s="1067">
        <v>1.226</v>
      </c>
      <c r="M26" s="1067">
        <v>46771</v>
      </c>
      <c r="N26" s="1067">
        <v>1.929</v>
      </c>
      <c r="O26" s="1067">
        <v>1.2809999999999999</v>
      </c>
    </row>
    <row r="27" spans="1:15" x14ac:dyDescent="0.25">
      <c r="A27" s="1067" t="s">
        <v>851</v>
      </c>
      <c r="B27" s="1067" t="s">
        <v>45</v>
      </c>
      <c r="C27" s="1067" t="s">
        <v>290</v>
      </c>
      <c r="D27" s="1067">
        <v>631</v>
      </c>
      <c r="E27" s="1067">
        <v>772</v>
      </c>
      <c r="F27" s="1067">
        <v>1403</v>
      </c>
      <c r="G27" s="1067">
        <v>941</v>
      </c>
      <c r="H27" s="1067">
        <v>603</v>
      </c>
      <c r="I27" s="1067">
        <v>338</v>
      </c>
      <c r="J27" s="1067">
        <v>38977</v>
      </c>
      <c r="K27" s="1067">
        <v>3.6</v>
      </c>
      <c r="L27" s="1067">
        <v>2.4140000000000001</v>
      </c>
      <c r="M27" s="1067">
        <v>37614</v>
      </c>
      <c r="N27" s="1067">
        <v>3.73</v>
      </c>
      <c r="O27" s="1067">
        <v>2.5019999999999998</v>
      </c>
    </row>
    <row r="28" spans="1:15" x14ac:dyDescent="0.25">
      <c r="A28" s="1067" t="s">
        <v>851</v>
      </c>
      <c r="B28" s="1067" t="s">
        <v>50</v>
      </c>
      <c r="C28" s="1067" t="s">
        <v>310</v>
      </c>
      <c r="D28" s="1067">
        <v>1327</v>
      </c>
      <c r="E28" s="1067">
        <v>2916</v>
      </c>
      <c r="F28" s="1067">
        <v>4243</v>
      </c>
      <c r="G28" s="1067">
        <v>2152</v>
      </c>
      <c r="H28" s="1067">
        <v>1741</v>
      </c>
      <c r="I28" s="1067">
        <v>411</v>
      </c>
      <c r="J28" s="1067">
        <v>156694</v>
      </c>
      <c r="K28" s="1067">
        <v>2.7080000000000002</v>
      </c>
      <c r="L28" s="1067">
        <v>1.373</v>
      </c>
      <c r="M28" s="1067">
        <v>152443</v>
      </c>
      <c r="N28" s="1067">
        <v>2.7829999999999999</v>
      </c>
      <c r="O28" s="1067">
        <v>1.4119999999999999</v>
      </c>
    </row>
    <row r="29" spans="1:15" x14ac:dyDescent="0.25">
      <c r="A29" s="1067" t="s">
        <v>851</v>
      </c>
      <c r="B29" s="1067" t="s">
        <v>54</v>
      </c>
      <c r="C29" s="1067" t="s">
        <v>296</v>
      </c>
      <c r="D29" s="1067">
        <v>869</v>
      </c>
      <c r="E29" s="1067">
        <v>1387</v>
      </c>
      <c r="F29" s="1067">
        <v>2256</v>
      </c>
      <c r="G29" s="1067">
        <v>1430</v>
      </c>
      <c r="H29" s="1067">
        <v>798</v>
      </c>
      <c r="I29" s="1067">
        <v>632</v>
      </c>
      <c r="J29" s="1067">
        <v>58671</v>
      </c>
      <c r="K29" s="1067">
        <v>3.8450000000000002</v>
      </c>
      <c r="L29" s="1067">
        <v>2.4369999999999998</v>
      </c>
      <c r="M29" s="1067">
        <v>54715</v>
      </c>
      <c r="N29" s="1067">
        <v>4.1230000000000002</v>
      </c>
      <c r="O29" s="1067">
        <v>2.6139999999999999</v>
      </c>
    </row>
    <row r="30" spans="1:15" x14ac:dyDescent="0.25">
      <c r="A30" s="1067" t="s">
        <v>204</v>
      </c>
      <c r="B30" s="1067" t="s">
        <v>31</v>
      </c>
      <c r="C30" s="1067" t="s">
        <v>301</v>
      </c>
      <c r="D30" s="1067">
        <v>492</v>
      </c>
      <c r="E30" s="1067">
        <v>1898</v>
      </c>
      <c r="F30" s="1067">
        <v>2390</v>
      </c>
      <c r="G30" s="1067">
        <v>664</v>
      </c>
      <c r="H30" s="1067">
        <v>419</v>
      </c>
      <c r="I30" s="1067">
        <v>245</v>
      </c>
      <c r="J30" s="1067">
        <v>112713</v>
      </c>
      <c r="K30" s="1067">
        <v>2.12</v>
      </c>
      <c r="L30" s="1067">
        <v>0.58899999999999997</v>
      </c>
      <c r="M30" s="1067">
        <v>105047</v>
      </c>
      <c r="N30" s="1067">
        <v>2.2749999999999999</v>
      </c>
      <c r="O30" s="1067">
        <v>0.63200000000000001</v>
      </c>
    </row>
    <row r="31" spans="1:15" x14ac:dyDescent="0.25">
      <c r="A31" s="1067" t="s">
        <v>204</v>
      </c>
      <c r="B31" s="1067" t="s">
        <v>38</v>
      </c>
      <c r="C31" s="1067" t="s">
        <v>284</v>
      </c>
      <c r="D31" s="1067">
        <v>582</v>
      </c>
      <c r="E31" s="1067">
        <v>1242</v>
      </c>
      <c r="F31" s="1067">
        <v>1824</v>
      </c>
      <c r="G31" s="1067">
        <v>960</v>
      </c>
      <c r="H31" s="1067">
        <v>662</v>
      </c>
      <c r="I31" s="1067">
        <v>298</v>
      </c>
      <c r="J31" s="1067">
        <v>57172</v>
      </c>
      <c r="K31" s="1067">
        <v>3.19</v>
      </c>
      <c r="L31" s="1067">
        <v>1.679</v>
      </c>
      <c r="M31" s="1067">
        <v>54453</v>
      </c>
      <c r="N31" s="1067">
        <v>3.35</v>
      </c>
      <c r="O31" s="1067">
        <v>1.7629999999999999</v>
      </c>
    </row>
    <row r="32" spans="1:15" x14ac:dyDescent="0.25">
      <c r="A32" s="1067" t="s">
        <v>204</v>
      </c>
      <c r="B32" s="1067" t="s">
        <v>41</v>
      </c>
      <c r="C32" s="1067" t="s">
        <v>286</v>
      </c>
      <c r="D32" s="1067">
        <v>492</v>
      </c>
      <c r="E32" s="1067">
        <v>448</v>
      </c>
      <c r="F32" s="1067">
        <v>940</v>
      </c>
      <c r="G32" s="1067">
        <v>801</v>
      </c>
      <c r="H32" s="1067">
        <v>603</v>
      </c>
      <c r="I32" s="1067">
        <v>198</v>
      </c>
      <c r="J32" s="1067">
        <v>37639</v>
      </c>
      <c r="K32" s="1067">
        <v>2.4969999999999999</v>
      </c>
      <c r="L32" s="1067">
        <v>2.1280000000000001</v>
      </c>
      <c r="M32" s="1067">
        <v>37804</v>
      </c>
      <c r="N32" s="1067">
        <v>2.4870000000000001</v>
      </c>
      <c r="O32" s="1067">
        <v>2.1190000000000002</v>
      </c>
    </row>
    <row r="33" spans="1:15" x14ac:dyDescent="0.25">
      <c r="A33" s="1067" t="s">
        <v>204</v>
      </c>
      <c r="B33" s="1067" t="s">
        <v>49</v>
      </c>
      <c r="C33" s="1067" t="s">
        <v>293</v>
      </c>
      <c r="D33" s="1067">
        <v>958</v>
      </c>
      <c r="E33" s="1067">
        <v>660</v>
      </c>
      <c r="F33" s="1067">
        <v>1618</v>
      </c>
      <c r="G33" s="1067">
        <v>1633</v>
      </c>
      <c r="H33" s="1067">
        <v>972</v>
      </c>
      <c r="I33" s="1067">
        <v>661</v>
      </c>
      <c r="J33" s="1067">
        <v>67082</v>
      </c>
      <c r="K33" s="1067">
        <v>2.4119999999999999</v>
      </c>
      <c r="L33" s="1067">
        <v>2.4340000000000002</v>
      </c>
      <c r="M33" s="1067">
        <v>62613</v>
      </c>
      <c r="N33" s="1067">
        <v>2.5840000000000001</v>
      </c>
      <c r="O33" s="1067">
        <v>2.6080000000000001</v>
      </c>
    </row>
    <row r="34" spans="1:15" x14ac:dyDescent="0.25">
      <c r="A34" s="1067" t="s">
        <v>203</v>
      </c>
      <c r="B34" s="1067" t="s">
        <v>35</v>
      </c>
      <c r="C34" s="1067" t="s">
        <v>282</v>
      </c>
      <c r="D34" s="1067">
        <v>273</v>
      </c>
      <c r="E34" s="1067">
        <v>511</v>
      </c>
      <c r="F34" s="1067">
        <v>784</v>
      </c>
      <c r="G34" s="1067">
        <v>401</v>
      </c>
      <c r="H34" s="1067">
        <v>314</v>
      </c>
      <c r="I34" s="1067">
        <v>87</v>
      </c>
      <c r="J34" s="1067">
        <v>23995</v>
      </c>
      <c r="K34" s="1067">
        <v>3.2669999999999999</v>
      </c>
      <c r="L34" s="1067">
        <v>1.671</v>
      </c>
      <c r="M34" s="1067">
        <v>23217</v>
      </c>
      <c r="N34" s="1067">
        <v>3.3769999999999998</v>
      </c>
      <c r="O34" s="1067">
        <v>1.7270000000000001</v>
      </c>
    </row>
    <row r="35" spans="1:15" x14ac:dyDescent="0.25">
      <c r="A35" s="1067" t="s">
        <v>203</v>
      </c>
      <c r="B35" s="1067" t="s">
        <v>41</v>
      </c>
      <c r="C35" s="1067" t="s">
        <v>286</v>
      </c>
      <c r="D35" s="1067">
        <v>546</v>
      </c>
      <c r="E35" s="1067">
        <v>689</v>
      </c>
      <c r="F35" s="1067">
        <v>1235</v>
      </c>
      <c r="G35" s="1067">
        <v>816</v>
      </c>
      <c r="H35" s="1067">
        <v>549</v>
      </c>
      <c r="I35" s="1067">
        <v>267</v>
      </c>
      <c r="J35" s="1067">
        <v>37852</v>
      </c>
      <c r="K35" s="1067">
        <v>3.2629999999999999</v>
      </c>
      <c r="L35" s="1067">
        <v>2.1560000000000001</v>
      </c>
      <c r="M35" s="1067">
        <v>38048</v>
      </c>
      <c r="N35" s="1067">
        <v>3.246</v>
      </c>
      <c r="O35" s="1067">
        <v>2.145</v>
      </c>
    </row>
    <row r="36" spans="1:15" x14ac:dyDescent="0.25">
      <c r="A36" s="1067" t="s">
        <v>203</v>
      </c>
      <c r="B36" s="1067" t="s">
        <v>48</v>
      </c>
      <c r="C36" s="1067" t="s">
        <v>287</v>
      </c>
      <c r="D36" s="1067">
        <v>93</v>
      </c>
      <c r="E36" s="1067">
        <v>199</v>
      </c>
      <c r="F36" s="1067">
        <v>292</v>
      </c>
      <c r="G36" s="1067">
        <v>146</v>
      </c>
      <c r="H36" s="1067">
        <v>116</v>
      </c>
      <c r="I36" s="1067">
        <v>30</v>
      </c>
      <c r="J36" s="1067">
        <v>14520</v>
      </c>
      <c r="K36" s="1067">
        <v>2.0110000000000001</v>
      </c>
      <c r="L36" s="1067">
        <v>1.006</v>
      </c>
      <c r="M36" s="1067">
        <v>12920</v>
      </c>
      <c r="N36" s="1067">
        <v>2.2599999999999998</v>
      </c>
      <c r="O36" s="1067">
        <v>1.1299999999999999</v>
      </c>
    </row>
    <row r="37" spans="1:15" x14ac:dyDescent="0.25">
      <c r="A37" s="1067" t="s">
        <v>202</v>
      </c>
      <c r="B37" s="1067" t="s">
        <v>44</v>
      </c>
      <c r="C37" s="1067" t="s">
        <v>289</v>
      </c>
      <c r="D37" s="1067">
        <v>1073</v>
      </c>
      <c r="E37" s="1067">
        <v>2605</v>
      </c>
      <c r="F37" s="1067">
        <v>3678</v>
      </c>
      <c r="G37" s="1067">
        <v>1751</v>
      </c>
      <c r="H37" s="1067">
        <v>1225</v>
      </c>
      <c r="I37" s="1067">
        <v>526</v>
      </c>
      <c r="J37" s="1067">
        <v>115538</v>
      </c>
      <c r="K37" s="1067">
        <v>3.1829999999999998</v>
      </c>
      <c r="L37" s="1067">
        <v>1.516</v>
      </c>
      <c r="M37" s="1067">
        <v>106834</v>
      </c>
      <c r="N37" s="1067">
        <v>3.4430000000000001</v>
      </c>
      <c r="O37" s="1067">
        <v>1.639</v>
      </c>
    </row>
    <row r="38" spans="1:15" x14ac:dyDescent="0.25">
      <c r="A38" s="1067" t="s">
        <v>273</v>
      </c>
      <c r="B38" s="1067" t="s">
        <v>33</v>
      </c>
      <c r="C38" s="1067" t="s">
        <v>308</v>
      </c>
      <c r="D38" s="1067">
        <v>499</v>
      </c>
      <c r="E38" s="1067">
        <v>1528</v>
      </c>
      <c r="F38" s="1067">
        <v>2027</v>
      </c>
      <c r="G38" s="1067">
        <v>727</v>
      </c>
      <c r="H38" s="1067">
        <v>450</v>
      </c>
      <c r="I38" s="1067">
        <v>277</v>
      </c>
      <c r="J38" s="1067">
        <v>55872</v>
      </c>
      <c r="K38" s="1067">
        <v>3.6280000000000001</v>
      </c>
      <c r="L38" s="1067">
        <v>1.3009999999999999</v>
      </c>
      <c r="M38" s="1067">
        <v>53333</v>
      </c>
      <c r="N38" s="1067">
        <v>3.8010000000000002</v>
      </c>
      <c r="O38" s="1067">
        <v>1.363</v>
      </c>
    </row>
    <row r="39" spans="1:15" x14ac:dyDescent="0.25">
      <c r="A39" s="1067" t="s">
        <v>273</v>
      </c>
      <c r="B39" s="1067" t="s">
        <v>53</v>
      </c>
      <c r="C39" s="1067" t="s">
        <v>305</v>
      </c>
      <c r="D39" s="1067">
        <v>1030</v>
      </c>
      <c r="E39" s="1067">
        <v>1105</v>
      </c>
      <c r="F39" s="1067">
        <v>2135</v>
      </c>
      <c r="G39" s="1067">
        <v>1579</v>
      </c>
      <c r="H39" s="1067">
        <v>905</v>
      </c>
      <c r="I39" s="1067">
        <v>674</v>
      </c>
      <c r="J39" s="1067">
        <v>85724</v>
      </c>
      <c r="K39" s="1067">
        <v>2.4910000000000001</v>
      </c>
      <c r="L39" s="1067">
        <v>1.8420000000000001</v>
      </c>
      <c r="M39" s="1067">
        <v>84025</v>
      </c>
      <c r="N39" s="1067">
        <v>2.5409999999999999</v>
      </c>
      <c r="O39" s="1067">
        <v>1.879</v>
      </c>
    </row>
    <row r="40" spans="1:15" x14ac:dyDescent="0.25">
      <c r="A40" s="1067" t="s">
        <v>255</v>
      </c>
      <c r="B40" s="1067" t="s">
        <v>258</v>
      </c>
      <c r="C40" s="1067" t="s">
        <v>304</v>
      </c>
      <c r="D40" s="1067">
        <v>2302</v>
      </c>
      <c r="E40" s="1067">
        <v>2298</v>
      </c>
      <c r="F40" s="1067">
        <v>4600</v>
      </c>
      <c r="G40" s="1067">
        <v>3197</v>
      </c>
      <c r="H40" s="1067">
        <v>2309</v>
      </c>
      <c r="I40" s="1067">
        <v>888</v>
      </c>
      <c r="J40" s="1067">
        <v>246818</v>
      </c>
      <c r="K40" s="1067">
        <v>1.8640000000000001</v>
      </c>
      <c r="L40" s="1067">
        <v>1.2949999999999999</v>
      </c>
      <c r="M40" s="1067">
        <v>233369</v>
      </c>
      <c r="N40" s="1067">
        <v>1.9710000000000001</v>
      </c>
      <c r="O40" s="1067">
        <v>1.37</v>
      </c>
    </row>
    <row r="41" spans="1:15" x14ac:dyDescent="0.25">
      <c r="A41" s="1067" t="s">
        <v>255</v>
      </c>
      <c r="B41" s="1067" t="s">
        <v>43</v>
      </c>
      <c r="C41" s="1067" t="s">
        <v>430</v>
      </c>
      <c r="D41" s="1067">
        <v>3137</v>
      </c>
      <c r="E41" s="1067">
        <v>3403</v>
      </c>
      <c r="F41" s="1067">
        <v>6540</v>
      </c>
      <c r="G41" s="1067">
        <v>4947</v>
      </c>
      <c r="H41" s="1067">
        <v>3292</v>
      </c>
      <c r="I41" s="1067">
        <v>1655</v>
      </c>
      <c r="J41" s="1067">
        <v>175915</v>
      </c>
      <c r="K41" s="1067">
        <v>3.718</v>
      </c>
      <c r="L41" s="1067">
        <v>2.8119999999999998</v>
      </c>
      <c r="M41" s="1067">
        <v>166960</v>
      </c>
      <c r="N41" s="1067">
        <v>3.9169999999999998</v>
      </c>
      <c r="O41" s="1067">
        <v>2.9630000000000001</v>
      </c>
    </row>
    <row r="42" spans="1:15" x14ac:dyDescent="0.25">
      <c r="A42" s="1067" t="s">
        <v>255</v>
      </c>
      <c r="B42" s="1067" t="s">
        <v>51</v>
      </c>
      <c r="C42" s="1067" t="s">
        <v>294</v>
      </c>
      <c r="D42" s="1067">
        <v>126</v>
      </c>
      <c r="E42" s="1067">
        <v>250</v>
      </c>
      <c r="F42" s="1067">
        <v>376</v>
      </c>
      <c r="G42" s="1067">
        <v>193</v>
      </c>
      <c r="H42" s="1067">
        <v>88</v>
      </c>
      <c r="I42" s="1067">
        <v>105</v>
      </c>
      <c r="J42" s="1067">
        <v>11192</v>
      </c>
      <c r="K42" s="1067">
        <v>3.36</v>
      </c>
      <c r="L42" s="1067">
        <v>1.724</v>
      </c>
      <c r="M42" s="1067">
        <v>10385</v>
      </c>
      <c r="N42" s="1067">
        <v>3.621</v>
      </c>
      <c r="O42" s="1067">
        <v>1.8580000000000001</v>
      </c>
    </row>
    <row r="43" spans="1:15" x14ac:dyDescent="0.25">
      <c r="A43" s="1067" t="s">
        <v>255</v>
      </c>
      <c r="B43" s="1067" t="s">
        <v>53</v>
      </c>
      <c r="C43" s="1067" t="s">
        <v>305</v>
      </c>
      <c r="D43" s="1067">
        <v>1137</v>
      </c>
      <c r="E43" s="1067">
        <v>1411</v>
      </c>
      <c r="F43" s="1067">
        <v>2548</v>
      </c>
      <c r="G43" s="1067">
        <v>1733</v>
      </c>
      <c r="H43" s="1067">
        <v>1077</v>
      </c>
      <c r="I43" s="1067">
        <v>656</v>
      </c>
      <c r="J43" s="1067">
        <v>86449</v>
      </c>
      <c r="K43" s="1067">
        <v>2.9470000000000001</v>
      </c>
      <c r="L43" s="1067">
        <v>2.0049999999999999</v>
      </c>
      <c r="M43" s="1067">
        <v>84938</v>
      </c>
      <c r="N43" s="1067">
        <v>3</v>
      </c>
      <c r="O43" s="1067">
        <v>2.04</v>
      </c>
    </row>
    <row r="44" spans="1:15" x14ac:dyDescent="0.25">
      <c r="A44" s="1067" t="s">
        <v>254</v>
      </c>
      <c r="B44" s="1067" t="s">
        <v>40</v>
      </c>
      <c r="C44" s="1067" t="s">
        <v>285</v>
      </c>
      <c r="D44" s="1067">
        <v>440</v>
      </c>
      <c r="E44" s="1067">
        <v>524</v>
      </c>
      <c r="F44" s="1067">
        <v>964</v>
      </c>
      <c r="G44" s="1067">
        <v>723</v>
      </c>
      <c r="H44" s="1067">
        <v>530</v>
      </c>
      <c r="I44" s="1067">
        <v>193</v>
      </c>
      <c r="J44" s="1067">
        <v>48055</v>
      </c>
      <c r="K44" s="1067">
        <v>2.0059999999999998</v>
      </c>
      <c r="L44" s="1067">
        <v>1.5049999999999999</v>
      </c>
      <c r="M44" s="1067">
        <v>45975</v>
      </c>
      <c r="N44" s="1067">
        <v>2.097</v>
      </c>
      <c r="O44" s="1067">
        <v>1.573</v>
      </c>
    </row>
    <row r="45" spans="1:15" x14ac:dyDescent="0.25">
      <c r="A45" s="1067" t="s">
        <v>254</v>
      </c>
      <c r="B45" s="1067" t="s">
        <v>44</v>
      </c>
      <c r="C45" s="1067" t="s">
        <v>289</v>
      </c>
      <c r="D45" s="1067">
        <v>813</v>
      </c>
      <c r="E45" s="1067">
        <v>2969</v>
      </c>
      <c r="F45" s="1067">
        <v>3782</v>
      </c>
      <c r="G45" s="1067">
        <v>1355</v>
      </c>
      <c r="H45" s="1067">
        <v>818</v>
      </c>
      <c r="I45" s="1067">
        <v>537</v>
      </c>
      <c r="J45" s="1067">
        <v>118117</v>
      </c>
      <c r="K45" s="1067">
        <v>3.202</v>
      </c>
      <c r="L45" s="1067">
        <v>1.147</v>
      </c>
      <c r="M45" s="1067">
        <v>108878</v>
      </c>
      <c r="N45" s="1067">
        <v>3.4740000000000002</v>
      </c>
      <c r="O45" s="1067">
        <v>1.2450000000000001</v>
      </c>
    </row>
    <row r="46" spans="1:15" x14ac:dyDescent="0.25">
      <c r="A46" s="1067" t="s">
        <v>254</v>
      </c>
      <c r="B46" s="1067" t="s">
        <v>52</v>
      </c>
      <c r="C46" s="1067" t="s">
        <v>295</v>
      </c>
      <c r="D46" s="1067">
        <v>385</v>
      </c>
      <c r="E46" s="1067">
        <v>1084</v>
      </c>
      <c r="F46" s="1067">
        <v>1469</v>
      </c>
      <c r="G46" s="1067">
        <v>606</v>
      </c>
      <c r="H46" s="1067">
        <v>357</v>
      </c>
      <c r="I46" s="1067">
        <v>249</v>
      </c>
      <c r="J46" s="1067">
        <v>72441</v>
      </c>
      <c r="K46" s="1067">
        <v>2.028</v>
      </c>
      <c r="L46" s="1067">
        <v>0.83699999999999997</v>
      </c>
      <c r="M46" s="1067">
        <v>68196</v>
      </c>
      <c r="N46" s="1067">
        <v>2.1539999999999999</v>
      </c>
      <c r="O46" s="1067">
        <v>0.88900000000000001</v>
      </c>
    </row>
    <row r="47" spans="1:15" x14ac:dyDescent="0.25">
      <c r="A47" s="1067" t="s">
        <v>851</v>
      </c>
      <c r="B47" s="1067" t="s">
        <v>39</v>
      </c>
      <c r="C47" s="1067" t="s">
        <v>311</v>
      </c>
      <c r="D47" s="1067">
        <v>656</v>
      </c>
      <c r="E47" s="1067">
        <v>662</v>
      </c>
      <c r="F47" s="1067">
        <v>1318</v>
      </c>
      <c r="G47" s="1067">
        <v>1057</v>
      </c>
      <c r="H47" s="1067">
        <v>758</v>
      </c>
      <c r="I47" s="1067">
        <v>299</v>
      </c>
      <c r="J47" s="1067">
        <v>46986</v>
      </c>
      <c r="K47" s="1067">
        <v>2.8050000000000002</v>
      </c>
      <c r="L47" s="1067">
        <v>2.25</v>
      </c>
      <c r="M47" s="1067">
        <v>46228</v>
      </c>
      <c r="N47" s="1067">
        <v>2.851</v>
      </c>
      <c r="O47" s="1067">
        <v>2.286</v>
      </c>
    </row>
    <row r="48" spans="1:15" x14ac:dyDescent="0.25">
      <c r="A48" s="1067" t="s">
        <v>851</v>
      </c>
      <c r="B48" s="1067" t="s">
        <v>47</v>
      </c>
      <c r="C48" s="1067" t="s">
        <v>292</v>
      </c>
      <c r="D48" s="1067">
        <v>483</v>
      </c>
      <c r="E48" s="1067">
        <v>1205</v>
      </c>
      <c r="F48" s="1067">
        <v>1688</v>
      </c>
      <c r="G48" s="1067">
        <v>877</v>
      </c>
      <c r="H48" s="1067">
        <v>500</v>
      </c>
      <c r="I48" s="1067">
        <v>377</v>
      </c>
      <c r="J48" s="1067">
        <v>45630</v>
      </c>
      <c r="K48" s="1067">
        <v>3.6989999999999998</v>
      </c>
      <c r="L48" s="1067">
        <v>1.9219999999999999</v>
      </c>
      <c r="M48" s="1067">
        <v>42932</v>
      </c>
      <c r="N48" s="1067">
        <v>3.9319999999999999</v>
      </c>
      <c r="O48" s="1067">
        <v>2.0430000000000001</v>
      </c>
    </row>
    <row r="49" spans="1:15" x14ac:dyDescent="0.25">
      <c r="A49" s="1067" t="s">
        <v>851</v>
      </c>
      <c r="B49" s="1067" t="s">
        <v>51</v>
      </c>
      <c r="C49" s="1067" t="s">
        <v>294</v>
      </c>
      <c r="D49" s="1067">
        <v>122</v>
      </c>
      <c r="E49" s="1067">
        <v>237</v>
      </c>
      <c r="F49" s="1067">
        <v>359</v>
      </c>
      <c r="G49" s="1067">
        <v>211</v>
      </c>
      <c r="H49" s="1067">
        <v>127</v>
      </c>
      <c r="I49" s="1067">
        <v>84</v>
      </c>
      <c r="J49" s="1067">
        <v>11322</v>
      </c>
      <c r="K49" s="1067">
        <v>3.1709999999999998</v>
      </c>
      <c r="L49" s="1067">
        <v>1.8640000000000001</v>
      </c>
      <c r="M49" s="1067">
        <v>10589</v>
      </c>
      <c r="N49" s="1067">
        <v>3.39</v>
      </c>
      <c r="O49" s="1067">
        <v>1.9930000000000001</v>
      </c>
    </row>
    <row r="50" spans="1:15" x14ac:dyDescent="0.25">
      <c r="A50" s="1067" t="s">
        <v>851</v>
      </c>
      <c r="B50" s="1067" t="s">
        <v>60</v>
      </c>
      <c r="C50" s="1067" t="s">
        <v>307</v>
      </c>
      <c r="D50" s="1067">
        <v>658</v>
      </c>
      <c r="E50" s="1067">
        <v>1193</v>
      </c>
      <c r="F50" s="1067">
        <v>1851</v>
      </c>
      <c r="G50" s="1067">
        <v>958</v>
      </c>
      <c r="H50" s="1067">
        <v>631</v>
      </c>
      <c r="I50" s="1067">
        <v>327</v>
      </c>
      <c r="J50" s="1067">
        <v>80911</v>
      </c>
      <c r="K50" s="1067">
        <v>2.2879999999999998</v>
      </c>
      <c r="L50" s="1067">
        <v>1.1839999999999999</v>
      </c>
      <c r="M50" s="1067">
        <v>78966</v>
      </c>
      <c r="N50" s="1067">
        <v>2.3439999999999999</v>
      </c>
      <c r="O50" s="1067">
        <v>1.2130000000000001</v>
      </c>
    </row>
    <row r="51" spans="1:15" x14ac:dyDescent="0.25">
      <c r="A51" s="1067" t="s">
        <v>204</v>
      </c>
      <c r="B51" s="1067" t="s">
        <v>39</v>
      </c>
      <c r="C51" s="1067" t="s">
        <v>311</v>
      </c>
      <c r="D51" s="1067">
        <v>554</v>
      </c>
      <c r="E51" s="1067">
        <v>307</v>
      </c>
      <c r="F51" s="1067">
        <v>861</v>
      </c>
      <c r="G51" s="1067">
        <v>966</v>
      </c>
      <c r="H51" s="1067">
        <v>757</v>
      </c>
      <c r="I51" s="1067">
        <v>209</v>
      </c>
      <c r="J51" s="1067">
        <v>44864</v>
      </c>
      <c r="K51" s="1067">
        <v>1.919</v>
      </c>
      <c r="L51" s="1067">
        <v>2.153</v>
      </c>
      <c r="M51" s="1067">
        <v>44102</v>
      </c>
      <c r="N51" s="1067">
        <v>1.952</v>
      </c>
      <c r="O51" s="1067">
        <v>2.19</v>
      </c>
    </row>
    <row r="52" spans="1:15" x14ac:dyDescent="0.25">
      <c r="A52" s="1067" t="s">
        <v>204</v>
      </c>
      <c r="B52" s="1067" t="s">
        <v>55</v>
      </c>
      <c r="C52" s="1067" t="s">
        <v>297</v>
      </c>
      <c r="D52" s="1067">
        <v>73</v>
      </c>
      <c r="E52" s="1067">
        <v>218</v>
      </c>
      <c r="F52" s="1067">
        <v>291</v>
      </c>
      <c r="G52" s="1067">
        <v>125</v>
      </c>
      <c r="H52" s="1067">
        <v>69</v>
      </c>
      <c r="I52" s="1067">
        <v>56</v>
      </c>
      <c r="J52" s="1067">
        <v>10852</v>
      </c>
      <c r="K52" s="1067">
        <v>2.6819999999999999</v>
      </c>
      <c r="L52" s="1067">
        <v>1.1519999999999999</v>
      </c>
      <c r="M52" s="1067">
        <v>10135</v>
      </c>
      <c r="N52" s="1067">
        <v>2.871</v>
      </c>
      <c r="O52" s="1067">
        <v>1.2330000000000001</v>
      </c>
    </row>
    <row r="53" spans="1:15" x14ac:dyDescent="0.25">
      <c r="A53" s="1067" t="s">
        <v>203</v>
      </c>
      <c r="B53" s="1067" t="s">
        <v>39</v>
      </c>
      <c r="C53" s="1067" t="s">
        <v>311</v>
      </c>
      <c r="D53" s="1067">
        <v>562</v>
      </c>
      <c r="E53" s="1067">
        <v>539</v>
      </c>
      <c r="F53" s="1067">
        <v>1101</v>
      </c>
      <c r="G53" s="1067">
        <v>948</v>
      </c>
      <c r="H53" s="1067">
        <v>734</v>
      </c>
      <c r="I53" s="1067">
        <v>214</v>
      </c>
      <c r="J53" s="1067">
        <v>45281</v>
      </c>
      <c r="K53" s="1067">
        <v>2.431</v>
      </c>
      <c r="L53" s="1067">
        <v>2.0939999999999999</v>
      </c>
      <c r="M53" s="1067">
        <v>44504</v>
      </c>
      <c r="N53" s="1067">
        <v>2.4740000000000002</v>
      </c>
      <c r="O53" s="1067">
        <v>2.13</v>
      </c>
    </row>
    <row r="54" spans="1:15" x14ac:dyDescent="0.25">
      <c r="A54" s="1067" t="s">
        <v>203</v>
      </c>
      <c r="B54" s="1067" t="s">
        <v>50</v>
      </c>
      <c r="C54" s="1067" t="s">
        <v>310</v>
      </c>
      <c r="D54" s="1067">
        <v>1427</v>
      </c>
      <c r="E54" s="1067">
        <v>2067</v>
      </c>
      <c r="F54" s="1067">
        <v>3494</v>
      </c>
      <c r="G54" s="1067">
        <v>2428</v>
      </c>
      <c r="H54" s="1067">
        <v>1929</v>
      </c>
      <c r="I54" s="1067">
        <v>499</v>
      </c>
      <c r="J54" s="1067">
        <v>151424</v>
      </c>
      <c r="K54" s="1067">
        <v>2.3069999999999999</v>
      </c>
      <c r="L54" s="1067">
        <v>1.603</v>
      </c>
      <c r="M54" s="1067">
        <v>148610</v>
      </c>
      <c r="N54" s="1067">
        <v>2.351</v>
      </c>
      <c r="O54" s="1067">
        <v>1.6339999999999999</v>
      </c>
    </row>
    <row r="55" spans="1:15" x14ac:dyDescent="0.25">
      <c r="A55" s="1067" t="s">
        <v>202</v>
      </c>
      <c r="B55" s="1067" t="s">
        <v>31</v>
      </c>
      <c r="C55" s="1067" t="s">
        <v>301</v>
      </c>
      <c r="D55" s="1067">
        <v>572</v>
      </c>
      <c r="E55" s="1067">
        <v>2074</v>
      </c>
      <c r="F55" s="1067">
        <v>2646</v>
      </c>
      <c r="G55" s="1067">
        <v>819</v>
      </c>
      <c r="H55" s="1067">
        <v>538</v>
      </c>
      <c r="I55" s="1067">
        <v>281</v>
      </c>
      <c r="J55" s="1067">
        <v>114234</v>
      </c>
      <c r="K55" s="1067">
        <v>2.3159999999999998</v>
      </c>
      <c r="L55" s="1067">
        <v>0.71699999999999997</v>
      </c>
      <c r="M55" s="1067">
        <v>105311</v>
      </c>
      <c r="N55" s="1067">
        <v>2.5129999999999999</v>
      </c>
      <c r="O55" s="1067">
        <v>0.77800000000000002</v>
      </c>
    </row>
    <row r="56" spans="1:15" x14ac:dyDescent="0.25">
      <c r="A56" s="1067" t="s">
        <v>202</v>
      </c>
      <c r="B56" s="1067" t="s">
        <v>32</v>
      </c>
      <c r="C56" s="1067" t="s">
        <v>302</v>
      </c>
      <c r="D56" s="1067">
        <v>683</v>
      </c>
      <c r="E56" s="1067">
        <v>1249</v>
      </c>
      <c r="F56" s="1067">
        <v>1932</v>
      </c>
      <c r="G56" s="1067">
        <v>1079</v>
      </c>
      <c r="H56" s="1067">
        <v>648</v>
      </c>
      <c r="I56" s="1067">
        <v>431</v>
      </c>
      <c r="J56" s="1067">
        <v>115223</v>
      </c>
      <c r="K56" s="1067">
        <v>1.677</v>
      </c>
      <c r="L56" s="1067">
        <v>0.93600000000000005</v>
      </c>
      <c r="M56" s="1067">
        <v>109631</v>
      </c>
      <c r="N56" s="1067">
        <v>1.762</v>
      </c>
      <c r="O56" s="1067">
        <v>0.98399999999999999</v>
      </c>
    </row>
    <row r="57" spans="1:15" x14ac:dyDescent="0.25">
      <c r="A57" s="1067" t="s">
        <v>202</v>
      </c>
      <c r="B57" s="1067" t="s">
        <v>34</v>
      </c>
      <c r="C57" s="1067" t="s">
        <v>303</v>
      </c>
      <c r="D57" s="1067">
        <v>667</v>
      </c>
      <c r="E57" s="1067">
        <v>980</v>
      </c>
      <c r="F57" s="1067">
        <v>1647</v>
      </c>
      <c r="G57" s="1067">
        <v>1074</v>
      </c>
      <c r="H57" s="1067">
        <v>562</v>
      </c>
      <c r="I57" s="1067">
        <v>512</v>
      </c>
      <c r="J57" s="1067">
        <v>47712</v>
      </c>
      <c r="K57" s="1067">
        <v>3.452</v>
      </c>
      <c r="L57" s="1067">
        <v>2.2509999999999999</v>
      </c>
      <c r="M57" s="1067">
        <v>40938</v>
      </c>
      <c r="N57" s="1067">
        <v>4.0229999999999997</v>
      </c>
      <c r="O57" s="1067">
        <v>2.6230000000000002</v>
      </c>
    </row>
    <row r="58" spans="1:15" x14ac:dyDescent="0.25">
      <c r="A58" s="1067" t="s">
        <v>202</v>
      </c>
      <c r="B58" s="1067" t="s">
        <v>38</v>
      </c>
      <c r="C58" s="1067" t="s">
        <v>284</v>
      </c>
      <c r="D58" s="1067">
        <v>509</v>
      </c>
      <c r="E58" s="1067">
        <v>829</v>
      </c>
      <c r="F58" s="1067">
        <v>1338</v>
      </c>
      <c r="G58" s="1067">
        <v>863</v>
      </c>
      <c r="H58" s="1067">
        <v>543</v>
      </c>
      <c r="I58" s="1067">
        <v>320</v>
      </c>
      <c r="J58" s="1067">
        <v>57654</v>
      </c>
      <c r="K58" s="1067">
        <v>2.3210000000000002</v>
      </c>
      <c r="L58" s="1067">
        <v>1.4970000000000001</v>
      </c>
      <c r="M58" s="1067">
        <v>54570</v>
      </c>
      <c r="N58" s="1067">
        <v>2.452</v>
      </c>
      <c r="O58" s="1067">
        <v>1.581</v>
      </c>
    </row>
    <row r="59" spans="1:15" x14ac:dyDescent="0.25">
      <c r="A59" s="1067" t="s">
        <v>202</v>
      </c>
      <c r="B59" s="1067" t="s">
        <v>56</v>
      </c>
      <c r="C59" s="1067" t="s">
        <v>298</v>
      </c>
      <c r="D59" s="1067">
        <v>657</v>
      </c>
      <c r="E59" s="1067">
        <v>731</v>
      </c>
      <c r="F59" s="1067">
        <v>1388</v>
      </c>
      <c r="G59" s="1067">
        <v>1068</v>
      </c>
      <c r="H59" s="1067">
        <v>688</v>
      </c>
      <c r="I59" s="1067">
        <v>380</v>
      </c>
      <c r="J59" s="1067">
        <v>54635</v>
      </c>
      <c r="K59" s="1067">
        <v>2.54</v>
      </c>
      <c r="L59" s="1067">
        <v>1.9550000000000001</v>
      </c>
      <c r="M59" s="1067">
        <v>51912</v>
      </c>
      <c r="N59" s="1067">
        <v>2.6739999999999999</v>
      </c>
      <c r="O59" s="1067">
        <v>2.0569999999999999</v>
      </c>
    </row>
    <row r="60" spans="1:15" x14ac:dyDescent="0.25">
      <c r="A60" s="1067" t="s">
        <v>202</v>
      </c>
      <c r="B60" s="1067" t="s">
        <v>59</v>
      </c>
      <c r="C60" s="1067" t="s">
        <v>306</v>
      </c>
      <c r="D60" s="1067">
        <v>470</v>
      </c>
      <c r="E60" s="1067">
        <v>934</v>
      </c>
      <c r="F60" s="1067">
        <v>1404</v>
      </c>
      <c r="G60" s="1067">
        <v>740</v>
      </c>
      <c r="H60" s="1067">
        <v>586</v>
      </c>
      <c r="I60" s="1067">
        <v>154</v>
      </c>
      <c r="J60" s="1067">
        <v>45056</v>
      </c>
      <c r="K60" s="1067">
        <v>3.1160000000000001</v>
      </c>
      <c r="L60" s="1067">
        <v>1.6419999999999999</v>
      </c>
      <c r="M60" s="1067">
        <v>42571</v>
      </c>
      <c r="N60" s="1067">
        <v>3.298</v>
      </c>
      <c r="O60" s="1067">
        <v>1.738</v>
      </c>
    </row>
    <row r="61" spans="1:15" x14ac:dyDescent="0.25">
      <c r="A61" s="1067" t="s">
        <v>273</v>
      </c>
      <c r="B61" s="1067" t="s">
        <v>258</v>
      </c>
      <c r="C61" s="1067" t="s">
        <v>304</v>
      </c>
      <c r="D61" s="1067">
        <v>2671</v>
      </c>
      <c r="E61" s="1067">
        <v>2368</v>
      </c>
      <c r="F61" s="1067">
        <v>5039</v>
      </c>
      <c r="G61" s="1067">
        <v>3710</v>
      </c>
      <c r="H61" s="1067">
        <v>2446</v>
      </c>
      <c r="I61" s="1067">
        <v>1264</v>
      </c>
      <c r="J61" s="1067">
        <v>244131</v>
      </c>
      <c r="K61" s="1067">
        <v>2.0640000000000001</v>
      </c>
      <c r="L61" s="1067">
        <v>1.52</v>
      </c>
      <c r="M61" s="1067">
        <v>231383</v>
      </c>
      <c r="N61" s="1067">
        <v>2.1779999999999999</v>
      </c>
      <c r="O61" s="1067">
        <v>1.603</v>
      </c>
    </row>
    <row r="62" spans="1:15" x14ac:dyDescent="0.25">
      <c r="A62" s="1067" t="s">
        <v>273</v>
      </c>
      <c r="B62" s="1067" t="s">
        <v>41</v>
      </c>
      <c r="C62" s="1067" t="s">
        <v>286</v>
      </c>
      <c r="D62" s="1067">
        <v>644</v>
      </c>
      <c r="E62" s="1067">
        <v>916</v>
      </c>
      <c r="F62" s="1067">
        <v>1560</v>
      </c>
      <c r="G62" s="1067">
        <v>960</v>
      </c>
      <c r="H62" s="1067">
        <v>686</v>
      </c>
      <c r="I62" s="1067">
        <v>274</v>
      </c>
      <c r="J62" s="1067">
        <v>38389</v>
      </c>
      <c r="K62" s="1067">
        <v>4.0640000000000001</v>
      </c>
      <c r="L62" s="1067">
        <v>2.5009999999999999</v>
      </c>
      <c r="M62" s="1067">
        <v>38581</v>
      </c>
      <c r="N62" s="1067">
        <v>4.0430000000000001</v>
      </c>
      <c r="O62" s="1067">
        <v>2.488</v>
      </c>
    </row>
    <row r="63" spans="1:15" x14ac:dyDescent="0.25">
      <c r="A63" s="1067" t="s">
        <v>273</v>
      </c>
      <c r="B63" s="1067" t="s">
        <v>51</v>
      </c>
      <c r="C63" s="1067" t="s">
        <v>294</v>
      </c>
      <c r="D63" s="1067">
        <v>116</v>
      </c>
      <c r="E63" s="1067">
        <v>272</v>
      </c>
      <c r="F63" s="1067">
        <v>388</v>
      </c>
      <c r="G63" s="1067">
        <v>180</v>
      </c>
      <c r="H63" s="1067">
        <v>90</v>
      </c>
      <c r="I63" s="1067">
        <v>90</v>
      </c>
      <c r="J63" s="1067">
        <v>11063</v>
      </c>
      <c r="K63" s="1067">
        <v>3.5070000000000001</v>
      </c>
      <c r="L63" s="1067">
        <v>1.627</v>
      </c>
      <c r="M63" s="1067">
        <v>10256</v>
      </c>
      <c r="N63" s="1067">
        <v>3.7829999999999999</v>
      </c>
      <c r="O63" s="1067">
        <v>1.7549999999999999</v>
      </c>
    </row>
    <row r="64" spans="1:15" x14ac:dyDescent="0.25">
      <c r="A64" s="1067" t="s">
        <v>273</v>
      </c>
      <c r="B64" s="1067" t="s">
        <v>57</v>
      </c>
      <c r="C64" s="1067" t="s">
        <v>299</v>
      </c>
      <c r="D64" s="1067">
        <v>1304</v>
      </c>
      <c r="E64" s="1067">
        <v>2091</v>
      </c>
      <c r="F64" s="1067">
        <v>3395</v>
      </c>
      <c r="G64" s="1067">
        <v>2109</v>
      </c>
      <c r="H64" s="1067">
        <v>1516</v>
      </c>
      <c r="I64" s="1067">
        <v>593</v>
      </c>
      <c r="J64" s="1067">
        <v>148771</v>
      </c>
      <c r="K64" s="1067">
        <v>2.282</v>
      </c>
      <c r="L64" s="1067">
        <v>1.4179999999999999</v>
      </c>
      <c r="M64" s="1067">
        <v>144148</v>
      </c>
      <c r="N64" s="1067">
        <v>2.355</v>
      </c>
      <c r="O64" s="1067">
        <v>1.4630000000000001</v>
      </c>
    </row>
    <row r="65" spans="1:15" x14ac:dyDescent="0.25">
      <c r="A65" s="1067" t="s">
        <v>255</v>
      </c>
      <c r="B65" s="1067" t="s">
        <v>40</v>
      </c>
      <c r="C65" s="1067" t="s">
        <v>285</v>
      </c>
      <c r="D65" s="1067">
        <v>540</v>
      </c>
      <c r="E65" s="1067">
        <v>494</v>
      </c>
      <c r="F65" s="1067">
        <v>1034</v>
      </c>
      <c r="G65" s="1067">
        <v>883</v>
      </c>
      <c r="H65" s="1067">
        <v>544</v>
      </c>
      <c r="I65" s="1067">
        <v>339</v>
      </c>
      <c r="J65" s="1067">
        <v>47407</v>
      </c>
      <c r="K65" s="1067">
        <v>2.181</v>
      </c>
      <c r="L65" s="1067">
        <v>1.863</v>
      </c>
      <c r="M65" s="1067">
        <v>45301</v>
      </c>
      <c r="N65" s="1067">
        <v>2.2829999999999999</v>
      </c>
      <c r="O65" s="1067">
        <v>1.9490000000000001</v>
      </c>
    </row>
    <row r="66" spans="1:15" x14ac:dyDescent="0.25">
      <c r="A66" s="1067" t="s">
        <v>254</v>
      </c>
      <c r="B66" s="1067" t="s">
        <v>32</v>
      </c>
      <c r="C66" s="1067" t="s">
        <v>302</v>
      </c>
      <c r="D66" s="1067">
        <v>564</v>
      </c>
      <c r="E66" s="1067">
        <v>1206</v>
      </c>
      <c r="F66" s="1067">
        <v>1770</v>
      </c>
      <c r="G66" s="1067">
        <v>954</v>
      </c>
      <c r="H66" s="1067">
        <v>618</v>
      </c>
      <c r="I66" s="1067">
        <v>336</v>
      </c>
      <c r="J66" s="1067">
        <v>118197</v>
      </c>
      <c r="K66" s="1067">
        <v>1.4970000000000001</v>
      </c>
      <c r="L66" s="1067">
        <v>0.80700000000000005</v>
      </c>
      <c r="M66" s="1067">
        <v>111156</v>
      </c>
      <c r="N66" s="1067">
        <v>1.5920000000000001</v>
      </c>
      <c r="O66" s="1067">
        <v>0.85799999999999998</v>
      </c>
    </row>
    <row r="67" spans="1:15" x14ac:dyDescent="0.25">
      <c r="A67" s="1067" t="s">
        <v>254</v>
      </c>
      <c r="B67" s="1067" t="s">
        <v>33</v>
      </c>
      <c r="C67" s="1067" t="s">
        <v>308</v>
      </c>
      <c r="D67" s="1067">
        <v>429</v>
      </c>
      <c r="E67" s="1067">
        <v>1339</v>
      </c>
      <c r="F67" s="1067">
        <v>1768</v>
      </c>
      <c r="G67" s="1067">
        <v>627</v>
      </c>
      <c r="H67" s="1067">
        <v>450</v>
      </c>
      <c r="I67" s="1067">
        <v>177</v>
      </c>
      <c r="J67" s="1067">
        <v>56485</v>
      </c>
      <c r="K67" s="1067">
        <v>3.13</v>
      </c>
      <c r="L67" s="1067">
        <v>1.1100000000000001</v>
      </c>
      <c r="M67" s="1067">
        <v>53888</v>
      </c>
      <c r="N67" s="1067">
        <v>3.2810000000000001</v>
      </c>
      <c r="O67" s="1067">
        <v>1.1639999999999999</v>
      </c>
    </row>
    <row r="68" spans="1:15" x14ac:dyDescent="0.25">
      <c r="A68" s="1067" t="s">
        <v>254</v>
      </c>
      <c r="B68" s="1067" t="s">
        <v>37</v>
      </c>
      <c r="C68" s="1067" t="s">
        <v>309</v>
      </c>
      <c r="D68" s="1067">
        <v>692</v>
      </c>
      <c r="E68" s="1067">
        <v>2702</v>
      </c>
      <c r="F68" s="1067">
        <v>3394</v>
      </c>
      <c r="G68" s="1067">
        <v>998</v>
      </c>
      <c r="H68" s="1067">
        <v>680</v>
      </c>
      <c r="I68" s="1067">
        <v>318</v>
      </c>
      <c r="J68" s="1067">
        <v>74531</v>
      </c>
      <c r="K68" s="1067">
        <v>4.5540000000000003</v>
      </c>
      <c r="L68" s="1067">
        <v>1.339</v>
      </c>
      <c r="M68" s="1067">
        <v>70337</v>
      </c>
      <c r="N68" s="1067">
        <v>4.8250000000000002</v>
      </c>
      <c r="O68" s="1067">
        <v>1.419</v>
      </c>
    </row>
    <row r="69" spans="1:15" x14ac:dyDescent="0.25">
      <c r="A69" s="1067" t="s">
        <v>254</v>
      </c>
      <c r="B69" s="1067" t="s">
        <v>38</v>
      </c>
      <c r="C69" s="1067" t="s">
        <v>284</v>
      </c>
      <c r="D69" s="1067">
        <v>421</v>
      </c>
      <c r="E69" s="1067">
        <v>656</v>
      </c>
      <c r="F69" s="1067">
        <v>1077</v>
      </c>
      <c r="G69" s="1067">
        <v>697</v>
      </c>
      <c r="H69" s="1067">
        <v>446</v>
      </c>
      <c r="I69" s="1067">
        <v>251</v>
      </c>
      <c r="J69" s="1067">
        <v>58453</v>
      </c>
      <c r="K69" s="1067">
        <v>1.843</v>
      </c>
      <c r="L69" s="1067">
        <v>1.1919999999999999</v>
      </c>
      <c r="M69" s="1067">
        <v>55107</v>
      </c>
      <c r="N69" s="1067">
        <v>1.954</v>
      </c>
      <c r="O69" s="1067">
        <v>1.2649999999999999</v>
      </c>
    </row>
    <row r="70" spans="1:15" x14ac:dyDescent="0.25">
      <c r="A70" s="1067" t="s">
        <v>254</v>
      </c>
      <c r="B70" s="1067" t="s">
        <v>41</v>
      </c>
      <c r="C70" s="1067" t="s">
        <v>286</v>
      </c>
      <c r="D70" s="1067">
        <v>445</v>
      </c>
      <c r="E70" s="1067">
        <v>651</v>
      </c>
      <c r="F70" s="1067">
        <v>1096</v>
      </c>
      <c r="G70" s="1067">
        <v>686</v>
      </c>
      <c r="H70" s="1067">
        <v>492</v>
      </c>
      <c r="I70" s="1067">
        <v>194</v>
      </c>
      <c r="J70" s="1067">
        <v>38902</v>
      </c>
      <c r="K70" s="1067">
        <v>2.8170000000000002</v>
      </c>
      <c r="L70" s="1067">
        <v>1.7629999999999999</v>
      </c>
      <c r="M70" s="1067">
        <v>39108</v>
      </c>
      <c r="N70" s="1067">
        <v>2.802</v>
      </c>
      <c r="O70" s="1067">
        <v>1.754</v>
      </c>
    </row>
    <row r="71" spans="1:15" x14ac:dyDescent="0.25">
      <c r="A71" s="1067" t="s">
        <v>254</v>
      </c>
      <c r="B71" s="1067" t="s">
        <v>51</v>
      </c>
      <c r="C71" s="1067" t="s">
        <v>294</v>
      </c>
      <c r="D71" s="1067">
        <v>96</v>
      </c>
      <c r="E71" s="1067">
        <v>194</v>
      </c>
      <c r="F71" s="1067">
        <v>290</v>
      </c>
      <c r="G71" s="1067">
        <v>167</v>
      </c>
      <c r="H71" s="1067">
        <v>82</v>
      </c>
      <c r="I71" s="1067">
        <v>85</v>
      </c>
      <c r="J71" s="1067">
        <v>11261</v>
      </c>
      <c r="K71" s="1067">
        <v>2.5750000000000002</v>
      </c>
      <c r="L71" s="1067">
        <v>1.4830000000000001</v>
      </c>
      <c r="M71" s="1067">
        <v>10506</v>
      </c>
      <c r="N71" s="1067">
        <v>2.76</v>
      </c>
      <c r="O71" s="1067">
        <v>1.59</v>
      </c>
    </row>
    <row r="72" spans="1:15" x14ac:dyDescent="0.25">
      <c r="A72" s="1067" t="s">
        <v>851</v>
      </c>
      <c r="B72" s="1067" t="s">
        <v>42</v>
      </c>
      <c r="C72" s="1067" t="s">
        <v>288</v>
      </c>
      <c r="D72" s="1067">
        <v>511</v>
      </c>
      <c r="E72" s="1067">
        <v>1174</v>
      </c>
      <c r="F72" s="1067">
        <v>1685</v>
      </c>
      <c r="G72" s="1067">
        <v>762</v>
      </c>
      <c r="H72" s="1067">
        <v>590</v>
      </c>
      <c r="I72" s="1067">
        <v>172</v>
      </c>
      <c r="J72" s="1067">
        <v>75226</v>
      </c>
      <c r="K72" s="1067">
        <v>2.2400000000000002</v>
      </c>
      <c r="L72" s="1067">
        <v>1.0129999999999999</v>
      </c>
      <c r="M72" s="1067">
        <v>72672</v>
      </c>
      <c r="N72" s="1067">
        <v>2.319</v>
      </c>
      <c r="O72" s="1067">
        <v>1.0489999999999999</v>
      </c>
    </row>
    <row r="73" spans="1:15" x14ac:dyDescent="0.25">
      <c r="A73" s="1067" t="s">
        <v>851</v>
      </c>
      <c r="B73" s="1067" t="s">
        <v>121</v>
      </c>
      <c r="C73" s="1067" t="s">
        <v>312</v>
      </c>
      <c r="D73" s="1067">
        <v>2529</v>
      </c>
      <c r="E73" s="1067">
        <v>7409</v>
      </c>
      <c r="F73" s="1067">
        <v>9938</v>
      </c>
      <c r="G73" s="1067">
        <v>3536</v>
      </c>
      <c r="H73" s="1067">
        <v>2783</v>
      </c>
      <c r="I73" s="1067">
        <v>753</v>
      </c>
      <c r="J73" s="1067">
        <v>314604</v>
      </c>
      <c r="K73" s="1067">
        <v>3.1589999999999998</v>
      </c>
      <c r="L73" s="1067">
        <v>1.1240000000000001</v>
      </c>
      <c r="M73" s="1067">
        <v>294622</v>
      </c>
      <c r="N73" s="1067">
        <v>3.3730000000000002</v>
      </c>
      <c r="O73" s="1067">
        <v>1.2</v>
      </c>
    </row>
    <row r="74" spans="1:15" x14ac:dyDescent="0.25">
      <c r="A74" s="1067" t="s">
        <v>851</v>
      </c>
      <c r="B74" s="1067" t="s">
        <v>55</v>
      </c>
      <c r="C74" s="1067" t="s">
        <v>297</v>
      </c>
      <c r="D74" s="1067">
        <v>156</v>
      </c>
      <c r="E74" s="1067">
        <v>407</v>
      </c>
      <c r="F74" s="1067">
        <v>563</v>
      </c>
      <c r="G74" s="1067">
        <v>253</v>
      </c>
      <c r="H74" s="1067">
        <v>141</v>
      </c>
      <c r="I74" s="1067">
        <v>112</v>
      </c>
      <c r="J74" s="1067">
        <v>11305</v>
      </c>
      <c r="K74" s="1067">
        <v>4.9800000000000004</v>
      </c>
      <c r="L74" s="1067">
        <v>2.238</v>
      </c>
      <c r="M74" s="1067">
        <v>10439</v>
      </c>
      <c r="N74" s="1067">
        <v>5.3929999999999998</v>
      </c>
      <c r="O74" s="1067">
        <v>2.4239999999999999</v>
      </c>
    </row>
    <row r="75" spans="1:15" x14ac:dyDescent="0.25">
      <c r="A75" s="1067" t="s">
        <v>204</v>
      </c>
      <c r="B75" s="1067" t="s">
        <v>46</v>
      </c>
      <c r="C75" s="1067" t="s">
        <v>291</v>
      </c>
      <c r="D75" s="1067">
        <v>569</v>
      </c>
      <c r="E75" s="1067">
        <v>411</v>
      </c>
      <c r="F75" s="1067">
        <v>980</v>
      </c>
      <c r="G75" s="1067">
        <v>857</v>
      </c>
      <c r="H75" s="1067">
        <v>405</v>
      </c>
      <c r="I75" s="1067">
        <v>452</v>
      </c>
      <c r="J75" s="1067">
        <v>37503</v>
      </c>
      <c r="K75" s="1067">
        <v>2.613</v>
      </c>
      <c r="L75" s="1067">
        <v>2.2850000000000001</v>
      </c>
      <c r="M75" s="1067">
        <v>36009</v>
      </c>
      <c r="N75" s="1067">
        <v>2.722</v>
      </c>
      <c r="O75" s="1067">
        <v>2.38</v>
      </c>
    </row>
    <row r="76" spans="1:15" x14ac:dyDescent="0.25">
      <c r="A76" s="1067" t="s">
        <v>204</v>
      </c>
      <c r="B76" s="1067" t="s">
        <v>52</v>
      </c>
      <c r="C76" s="1067" t="s">
        <v>295</v>
      </c>
      <c r="D76" s="1067">
        <v>922</v>
      </c>
      <c r="E76" s="1067">
        <v>3441</v>
      </c>
      <c r="F76" s="1067">
        <v>4363</v>
      </c>
      <c r="G76" s="1067">
        <v>1414</v>
      </c>
      <c r="H76" s="1067">
        <v>890</v>
      </c>
      <c r="I76" s="1067">
        <v>524</v>
      </c>
      <c r="J76" s="1067">
        <v>69923</v>
      </c>
      <c r="K76" s="1067">
        <v>6.24</v>
      </c>
      <c r="L76" s="1067">
        <v>2.0219999999999998</v>
      </c>
      <c r="M76" s="1067">
        <v>65616</v>
      </c>
      <c r="N76" s="1067">
        <v>6.649</v>
      </c>
      <c r="O76" s="1067">
        <v>2.1549999999999998</v>
      </c>
    </row>
    <row r="77" spans="1:15" x14ac:dyDescent="0.25">
      <c r="A77" s="1067" t="s">
        <v>203</v>
      </c>
      <c r="B77" s="1067" t="s">
        <v>31</v>
      </c>
      <c r="C77" s="1067" t="s">
        <v>301</v>
      </c>
      <c r="D77" s="1067">
        <v>524</v>
      </c>
      <c r="E77" s="1067">
        <v>1951</v>
      </c>
      <c r="F77" s="1067">
        <v>2475</v>
      </c>
      <c r="G77" s="1067">
        <v>752</v>
      </c>
      <c r="H77" s="1067">
        <v>469</v>
      </c>
      <c r="I77" s="1067">
        <v>283</v>
      </c>
      <c r="J77" s="1067">
        <v>113508</v>
      </c>
      <c r="K77" s="1067">
        <v>2.1800000000000002</v>
      </c>
      <c r="L77" s="1067">
        <v>0.66300000000000003</v>
      </c>
      <c r="M77" s="1067">
        <v>105287</v>
      </c>
      <c r="N77" s="1067">
        <v>2.351</v>
      </c>
      <c r="O77" s="1067">
        <v>0.71399999999999997</v>
      </c>
    </row>
    <row r="78" spans="1:15" x14ac:dyDescent="0.25">
      <c r="A78" s="1067" t="s">
        <v>203</v>
      </c>
      <c r="B78" s="1067" t="s">
        <v>258</v>
      </c>
      <c r="C78" s="1067" t="s">
        <v>304</v>
      </c>
      <c r="D78" s="1067">
        <v>2833</v>
      </c>
      <c r="E78" s="1067">
        <v>2754</v>
      </c>
      <c r="F78" s="1067">
        <v>5587</v>
      </c>
      <c r="G78" s="1067">
        <v>3885</v>
      </c>
      <c r="H78" s="1067">
        <v>2716</v>
      </c>
      <c r="I78" s="1067">
        <v>1169</v>
      </c>
      <c r="J78" s="1067">
        <v>239525</v>
      </c>
      <c r="K78" s="1067">
        <v>2.3330000000000002</v>
      </c>
      <c r="L78" s="1067">
        <v>1.6220000000000001</v>
      </c>
      <c r="M78" s="1067">
        <v>229231</v>
      </c>
      <c r="N78" s="1067">
        <v>2.4369999999999998</v>
      </c>
      <c r="O78" s="1067">
        <v>1.6950000000000001</v>
      </c>
    </row>
    <row r="79" spans="1:15" x14ac:dyDescent="0.25">
      <c r="A79" s="1067" t="s">
        <v>203</v>
      </c>
      <c r="B79" s="1067" t="s">
        <v>52</v>
      </c>
      <c r="C79" s="1067" t="s">
        <v>295</v>
      </c>
      <c r="D79" s="1067">
        <v>635</v>
      </c>
      <c r="E79" s="1067">
        <v>1787</v>
      </c>
      <c r="F79" s="1067">
        <v>2422</v>
      </c>
      <c r="G79" s="1067">
        <v>947</v>
      </c>
      <c r="H79" s="1067">
        <v>628</v>
      </c>
      <c r="I79" s="1067">
        <v>319</v>
      </c>
      <c r="J79" s="1067">
        <v>70312</v>
      </c>
      <c r="K79" s="1067">
        <v>3.4449999999999998</v>
      </c>
      <c r="L79" s="1067">
        <v>1.347</v>
      </c>
      <c r="M79" s="1067">
        <v>66035</v>
      </c>
      <c r="N79" s="1067">
        <v>3.6680000000000001</v>
      </c>
      <c r="O79" s="1067">
        <v>1.4339999999999999</v>
      </c>
    </row>
    <row r="80" spans="1:15" x14ac:dyDescent="0.25">
      <c r="A80" s="1067" t="s">
        <v>203</v>
      </c>
      <c r="B80" s="1067" t="s">
        <v>53</v>
      </c>
      <c r="C80" s="1067" t="s">
        <v>305</v>
      </c>
      <c r="D80" s="1067">
        <v>885</v>
      </c>
      <c r="E80" s="1067">
        <v>1268</v>
      </c>
      <c r="F80" s="1067">
        <v>2153</v>
      </c>
      <c r="G80" s="1067">
        <v>1445</v>
      </c>
      <c r="H80" s="1067">
        <v>1020</v>
      </c>
      <c r="I80" s="1067">
        <v>425</v>
      </c>
      <c r="J80" s="1067">
        <v>84442</v>
      </c>
      <c r="K80" s="1067">
        <v>2.5499999999999998</v>
      </c>
      <c r="L80" s="1067">
        <v>1.7110000000000001</v>
      </c>
      <c r="M80" s="1067">
        <v>82385</v>
      </c>
      <c r="N80" s="1067">
        <v>2.613</v>
      </c>
      <c r="O80" s="1067">
        <v>1.754</v>
      </c>
    </row>
    <row r="81" spans="1:15" x14ac:dyDescent="0.25">
      <c r="A81" s="1067" t="s">
        <v>202</v>
      </c>
      <c r="B81" s="1067" t="s">
        <v>37</v>
      </c>
      <c r="C81" s="1067" t="s">
        <v>309</v>
      </c>
      <c r="D81" s="1067">
        <v>849</v>
      </c>
      <c r="E81" s="1067">
        <v>3502</v>
      </c>
      <c r="F81" s="1067">
        <v>4351</v>
      </c>
      <c r="G81" s="1067">
        <v>1188</v>
      </c>
      <c r="H81" s="1067">
        <v>818</v>
      </c>
      <c r="I81" s="1067">
        <v>370</v>
      </c>
      <c r="J81" s="1067">
        <v>73689</v>
      </c>
      <c r="K81" s="1067">
        <v>5.9050000000000002</v>
      </c>
      <c r="L81" s="1067">
        <v>1.6120000000000001</v>
      </c>
      <c r="M81" s="1067">
        <v>69534</v>
      </c>
      <c r="N81" s="1067">
        <v>6.2569999999999997</v>
      </c>
      <c r="O81" s="1067">
        <v>1.7090000000000001</v>
      </c>
    </row>
    <row r="82" spans="1:15" x14ac:dyDescent="0.25">
      <c r="A82" s="1067" t="s">
        <v>202</v>
      </c>
      <c r="B82" s="1067" t="s">
        <v>40</v>
      </c>
      <c r="C82" s="1067" t="s">
        <v>285</v>
      </c>
      <c r="D82" s="1067">
        <v>716</v>
      </c>
      <c r="E82" s="1067">
        <v>704</v>
      </c>
      <c r="F82" s="1067">
        <v>1420</v>
      </c>
      <c r="G82" s="1067">
        <v>1220</v>
      </c>
      <c r="H82" s="1067">
        <v>715</v>
      </c>
      <c r="I82" s="1067">
        <v>505</v>
      </c>
      <c r="J82" s="1067">
        <v>46332</v>
      </c>
      <c r="K82" s="1067">
        <v>3.0649999999999999</v>
      </c>
      <c r="L82" s="1067">
        <v>2.633</v>
      </c>
      <c r="M82" s="1067">
        <v>44384</v>
      </c>
      <c r="N82" s="1067">
        <v>3.1989999999999998</v>
      </c>
      <c r="O82" s="1067">
        <v>2.7490000000000001</v>
      </c>
    </row>
    <row r="83" spans="1:15" x14ac:dyDescent="0.25">
      <c r="A83" s="1067" t="s">
        <v>202</v>
      </c>
      <c r="B83" s="1067" t="s">
        <v>54</v>
      </c>
      <c r="C83" s="1067" t="s">
        <v>296</v>
      </c>
      <c r="D83" s="1067">
        <v>1347</v>
      </c>
      <c r="E83" s="1067">
        <v>1196</v>
      </c>
      <c r="F83" s="1067">
        <v>2543</v>
      </c>
      <c r="G83" s="1067">
        <v>2132</v>
      </c>
      <c r="H83" s="1067">
        <v>802</v>
      </c>
      <c r="I83" s="1067">
        <v>1330</v>
      </c>
      <c r="J83" s="1067">
        <v>57628</v>
      </c>
      <c r="K83" s="1067">
        <v>4.4130000000000003</v>
      </c>
      <c r="L83" s="1067">
        <v>3.7</v>
      </c>
      <c r="M83" s="1067">
        <v>53351</v>
      </c>
      <c r="N83" s="1067">
        <v>4.7670000000000003</v>
      </c>
      <c r="O83" s="1067">
        <v>3.996</v>
      </c>
    </row>
    <row r="84" spans="1:15" x14ac:dyDescent="0.25">
      <c r="A84" s="1067" t="s">
        <v>202</v>
      </c>
      <c r="B84" s="1067" t="s">
        <v>55</v>
      </c>
      <c r="C84" s="1067" t="s">
        <v>297</v>
      </c>
      <c r="D84" s="1067">
        <v>100</v>
      </c>
      <c r="E84" s="1067">
        <v>177</v>
      </c>
      <c r="F84" s="1067">
        <v>277</v>
      </c>
      <c r="G84" s="1067">
        <v>195</v>
      </c>
      <c r="H84" s="1067">
        <v>101</v>
      </c>
      <c r="I84" s="1067">
        <v>94</v>
      </c>
      <c r="J84" s="1067">
        <v>11021</v>
      </c>
      <c r="K84" s="1067">
        <v>2.5129999999999999</v>
      </c>
      <c r="L84" s="1067">
        <v>1.7689999999999999</v>
      </c>
      <c r="M84" s="1067">
        <v>10235</v>
      </c>
      <c r="N84" s="1067">
        <v>2.706</v>
      </c>
      <c r="O84" s="1067">
        <v>1.905</v>
      </c>
    </row>
    <row r="85" spans="1:15" x14ac:dyDescent="0.25">
      <c r="A85" s="1067" t="s">
        <v>273</v>
      </c>
      <c r="B85" s="1067" t="s">
        <v>35</v>
      </c>
      <c r="C85" s="1067" t="s">
        <v>282</v>
      </c>
      <c r="D85" s="1067">
        <v>270</v>
      </c>
      <c r="E85" s="1067">
        <v>361</v>
      </c>
      <c r="F85" s="1067">
        <v>631</v>
      </c>
      <c r="G85" s="1067">
        <v>401</v>
      </c>
      <c r="H85" s="1067">
        <v>281</v>
      </c>
      <c r="I85" s="1067">
        <v>120</v>
      </c>
      <c r="J85" s="1067">
        <v>24221</v>
      </c>
      <c r="K85" s="1067">
        <v>2.605</v>
      </c>
      <c r="L85" s="1067">
        <v>1.6559999999999999</v>
      </c>
      <c r="M85" s="1067">
        <v>23401</v>
      </c>
      <c r="N85" s="1067">
        <v>2.6960000000000002</v>
      </c>
      <c r="O85" s="1067">
        <v>1.714</v>
      </c>
    </row>
    <row r="86" spans="1:15" x14ac:dyDescent="0.25">
      <c r="A86" s="1067" t="s">
        <v>273</v>
      </c>
      <c r="B86" s="1067" t="s">
        <v>36</v>
      </c>
      <c r="C86" s="1067" t="s">
        <v>283</v>
      </c>
      <c r="D86" s="1067">
        <v>1262</v>
      </c>
      <c r="E86" s="1067">
        <v>848</v>
      </c>
      <c r="F86" s="1067">
        <v>2110</v>
      </c>
      <c r="G86" s="1067">
        <v>1792</v>
      </c>
      <c r="H86" s="1067">
        <v>1150</v>
      </c>
      <c r="I86" s="1067">
        <v>642</v>
      </c>
      <c r="J86" s="1067">
        <v>74453</v>
      </c>
      <c r="K86" s="1067">
        <v>2.8340000000000001</v>
      </c>
      <c r="L86" s="1067">
        <v>2.407</v>
      </c>
      <c r="M86" s="1067">
        <v>69202</v>
      </c>
      <c r="N86" s="1067">
        <v>3.0489999999999999</v>
      </c>
      <c r="O86" s="1067">
        <v>2.59</v>
      </c>
    </row>
    <row r="87" spans="1:15" x14ac:dyDescent="0.25">
      <c r="A87" s="1067" t="s">
        <v>273</v>
      </c>
      <c r="B87" s="1067" t="s">
        <v>43</v>
      </c>
      <c r="C87" s="1067" t="s">
        <v>430</v>
      </c>
      <c r="D87" s="1067">
        <v>3394</v>
      </c>
      <c r="E87" s="1067">
        <v>3061</v>
      </c>
      <c r="F87" s="1067">
        <v>6455</v>
      </c>
      <c r="G87" s="1067">
        <v>5319</v>
      </c>
      <c r="H87" s="1067">
        <v>3465</v>
      </c>
      <c r="I87" s="1067">
        <v>1854</v>
      </c>
      <c r="J87" s="1067">
        <v>174528</v>
      </c>
      <c r="K87" s="1067">
        <v>3.6989999999999998</v>
      </c>
      <c r="L87" s="1067">
        <v>3.048</v>
      </c>
      <c r="M87" s="1067">
        <v>165833</v>
      </c>
      <c r="N87" s="1067">
        <v>3.8919999999999999</v>
      </c>
      <c r="O87" s="1067">
        <v>3.2069999999999999</v>
      </c>
    </row>
    <row r="88" spans="1:15" x14ac:dyDescent="0.25">
      <c r="A88" s="1067" t="s">
        <v>273</v>
      </c>
      <c r="B88" s="1067" t="s">
        <v>48</v>
      </c>
      <c r="C88" s="1067" t="s">
        <v>287</v>
      </c>
      <c r="D88" s="1067">
        <v>94</v>
      </c>
      <c r="E88" s="1067">
        <v>249</v>
      </c>
      <c r="F88" s="1067">
        <v>343</v>
      </c>
      <c r="G88" s="1067">
        <v>141</v>
      </c>
      <c r="H88" s="1067">
        <v>95</v>
      </c>
      <c r="I88" s="1067">
        <v>46</v>
      </c>
      <c r="J88" s="1067">
        <v>14599</v>
      </c>
      <c r="K88" s="1067">
        <v>2.3490000000000002</v>
      </c>
      <c r="L88" s="1067">
        <v>0.96599999999999997</v>
      </c>
      <c r="M88" s="1067">
        <v>12951</v>
      </c>
      <c r="N88" s="1067">
        <v>2.6480000000000001</v>
      </c>
      <c r="O88" s="1067">
        <v>1.089</v>
      </c>
    </row>
    <row r="89" spans="1:15" x14ac:dyDescent="0.25">
      <c r="A89" s="1067" t="s">
        <v>273</v>
      </c>
      <c r="B89" s="1067" t="s">
        <v>58</v>
      </c>
      <c r="C89" s="1067" t="s">
        <v>300</v>
      </c>
      <c r="D89" s="1067">
        <v>336</v>
      </c>
      <c r="E89" s="1067">
        <v>720</v>
      </c>
      <c r="F89" s="1067">
        <v>1056</v>
      </c>
      <c r="G89" s="1067">
        <v>535</v>
      </c>
      <c r="H89" s="1067">
        <v>334</v>
      </c>
      <c r="I89" s="1067">
        <v>201</v>
      </c>
      <c r="J89" s="1067">
        <v>40998</v>
      </c>
      <c r="K89" s="1067">
        <v>2.5760000000000001</v>
      </c>
      <c r="L89" s="1067">
        <v>1.3049999999999999</v>
      </c>
      <c r="M89" s="1067">
        <v>38951</v>
      </c>
      <c r="N89" s="1067">
        <v>2.7109999999999999</v>
      </c>
      <c r="O89" s="1067">
        <v>1.3740000000000001</v>
      </c>
    </row>
    <row r="90" spans="1:15" x14ac:dyDescent="0.25">
      <c r="A90" s="1067" t="s">
        <v>273</v>
      </c>
      <c r="B90" s="1067" t="s">
        <v>59</v>
      </c>
      <c r="C90" s="1067" t="s">
        <v>306</v>
      </c>
      <c r="D90" s="1067">
        <v>558</v>
      </c>
      <c r="E90" s="1067">
        <v>1035</v>
      </c>
      <c r="F90" s="1067">
        <v>1593</v>
      </c>
      <c r="G90" s="1067">
        <v>858</v>
      </c>
      <c r="H90" s="1067">
        <v>620</v>
      </c>
      <c r="I90" s="1067">
        <v>238</v>
      </c>
      <c r="J90" s="1067">
        <v>45104</v>
      </c>
      <c r="K90" s="1067">
        <v>3.532</v>
      </c>
      <c r="L90" s="1067">
        <v>1.9019999999999999</v>
      </c>
      <c r="M90" s="1067">
        <v>42657</v>
      </c>
      <c r="N90" s="1067">
        <v>3.734</v>
      </c>
      <c r="O90" s="1067">
        <v>2.0110000000000001</v>
      </c>
    </row>
    <row r="91" spans="1:15" x14ac:dyDescent="0.25">
      <c r="A91" s="1067" t="s">
        <v>255</v>
      </c>
      <c r="B91" s="1067" t="s">
        <v>32</v>
      </c>
      <c r="C91" s="1067" t="s">
        <v>302</v>
      </c>
      <c r="D91" s="1067">
        <v>735</v>
      </c>
      <c r="E91" s="1067">
        <v>1405</v>
      </c>
      <c r="F91" s="1067">
        <v>2140</v>
      </c>
      <c r="G91" s="1067">
        <v>1279</v>
      </c>
      <c r="H91" s="1067">
        <v>828</v>
      </c>
      <c r="I91" s="1067">
        <v>451</v>
      </c>
      <c r="J91" s="1067">
        <v>117363</v>
      </c>
      <c r="K91" s="1067">
        <v>1.823</v>
      </c>
      <c r="L91" s="1067">
        <v>1.0900000000000001</v>
      </c>
      <c r="M91" s="1067">
        <v>110941</v>
      </c>
      <c r="N91" s="1067">
        <v>1.929</v>
      </c>
      <c r="O91" s="1067">
        <v>1.153</v>
      </c>
    </row>
    <row r="92" spans="1:15" x14ac:dyDescent="0.25">
      <c r="A92" s="1067" t="s">
        <v>255</v>
      </c>
      <c r="B92" s="1067" t="s">
        <v>34</v>
      </c>
      <c r="C92" s="1067" t="s">
        <v>303</v>
      </c>
      <c r="D92" s="1067">
        <v>650</v>
      </c>
      <c r="E92" s="1067">
        <v>1030</v>
      </c>
      <c r="F92" s="1067">
        <v>1680</v>
      </c>
      <c r="G92" s="1067">
        <v>965</v>
      </c>
      <c r="H92" s="1067">
        <v>503</v>
      </c>
      <c r="I92" s="1067">
        <v>462</v>
      </c>
      <c r="J92" s="1067">
        <v>47884</v>
      </c>
      <c r="K92" s="1067">
        <v>3.508</v>
      </c>
      <c r="L92" s="1067">
        <v>2.0150000000000001</v>
      </c>
      <c r="M92" s="1067">
        <v>41455</v>
      </c>
      <c r="N92" s="1067">
        <v>4.0529999999999999</v>
      </c>
      <c r="O92" s="1067">
        <v>2.3279999999999998</v>
      </c>
    </row>
    <row r="93" spans="1:15" x14ac:dyDescent="0.25">
      <c r="A93" s="1067" t="s">
        <v>255</v>
      </c>
      <c r="B93" s="1067" t="s">
        <v>35</v>
      </c>
      <c r="C93" s="1067" t="s">
        <v>282</v>
      </c>
      <c r="D93" s="1067">
        <v>204</v>
      </c>
      <c r="E93" s="1067">
        <v>360</v>
      </c>
      <c r="F93" s="1067">
        <v>564</v>
      </c>
      <c r="G93" s="1067">
        <v>315</v>
      </c>
      <c r="H93" s="1067">
        <v>230</v>
      </c>
      <c r="I93" s="1067">
        <v>85</v>
      </c>
      <c r="J93" s="1067">
        <v>24377</v>
      </c>
      <c r="K93" s="1067">
        <v>2.3140000000000001</v>
      </c>
      <c r="L93" s="1067">
        <v>1.292</v>
      </c>
      <c r="M93" s="1067">
        <v>23563</v>
      </c>
      <c r="N93" s="1067">
        <v>2.3940000000000001</v>
      </c>
      <c r="O93" s="1067">
        <v>1.337</v>
      </c>
    </row>
    <row r="94" spans="1:15" x14ac:dyDescent="0.25">
      <c r="A94" s="1067" t="s">
        <v>255</v>
      </c>
      <c r="B94" s="1067" t="s">
        <v>48</v>
      </c>
      <c r="C94" s="1067" t="s">
        <v>287</v>
      </c>
      <c r="D94" s="1067">
        <v>125</v>
      </c>
      <c r="E94" s="1067">
        <v>224</v>
      </c>
      <c r="F94" s="1067">
        <v>349</v>
      </c>
      <c r="G94" s="1067">
        <v>182</v>
      </c>
      <c r="H94" s="1067">
        <v>171</v>
      </c>
      <c r="I94" s="1067">
        <v>11</v>
      </c>
      <c r="J94" s="1067">
        <v>14714</v>
      </c>
      <c r="K94" s="1067">
        <v>2.3719999999999999</v>
      </c>
      <c r="L94" s="1067">
        <v>1.2370000000000001</v>
      </c>
      <c r="M94" s="1067">
        <v>12805</v>
      </c>
      <c r="N94" s="1067">
        <v>2.7250000000000001</v>
      </c>
      <c r="O94" s="1067">
        <v>1.421</v>
      </c>
    </row>
    <row r="95" spans="1:15" x14ac:dyDescent="0.25">
      <c r="A95" s="1067" t="s">
        <v>255</v>
      </c>
      <c r="B95" s="1067" t="s">
        <v>56</v>
      </c>
      <c r="C95" s="1067" t="s">
        <v>298</v>
      </c>
      <c r="D95" s="1067">
        <v>543</v>
      </c>
      <c r="E95" s="1067">
        <v>765</v>
      </c>
      <c r="F95" s="1067">
        <v>1308</v>
      </c>
      <c r="G95" s="1067">
        <v>893</v>
      </c>
      <c r="H95" s="1067">
        <v>559</v>
      </c>
      <c r="I95" s="1067">
        <v>334</v>
      </c>
      <c r="J95" s="1067">
        <v>55252</v>
      </c>
      <c r="K95" s="1067">
        <v>2.367</v>
      </c>
      <c r="L95" s="1067">
        <v>1.6160000000000001</v>
      </c>
      <c r="M95" s="1067">
        <v>52104</v>
      </c>
      <c r="N95" s="1067">
        <v>2.5099999999999998</v>
      </c>
      <c r="O95" s="1067">
        <v>1.714</v>
      </c>
    </row>
    <row r="96" spans="1:15" x14ac:dyDescent="0.25">
      <c r="A96" s="1067" t="s">
        <v>255</v>
      </c>
      <c r="B96" s="1067" t="s">
        <v>57</v>
      </c>
      <c r="C96" s="1067" t="s">
        <v>299</v>
      </c>
      <c r="D96" s="1067">
        <v>1336</v>
      </c>
      <c r="E96" s="1067">
        <v>2180</v>
      </c>
      <c r="F96" s="1067">
        <v>3516</v>
      </c>
      <c r="G96" s="1067">
        <v>2110</v>
      </c>
      <c r="H96" s="1067">
        <v>1607</v>
      </c>
      <c r="I96" s="1067">
        <v>503</v>
      </c>
      <c r="J96" s="1067">
        <v>149972</v>
      </c>
      <c r="K96" s="1067">
        <v>2.3439999999999999</v>
      </c>
      <c r="L96" s="1067">
        <v>1.407</v>
      </c>
      <c r="M96" s="1067">
        <v>145182</v>
      </c>
      <c r="N96" s="1067">
        <v>2.4220000000000002</v>
      </c>
      <c r="O96" s="1067">
        <v>1.4530000000000001</v>
      </c>
    </row>
    <row r="97" spans="1:15" x14ac:dyDescent="0.25">
      <c r="A97" s="1067" t="s">
        <v>255</v>
      </c>
      <c r="B97" s="1067" t="s">
        <v>59</v>
      </c>
      <c r="C97" s="1067" t="s">
        <v>306</v>
      </c>
      <c r="D97" s="1067">
        <v>653</v>
      </c>
      <c r="E97" s="1067">
        <v>1022</v>
      </c>
      <c r="F97" s="1067">
        <v>1675</v>
      </c>
      <c r="G97" s="1067">
        <v>997</v>
      </c>
      <c r="H97" s="1067">
        <v>712</v>
      </c>
      <c r="I97" s="1067">
        <v>285</v>
      </c>
      <c r="J97" s="1067">
        <v>45093</v>
      </c>
      <c r="K97" s="1067">
        <v>3.7149999999999999</v>
      </c>
      <c r="L97" s="1067">
        <v>2.2109999999999999</v>
      </c>
      <c r="M97" s="1067">
        <v>42746</v>
      </c>
      <c r="N97" s="1067">
        <v>3.9180000000000001</v>
      </c>
      <c r="O97" s="1067">
        <v>2.3319999999999999</v>
      </c>
    </row>
    <row r="98" spans="1:15" x14ac:dyDescent="0.25">
      <c r="A98" s="1067" t="s">
        <v>255</v>
      </c>
      <c r="B98" s="1067" t="s">
        <v>60</v>
      </c>
      <c r="C98" s="1067" t="s">
        <v>307</v>
      </c>
      <c r="D98" s="1067">
        <v>964</v>
      </c>
      <c r="E98" s="1067">
        <v>1092</v>
      </c>
      <c r="F98" s="1067">
        <v>2056</v>
      </c>
      <c r="G98" s="1067">
        <v>1456</v>
      </c>
      <c r="H98" s="1067">
        <v>850</v>
      </c>
      <c r="I98" s="1067">
        <v>606</v>
      </c>
      <c r="J98" s="1067">
        <v>79112</v>
      </c>
      <c r="K98" s="1067">
        <v>2.5990000000000002</v>
      </c>
      <c r="L98" s="1067">
        <v>1.84</v>
      </c>
      <c r="M98" s="1067">
        <v>77369</v>
      </c>
      <c r="N98" s="1067">
        <v>2.657</v>
      </c>
      <c r="O98" s="1067">
        <v>1.8819999999999999</v>
      </c>
    </row>
    <row r="99" spans="1:15" x14ac:dyDescent="0.25">
      <c r="A99" s="1067" t="s">
        <v>254</v>
      </c>
      <c r="B99" s="1067" t="s">
        <v>47</v>
      </c>
      <c r="C99" s="1067" t="s">
        <v>292</v>
      </c>
      <c r="D99" s="1067">
        <v>516</v>
      </c>
      <c r="E99" s="1067">
        <v>1149</v>
      </c>
      <c r="F99" s="1067">
        <v>1665</v>
      </c>
      <c r="G99" s="1067">
        <v>872</v>
      </c>
      <c r="H99" s="1067">
        <v>399</v>
      </c>
      <c r="I99" s="1067">
        <v>473</v>
      </c>
      <c r="J99" s="1067">
        <v>45209</v>
      </c>
      <c r="K99" s="1067">
        <v>3.6829999999999998</v>
      </c>
      <c r="L99" s="1067">
        <v>1.929</v>
      </c>
      <c r="M99" s="1067">
        <v>42554</v>
      </c>
      <c r="N99" s="1067">
        <v>3.9129999999999998</v>
      </c>
      <c r="O99" s="1067">
        <v>2.0489999999999999</v>
      </c>
    </row>
    <row r="100" spans="1:15" x14ac:dyDescent="0.25">
      <c r="A100" s="1067" t="s">
        <v>254</v>
      </c>
      <c r="B100" s="1067" t="s">
        <v>54</v>
      </c>
      <c r="C100" s="1067" t="s">
        <v>296</v>
      </c>
      <c r="D100" s="1067">
        <v>920</v>
      </c>
      <c r="E100" s="1067">
        <v>1208</v>
      </c>
      <c r="F100" s="1067">
        <v>2128</v>
      </c>
      <c r="G100" s="1067">
        <v>1413</v>
      </c>
      <c r="H100" s="1067">
        <v>740</v>
      </c>
      <c r="I100" s="1067">
        <v>673</v>
      </c>
      <c r="J100" s="1067">
        <v>58425</v>
      </c>
      <c r="K100" s="1067">
        <v>3.6419999999999999</v>
      </c>
      <c r="L100" s="1067">
        <v>2.4180000000000001</v>
      </c>
      <c r="M100" s="1067">
        <v>54413</v>
      </c>
      <c r="N100" s="1067">
        <v>3.911</v>
      </c>
      <c r="O100" s="1067">
        <v>2.597</v>
      </c>
    </row>
    <row r="101" spans="1:15" x14ac:dyDescent="0.25">
      <c r="A101" s="1067" t="s">
        <v>254</v>
      </c>
      <c r="B101" s="1067" t="s">
        <v>58</v>
      </c>
      <c r="C101" s="1067" t="s">
        <v>300</v>
      </c>
      <c r="D101" s="1067">
        <v>323</v>
      </c>
      <c r="E101" s="1067">
        <v>611</v>
      </c>
      <c r="F101" s="1067">
        <v>934</v>
      </c>
      <c r="G101" s="1067">
        <v>511</v>
      </c>
      <c r="H101" s="1067">
        <v>329</v>
      </c>
      <c r="I101" s="1067">
        <v>182</v>
      </c>
      <c r="J101" s="1067">
        <v>41443</v>
      </c>
      <c r="K101" s="1067">
        <v>2.254</v>
      </c>
      <c r="L101" s="1067">
        <v>1.2330000000000001</v>
      </c>
      <c r="M101" s="1067">
        <v>39440</v>
      </c>
      <c r="N101" s="1067">
        <v>2.3679999999999999</v>
      </c>
      <c r="O101" s="1067">
        <v>1.296</v>
      </c>
    </row>
    <row r="102" spans="1:15" x14ac:dyDescent="0.25">
      <c r="A102" s="1067" t="s">
        <v>851</v>
      </c>
      <c r="B102" s="1067" t="s">
        <v>32</v>
      </c>
      <c r="C102" s="1067" t="s">
        <v>302</v>
      </c>
      <c r="D102" s="1067">
        <v>699</v>
      </c>
      <c r="E102" s="1067">
        <v>1579</v>
      </c>
      <c r="F102" s="1067">
        <v>2278</v>
      </c>
      <c r="G102" s="1067">
        <v>1144</v>
      </c>
      <c r="H102" s="1067">
        <v>731</v>
      </c>
      <c r="I102" s="1067">
        <v>413</v>
      </c>
      <c r="J102" s="1067">
        <v>119196</v>
      </c>
      <c r="K102" s="1067">
        <v>1.911</v>
      </c>
      <c r="L102" s="1067">
        <v>0.96</v>
      </c>
      <c r="M102" s="1067">
        <v>112114</v>
      </c>
      <c r="N102" s="1067">
        <v>2.032</v>
      </c>
      <c r="O102" s="1067">
        <v>1.02</v>
      </c>
    </row>
    <row r="103" spans="1:15" x14ac:dyDescent="0.25">
      <c r="A103" s="1067" t="s">
        <v>851</v>
      </c>
      <c r="B103" s="1067" t="s">
        <v>34</v>
      </c>
      <c r="C103" s="1067" t="s">
        <v>303</v>
      </c>
      <c r="D103" s="1067">
        <v>451</v>
      </c>
      <c r="E103" s="1067">
        <v>1072</v>
      </c>
      <c r="F103" s="1067">
        <v>1523</v>
      </c>
      <c r="G103" s="1067">
        <v>721</v>
      </c>
      <c r="H103" s="1067">
        <v>389</v>
      </c>
      <c r="I103" s="1067">
        <v>332</v>
      </c>
      <c r="J103" s="1067">
        <v>48134</v>
      </c>
      <c r="K103" s="1067">
        <v>3.1640000000000001</v>
      </c>
      <c r="L103" s="1067">
        <v>1.498</v>
      </c>
      <c r="M103" s="1067">
        <v>41789</v>
      </c>
      <c r="N103" s="1067">
        <v>3.6440000000000001</v>
      </c>
      <c r="O103" s="1067">
        <v>1.7250000000000001</v>
      </c>
    </row>
    <row r="104" spans="1:15" x14ac:dyDescent="0.25">
      <c r="A104" s="1067" t="s">
        <v>851</v>
      </c>
      <c r="B104" s="1067" t="s">
        <v>38</v>
      </c>
      <c r="C104" s="1067" t="s">
        <v>284</v>
      </c>
      <c r="D104" s="1067">
        <v>423</v>
      </c>
      <c r="E104" s="1067">
        <v>680</v>
      </c>
      <c r="F104" s="1067">
        <v>1103</v>
      </c>
      <c r="G104" s="1067">
        <v>703</v>
      </c>
      <c r="H104" s="1067">
        <v>487</v>
      </c>
      <c r="I104" s="1067">
        <v>216</v>
      </c>
      <c r="J104" s="1067">
        <v>58628</v>
      </c>
      <c r="K104" s="1067">
        <v>1.881</v>
      </c>
      <c r="L104" s="1067">
        <v>1.1990000000000001</v>
      </c>
      <c r="M104" s="1067">
        <v>55387</v>
      </c>
      <c r="N104" s="1067">
        <v>1.9910000000000001</v>
      </c>
      <c r="O104" s="1067">
        <v>1.2689999999999999</v>
      </c>
    </row>
    <row r="105" spans="1:15" x14ac:dyDescent="0.25">
      <c r="A105" s="1067" t="s">
        <v>851</v>
      </c>
      <c r="B105" s="1067" t="s">
        <v>46</v>
      </c>
      <c r="C105" s="1067" t="s">
        <v>291</v>
      </c>
      <c r="D105" s="1067">
        <v>338</v>
      </c>
      <c r="E105" s="1067">
        <v>669</v>
      </c>
      <c r="F105" s="1067">
        <v>1007</v>
      </c>
      <c r="G105" s="1067">
        <v>528</v>
      </c>
      <c r="H105" s="1067">
        <v>303</v>
      </c>
      <c r="I105" s="1067">
        <v>225</v>
      </c>
      <c r="J105" s="1067">
        <v>41226</v>
      </c>
      <c r="K105" s="1067">
        <v>2.4430000000000001</v>
      </c>
      <c r="L105" s="1067">
        <v>1.2809999999999999</v>
      </c>
      <c r="M105" s="1067">
        <v>39733</v>
      </c>
      <c r="N105" s="1067">
        <v>2.5339999999999998</v>
      </c>
      <c r="O105" s="1067">
        <v>1.329</v>
      </c>
    </row>
    <row r="106" spans="1:15" x14ac:dyDescent="0.25">
      <c r="A106" s="1067" t="s">
        <v>851</v>
      </c>
      <c r="B106" s="1067" t="s">
        <v>49</v>
      </c>
      <c r="C106" s="1067" t="s">
        <v>293</v>
      </c>
      <c r="D106" s="1067">
        <v>716</v>
      </c>
      <c r="E106" s="1067">
        <v>969</v>
      </c>
      <c r="F106" s="1067">
        <v>1685</v>
      </c>
      <c r="G106" s="1067">
        <v>1150</v>
      </c>
      <c r="H106" s="1067">
        <v>784</v>
      </c>
      <c r="I106" s="1067">
        <v>366</v>
      </c>
      <c r="J106" s="1067">
        <v>68496</v>
      </c>
      <c r="K106" s="1067">
        <v>2.46</v>
      </c>
      <c r="L106" s="1067">
        <v>1.679</v>
      </c>
      <c r="M106" s="1067">
        <v>64140</v>
      </c>
      <c r="N106" s="1067">
        <v>2.6269999999999998</v>
      </c>
      <c r="O106" s="1067">
        <v>1.7929999999999999</v>
      </c>
    </row>
    <row r="107" spans="1:15" x14ac:dyDescent="0.25">
      <c r="A107" s="1067" t="s">
        <v>851</v>
      </c>
      <c r="B107" s="1067" t="s">
        <v>52</v>
      </c>
      <c r="C107" s="1067" t="s">
        <v>295</v>
      </c>
      <c r="D107" s="1067">
        <v>389</v>
      </c>
      <c r="E107" s="1067">
        <v>1165</v>
      </c>
      <c r="F107" s="1067">
        <v>1554</v>
      </c>
      <c r="G107" s="1067">
        <v>601</v>
      </c>
      <c r="H107" s="1067">
        <v>403</v>
      </c>
      <c r="I107" s="1067">
        <v>198</v>
      </c>
      <c r="J107" s="1067">
        <v>73267</v>
      </c>
      <c r="K107" s="1067">
        <v>2.121</v>
      </c>
      <c r="L107" s="1067">
        <v>0.82</v>
      </c>
      <c r="M107" s="1067">
        <v>69003</v>
      </c>
      <c r="N107" s="1067">
        <v>2.2519999999999998</v>
      </c>
      <c r="O107" s="1067">
        <v>0.871</v>
      </c>
    </row>
    <row r="108" spans="1:15" x14ac:dyDescent="0.25">
      <c r="A108" s="1067" t="s">
        <v>851</v>
      </c>
      <c r="B108" s="1067" t="s">
        <v>56</v>
      </c>
      <c r="C108" s="1067" t="s">
        <v>298</v>
      </c>
      <c r="D108" s="1067">
        <v>413</v>
      </c>
      <c r="E108" s="1067">
        <v>588</v>
      </c>
      <c r="F108" s="1067">
        <v>1001</v>
      </c>
      <c r="G108" s="1067">
        <v>710</v>
      </c>
      <c r="H108" s="1067">
        <v>525</v>
      </c>
      <c r="I108" s="1067">
        <v>185</v>
      </c>
      <c r="J108" s="1067">
        <v>55668</v>
      </c>
      <c r="K108" s="1067">
        <v>1.798</v>
      </c>
      <c r="L108" s="1067">
        <v>1.2749999999999999</v>
      </c>
      <c r="M108" s="1067">
        <v>52588</v>
      </c>
      <c r="N108" s="1067">
        <v>1.903</v>
      </c>
      <c r="O108" s="1067">
        <v>1.35</v>
      </c>
    </row>
    <row r="109" spans="1:15" x14ac:dyDescent="0.25">
      <c r="A109" s="1067" t="s">
        <v>851</v>
      </c>
      <c r="B109" s="1067" t="s">
        <v>57</v>
      </c>
      <c r="C109" s="1067" t="s">
        <v>299</v>
      </c>
      <c r="D109" s="1067">
        <v>1364</v>
      </c>
      <c r="E109" s="1067">
        <v>2345</v>
      </c>
      <c r="F109" s="1067">
        <v>3709</v>
      </c>
      <c r="G109" s="1067">
        <v>2179</v>
      </c>
      <c r="H109" s="1067">
        <v>1628</v>
      </c>
      <c r="I109" s="1067">
        <v>551</v>
      </c>
      <c r="J109" s="1067">
        <v>152998</v>
      </c>
      <c r="K109" s="1067">
        <v>2.4239999999999999</v>
      </c>
      <c r="L109" s="1067">
        <v>1.4239999999999999</v>
      </c>
      <c r="M109" s="1067">
        <v>147434</v>
      </c>
      <c r="N109" s="1067">
        <v>2.516</v>
      </c>
      <c r="O109" s="1067">
        <v>1.478</v>
      </c>
    </row>
    <row r="110" spans="1:15" x14ac:dyDescent="0.25">
      <c r="A110" s="1067" t="s">
        <v>851</v>
      </c>
      <c r="B110" s="1067" t="s">
        <v>59</v>
      </c>
      <c r="C110" s="1067" t="s">
        <v>306</v>
      </c>
      <c r="D110" s="1067">
        <v>468</v>
      </c>
      <c r="E110" s="1067">
        <v>931</v>
      </c>
      <c r="F110" s="1067">
        <v>1399</v>
      </c>
      <c r="G110" s="1067">
        <v>722</v>
      </c>
      <c r="H110" s="1067">
        <v>550</v>
      </c>
      <c r="I110" s="1067">
        <v>172</v>
      </c>
      <c r="J110" s="1067">
        <v>45357</v>
      </c>
      <c r="K110" s="1067">
        <v>3.0840000000000001</v>
      </c>
      <c r="L110" s="1067">
        <v>1.5920000000000001</v>
      </c>
      <c r="M110" s="1067">
        <v>43030</v>
      </c>
      <c r="N110" s="1067">
        <v>3.2509999999999999</v>
      </c>
      <c r="O110" s="1067">
        <v>1.6779999999999999</v>
      </c>
    </row>
    <row r="111" spans="1:15" x14ac:dyDescent="0.25">
      <c r="A111" s="1067" t="s">
        <v>204</v>
      </c>
      <c r="B111" s="1067" t="s">
        <v>33</v>
      </c>
      <c r="C111" s="1067" t="s">
        <v>308</v>
      </c>
      <c r="D111" s="1067">
        <v>829</v>
      </c>
      <c r="E111" s="1067">
        <v>2850</v>
      </c>
      <c r="F111" s="1067">
        <v>3679</v>
      </c>
      <c r="G111" s="1067">
        <v>1227</v>
      </c>
      <c r="H111" s="1067">
        <v>723</v>
      </c>
      <c r="I111" s="1067">
        <v>504</v>
      </c>
      <c r="J111" s="1067">
        <v>54872</v>
      </c>
      <c r="K111" s="1067">
        <v>6.7050000000000001</v>
      </c>
      <c r="L111" s="1067">
        <v>2.2360000000000002</v>
      </c>
      <c r="M111" s="1067">
        <v>52413</v>
      </c>
      <c r="N111" s="1067">
        <v>7.0190000000000001</v>
      </c>
      <c r="O111" s="1067">
        <v>2.3410000000000002</v>
      </c>
    </row>
    <row r="112" spans="1:15" x14ac:dyDescent="0.25">
      <c r="A112" s="1067" t="s">
        <v>204</v>
      </c>
      <c r="B112" s="1067" t="s">
        <v>37</v>
      </c>
      <c r="C112" s="1067" t="s">
        <v>309</v>
      </c>
      <c r="D112" s="1067">
        <v>1038</v>
      </c>
      <c r="E112" s="1067">
        <v>6335</v>
      </c>
      <c r="F112" s="1067">
        <v>7373</v>
      </c>
      <c r="G112" s="1067">
        <v>1432</v>
      </c>
      <c r="H112" s="1067">
        <v>936</v>
      </c>
      <c r="I112" s="1067">
        <v>496</v>
      </c>
      <c r="J112" s="1067">
        <v>73560</v>
      </c>
      <c r="K112" s="1067">
        <v>10.023</v>
      </c>
      <c r="L112" s="1067">
        <v>1.9470000000000001</v>
      </c>
      <c r="M112" s="1067">
        <v>69500</v>
      </c>
      <c r="N112" s="1067">
        <v>10.609</v>
      </c>
      <c r="O112" s="1067">
        <v>2.06</v>
      </c>
    </row>
    <row r="113" spans="1:15" x14ac:dyDescent="0.25">
      <c r="A113" s="1067" t="s">
        <v>204</v>
      </c>
      <c r="B113" s="1067" t="s">
        <v>40</v>
      </c>
      <c r="C113" s="1067" t="s">
        <v>285</v>
      </c>
      <c r="D113" s="1067">
        <v>649</v>
      </c>
      <c r="E113" s="1067">
        <v>366</v>
      </c>
      <c r="F113" s="1067">
        <v>1015</v>
      </c>
      <c r="G113" s="1067">
        <v>1107</v>
      </c>
      <c r="H113" s="1067">
        <v>611</v>
      </c>
      <c r="I113" s="1067">
        <v>496</v>
      </c>
      <c r="J113" s="1067">
        <v>45613</v>
      </c>
      <c r="K113" s="1067">
        <v>2.2250000000000001</v>
      </c>
      <c r="L113" s="1067">
        <v>2.427</v>
      </c>
      <c r="M113" s="1067">
        <v>43682</v>
      </c>
      <c r="N113" s="1067">
        <v>2.3239999999999998</v>
      </c>
      <c r="O113" s="1067">
        <v>2.5339999999999998</v>
      </c>
    </row>
    <row r="114" spans="1:15" x14ac:dyDescent="0.25">
      <c r="A114" s="1067" t="s">
        <v>204</v>
      </c>
      <c r="B114" s="1067" t="s">
        <v>42</v>
      </c>
      <c r="C114" s="1067" t="s">
        <v>288</v>
      </c>
      <c r="D114" s="1067">
        <v>552</v>
      </c>
      <c r="E114" s="1067">
        <v>1169</v>
      </c>
      <c r="F114" s="1067">
        <v>1721</v>
      </c>
      <c r="G114" s="1067">
        <v>800</v>
      </c>
      <c r="H114" s="1067">
        <v>614</v>
      </c>
      <c r="I114" s="1067">
        <v>186</v>
      </c>
      <c r="J114" s="1067">
        <v>72128</v>
      </c>
      <c r="K114" s="1067">
        <v>2.3860000000000001</v>
      </c>
      <c r="L114" s="1067">
        <v>1.109</v>
      </c>
      <c r="M114" s="1067">
        <v>69443</v>
      </c>
      <c r="N114" s="1067">
        <v>2.4780000000000002</v>
      </c>
      <c r="O114" s="1067">
        <v>1.1519999999999999</v>
      </c>
    </row>
    <row r="115" spans="1:15" x14ac:dyDescent="0.25">
      <c r="A115" s="1067" t="s">
        <v>204</v>
      </c>
      <c r="B115" s="1067" t="s">
        <v>121</v>
      </c>
      <c r="C115" s="1067" t="s">
        <v>312</v>
      </c>
      <c r="D115" s="1067">
        <v>2763</v>
      </c>
      <c r="E115" s="1067">
        <v>3336</v>
      </c>
      <c r="F115" s="1067">
        <v>6099</v>
      </c>
      <c r="G115" s="1067">
        <v>4140</v>
      </c>
      <c r="H115" s="1067">
        <v>3186</v>
      </c>
      <c r="I115" s="1067">
        <v>954</v>
      </c>
      <c r="J115" s="1067">
        <v>301633</v>
      </c>
      <c r="K115" s="1067">
        <v>2.0219999999999998</v>
      </c>
      <c r="L115" s="1067">
        <v>1.373</v>
      </c>
      <c r="M115" s="1067">
        <v>285346</v>
      </c>
      <c r="N115" s="1067">
        <v>2.137</v>
      </c>
      <c r="O115" s="1067">
        <v>1.4510000000000001</v>
      </c>
    </row>
    <row r="116" spans="1:15" x14ac:dyDescent="0.25">
      <c r="A116" s="1067" t="s">
        <v>204</v>
      </c>
      <c r="B116" s="1067" t="s">
        <v>59</v>
      </c>
      <c r="C116" s="1067" t="s">
        <v>306</v>
      </c>
      <c r="D116" s="1067">
        <v>436</v>
      </c>
      <c r="E116" s="1067">
        <v>496</v>
      </c>
      <c r="F116" s="1067">
        <v>932</v>
      </c>
      <c r="G116" s="1067">
        <v>668</v>
      </c>
      <c r="H116" s="1067">
        <v>473</v>
      </c>
      <c r="I116" s="1067">
        <v>195</v>
      </c>
      <c r="J116" s="1067">
        <v>44880</v>
      </c>
      <c r="K116" s="1067">
        <v>2.077</v>
      </c>
      <c r="L116" s="1067">
        <v>1.488</v>
      </c>
      <c r="M116" s="1067">
        <v>42097</v>
      </c>
      <c r="N116" s="1067">
        <v>2.214</v>
      </c>
      <c r="O116" s="1067">
        <v>1.587</v>
      </c>
    </row>
    <row r="117" spans="1:15" x14ac:dyDescent="0.25">
      <c r="A117" s="1067" t="s">
        <v>203</v>
      </c>
      <c r="B117" s="1067" t="s">
        <v>33</v>
      </c>
      <c r="C117" s="1067" t="s">
        <v>308</v>
      </c>
      <c r="D117" s="1067">
        <v>486</v>
      </c>
      <c r="E117" s="1067">
        <v>1357</v>
      </c>
      <c r="F117" s="1067">
        <v>1843</v>
      </c>
      <c r="G117" s="1067">
        <v>724</v>
      </c>
      <c r="H117" s="1067">
        <v>498</v>
      </c>
      <c r="I117" s="1067">
        <v>226</v>
      </c>
      <c r="J117" s="1067">
        <v>55267</v>
      </c>
      <c r="K117" s="1067">
        <v>3.335</v>
      </c>
      <c r="L117" s="1067">
        <v>1.31</v>
      </c>
      <c r="M117" s="1067">
        <v>52692</v>
      </c>
      <c r="N117" s="1067">
        <v>3.4980000000000002</v>
      </c>
      <c r="O117" s="1067">
        <v>1.3740000000000001</v>
      </c>
    </row>
    <row r="118" spans="1:15" x14ac:dyDescent="0.25">
      <c r="A118" s="1067" t="s">
        <v>203</v>
      </c>
      <c r="B118" s="1067" t="s">
        <v>37</v>
      </c>
      <c r="C118" s="1067" t="s">
        <v>309</v>
      </c>
      <c r="D118" s="1067">
        <v>698</v>
      </c>
      <c r="E118" s="1067">
        <v>3028</v>
      </c>
      <c r="F118" s="1067">
        <v>3726</v>
      </c>
      <c r="G118" s="1067">
        <v>985</v>
      </c>
      <c r="H118" s="1067">
        <v>677</v>
      </c>
      <c r="I118" s="1067">
        <v>308</v>
      </c>
      <c r="J118" s="1067">
        <v>73575</v>
      </c>
      <c r="K118" s="1067">
        <v>5.0640000000000001</v>
      </c>
      <c r="L118" s="1067">
        <v>1.339</v>
      </c>
      <c r="M118" s="1067">
        <v>69610</v>
      </c>
      <c r="N118" s="1067">
        <v>5.3529999999999998</v>
      </c>
      <c r="O118" s="1067">
        <v>1.415</v>
      </c>
    </row>
    <row r="119" spans="1:15" x14ac:dyDescent="0.25">
      <c r="A119" s="1067" t="s">
        <v>203</v>
      </c>
      <c r="B119" s="1067" t="s">
        <v>40</v>
      </c>
      <c r="C119" s="1067" t="s">
        <v>285</v>
      </c>
      <c r="D119" s="1067">
        <v>737</v>
      </c>
      <c r="E119" s="1067">
        <v>511</v>
      </c>
      <c r="F119" s="1067">
        <v>1248</v>
      </c>
      <c r="G119" s="1067">
        <v>1234</v>
      </c>
      <c r="H119" s="1067">
        <v>708</v>
      </c>
      <c r="I119" s="1067">
        <v>526</v>
      </c>
      <c r="J119" s="1067">
        <v>45968</v>
      </c>
      <c r="K119" s="1067">
        <v>2.7149999999999999</v>
      </c>
      <c r="L119" s="1067">
        <v>2.6840000000000002</v>
      </c>
      <c r="M119" s="1067">
        <v>43981</v>
      </c>
      <c r="N119" s="1067">
        <v>2.8380000000000001</v>
      </c>
      <c r="O119" s="1067">
        <v>2.806</v>
      </c>
    </row>
    <row r="120" spans="1:15" x14ac:dyDescent="0.25">
      <c r="A120" s="1067" t="s">
        <v>203</v>
      </c>
      <c r="B120" s="1067" t="s">
        <v>42</v>
      </c>
      <c r="C120" s="1067" t="s">
        <v>288</v>
      </c>
      <c r="D120" s="1067">
        <v>533</v>
      </c>
      <c r="E120" s="1067">
        <v>1084</v>
      </c>
      <c r="F120" s="1067">
        <v>1617</v>
      </c>
      <c r="G120" s="1067">
        <v>774</v>
      </c>
      <c r="H120" s="1067">
        <v>573</v>
      </c>
      <c r="I120" s="1067">
        <v>201</v>
      </c>
      <c r="J120" s="1067">
        <v>72624</v>
      </c>
      <c r="K120" s="1067">
        <v>2.2269999999999999</v>
      </c>
      <c r="L120" s="1067">
        <v>1.0660000000000001</v>
      </c>
      <c r="M120" s="1067">
        <v>69693</v>
      </c>
      <c r="N120" s="1067">
        <v>2.3199999999999998</v>
      </c>
      <c r="O120" s="1067">
        <v>1.111</v>
      </c>
    </row>
    <row r="121" spans="1:15" x14ac:dyDescent="0.25">
      <c r="A121" s="1067" t="s">
        <v>202</v>
      </c>
      <c r="B121" s="1067" t="s">
        <v>39</v>
      </c>
      <c r="C121" s="1067" t="s">
        <v>311</v>
      </c>
      <c r="D121" s="1067">
        <v>662</v>
      </c>
      <c r="E121" s="1067">
        <v>793</v>
      </c>
      <c r="F121" s="1067">
        <v>1455</v>
      </c>
      <c r="G121" s="1067">
        <v>1092</v>
      </c>
      <c r="H121" s="1067">
        <v>844</v>
      </c>
      <c r="I121" s="1067">
        <v>248</v>
      </c>
      <c r="J121" s="1067">
        <v>45678</v>
      </c>
      <c r="K121" s="1067">
        <v>3.1850000000000001</v>
      </c>
      <c r="L121" s="1067">
        <v>2.391</v>
      </c>
      <c r="M121" s="1067">
        <v>45008</v>
      </c>
      <c r="N121" s="1067">
        <v>3.2330000000000001</v>
      </c>
      <c r="O121" s="1067">
        <v>2.4260000000000002</v>
      </c>
    </row>
    <row r="122" spans="1:15" x14ac:dyDescent="0.25">
      <c r="A122" s="1067" t="s">
        <v>202</v>
      </c>
      <c r="B122" s="1067" t="s">
        <v>48</v>
      </c>
      <c r="C122" s="1067" t="s">
        <v>287</v>
      </c>
      <c r="D122" s="1067">
        <v>114</v>
      </c>
      <c r="E122" s="1067">
        <v>205</v>
      </c>
      <c r="F122" s="1067">
        <v>319</v>
      </c>
      <c r="G122" s="1067">
        <v>185</v>
      </c>
      <c r="H122" s="1067">
        <v>144</v>
      </c>
      <c r="I122" s="1067">
        <v>41</v>
      </c>
      <c r="J122" s="1067">
        <v>14577</v>
      </c>
      <c r="K122" s="1067">
        <v>2.1880000000000002</v>
      </c>
      <c r="L122" s="1067">
        <v>1.2689999999999999</v>
      </c>
      <c r="M122" s="1067">
        <v>12968</v>
      </c>
      <c r="N122" s="1067">
        <v>2.46</v>
      </c>
      <c r="O122" s="1067">
        <v>1.427</v>
      </c>
    </row>
    <row r="123" spans="1:15" x14ac:dyDescent="0.25">
      <c r="A123" s="1067" t="s">
        <v>202</v>
      </c>
      <c r="B123" s="1067" t="s">
        <v>60</v>
      </c>
      <c r="C123" s="1067" t="s">
        <v>307</v>
      </c>
      <c r="D123" s="1067">
        <v>1092</v>
      </c>
      <c r="E123" s="1067">
        <v>779</v>
      </c>
      <c r="F123" s="1067">
        <v>1871</v>
      </c>
      <c r="G123" s="1067">
        <v>1710</v>
      </c>
      <c r="H123" s="1067">
        <v>1051</v>
      </c>
      <c r="I123" s="1067">
        <v>659</v>
      </c>
      <c r="J123" s="1067">
        <v>77834</v>
      </c>
      <c r="K123" s="1067">
        <v>2.4039999999999999</v>
      </c>
      <c r="L123" s="1067">
        <v>2.1970000000000001</v>
      </c>
      <c r="M123" s="1067">
        <v>75782</v>
      </c>
      <c r="N123" s="1067">
        <v>2.4689999999999999</v>
      </c>
      <c r="O123" s="1067">
        <v>2.2559999999999998</v>
      </c>
    </row>
    <row r="124" spans="1:15" x14ac:dyDescent="0.25">
      <c r="A124" s="1067" t="s">
        <v>273</v>
      </c>
      <c r="B124" s="1067" t="s">
        <v>45</v>
      </c>
      <c r="C124" s="1067" t="s">
        <v>290</v>
      </c>
      <c r="D124" s="1067">
        <v>797</v>
      </c>
      <c r="E124" s="1067">
        <v>1003</v>
      </c>
      <c r="F124" s="1067">
        <v>1800</v>
      </c>
      <c r="G124" s="1067">
        <v>1188</v>
      </c>
      <c r="H124" s="1067">
        <v>621</v>
      </c>
      <c r="I124" s="1067">
        <v>567</v>
      </c>
      <c r="J124" s="1067">
        <v>38835</v>
      </c>
      <c r="K124" s="1067">
        <v>4.6349999999999998</v>
      </c>
      <c r="L124" s="1067">
        <v>3.0590000000000002</v>
      </c>
      <c r="M124" s="1067">
        <v>37586</v>
      </c>
      <c r="N124" s="1067">
        <v>4.7889999999999997</v>
      </c>
      <c r="O124" s="1067">
        <v>3.161</v>
      </c>
    </row>
    <row r="125" spans="1:15" x14ac:dyDescent="0.25">
      <c r="A125" s="1067" t="s">
        <v>273</v>
      </c>
      <c r="B125" s="1067" t="s">
        <v>50</v>
      </c>
      <c r="C125" s="1067" t="s">
        <v>310</v>
      </c>
      <c r="D125" s="1067">
        <v>1400</v>
      </c>
      <c r="E125" s="1067">
        <v>2084</v>
      </c>
      <c r="F125" s="1067">
        <v>3484</v>
      </c>
      <c r="G125" s="1067">
        <v>2270</v>
      </c>
      <c r="H125" s="1067">
        <v>1722</v>
      </c>
      <c r="I125" s="1067">
        <v>548</v>
      </c>
      <c r="J125" s="1067">
        <v>153388</v>
      </c>
      <c r="K125" s="1067">
        <v>2.2709999999999999</v>
      </c>
      <c r="L125" s="1067">
        <v>1.48</v>
      </c>
      <c r="M125" s="1067">
        <v>150364</v>
      </c>
      <c r="N125" s="1067">
        <v>2.3170000000000002</v>
      </c>
      <c r="O125" s="1067">
        <v>1.51</v>
      </c>
    </row>
    <row r="126" spans="1:15" x14ac:dyDescent="0.25">
      <c r="A126" s="1067" t="s">
        <v>273</v>
      </c>
      <c r="B126" s="1067" t="s">
        <v>54</v>
      </c>
      <c r="C126" s="1067" t="s">
        <v>296</v>
      </c>
      <c r="D126" s="1067">
        <v>1359</v>
      </c>
      <c r="E126" s="1067">
        <v>1478</v>
      </c>
      <c r="F126" s="1067">
        <v>2837</v>
      </c>
      <c r="G126" s="1067">
        <v>2120</v>
      </c>
      <c r="H126" s="1067">
        <v>832</v>
      </c>
      <c r="I126" s="1067">
        <v>1288</v>
      </c>
      <c r="J126" s="1067">
        <v>57940</v>
      </c>
      <c r="K126" s="1067">
        <v>4.8959999999999999</v>
      </c>
      <c r="L126" s="1067">
        <v>3.6589999999999998</v>
      </c>
      <c r="M126" s="1067">
        <v>53787</v>
      </c>
      <c r="N126" s="1067">
        <v>5.2750000000000004</v>
      </c>
      <c r="O126" s="1067">
        <v>3.9409999999999998</v>
      </c>
    </row>
    <row r="127" spans="1:15" x14ac:dyDescent="0.25">
      <c r="A127" s="1067" t="s">
        <v>255</v>
      </c>
      <c r="B127" s="1067" t="s">
        <v>36</v>
      </c>
      <c r="C127" s="1067" t="s">
        <v>283</v>
      </c>
      <c r="D127" s="1067">
        <v>1115</v>
      </c>
      <c r="E127" s="1067">
        <v>836</v>
      </c>
      <c r="F127" s="1067">
        <v>1951</v>
      </c>
      <c r="G127" s="1067">
        <v>1617</v>
      </c>
      <c r="H127" s="1067">
        <v>1083</v>
      </c>
      <c r="I127" s="1067">
        <v>534</v>
      </c>
      <c r="J127" s="1067">
        <v>74687</v>
      </c>
      <c r="K127" s="1067">
        <v>2.6120000000000001</v>
      </c>
      <c r="L127" s="1067">
        <v>2.165</v>
      </c>
      <c r="M127" s="1067">
        <v>69503</v>
      </c>
      <c r="N127" s="1067">
        <v>2.8069999999999999</v>
      </c>
      <c r="O127" s="1067">
        <v>2.327</v>
      </c>
    </row>
    <row r="128" spans="1:15" x14ac:dyDescent="0.25">
      <c r="A128" s="1067" t="s">
        <v>255</v>
      </c>
      <c r="B128" s="1067" t="s">
        <v>45</v>
      </c>
      <c r="C128" s="1067" t="s">
        <v>290</v>
      </c>
      <c r="D128" s="1067">
        <v>712</v>
      </c>
      <c r="E128" s="1067">
        <v>764</v>
      </c>
      <c r="F128" s="1067">
        <v>1476</v>
      </c>
      <c r="G128" s="1067">
        <v>1023</v>
      </c>
      <c r="H128" s="1067">
        <v>621</v>
      </c>
      <c r="I128" s="1067">
        <v>402</v>
      </c>
      <c r="J128" s="1067">
        <v>38848</v>
      </c>
      <c r="K128" s="1067">
        <v>3.7989999999999999</v>
      </c>
      <c r="L128" s="1067">
        <v>2.633</v>
      </c>
      <c r="M128" s="1067">
        <v>37651</v>
      </c>
      <c r="N128" s="1067">
        <v>3.92</v>
      </c>
      <c r="O128" s="1067">
        <v>2.7170000000000001</v>
      </c>
    </row>
    <row r="129" spans="1:15" x14ac:dyDescent="0.25">
      <c r="A129" s="1067" t="s">
        <v>255</v>
      </c>
      <c r="B129" s="1067" t="s">
        <v>50</v>
      </c>
      <c r="C129" s="1067" t="s">
        <v>310</v>
      </c>
      <c r="D129" s="1067">
        <v>1327</v>
      </c>
      <c r="E129" s="1067">
        <v>1990</v>
      </c>
      <c r="F129" s="1067">
        <v>3317</v>
      </c>
      <c r="G129" s="1067">
        <v>2190</v>
      </c>
      <c r="H129" s="1067">
        <v>1744</v>
      </c>
      <c r="I129" s="1067">
        <v>446</v>
      </c>
      <c r="J129" s="1067">
        <v>154286</v>
      </c>
      <c r="K129" s="1067">
        <v>2.15</v>
      </c>
      <c r="L129" s="1067">
        <v>1.419</v>
      </c>
      <c r="M129" s="1067">
        <v>151155</v>
      </c>
      <c r="N129" s="1067">
        <v>2.194</v>
      </c>
      <c r="O129" s="1067">
        <v>1.4490000000000001</v>
      </c>
    </row>
    <row r="130" spans="1:15" x14ac:dyDescent="0.25">
      <c r="A130" s="1067" t="s">
        <v>255</v>
      </c>
      <c r="B130" s="1067" t="s">
        <v>54</v>
      </c>
      <c r="C130" s="1067" t="s">
        <v>296</v>
      </c>
      <c r="D130" s="1067">
        <v>1121</v>
      </c>
      <c r="E130" s="1067">
        <v>1263</v>
      </c>
      <c r="F130" s="1067">
        <v>2384</v>
      </c>
      <c r="G130" s="1067">
        <v>1720</v>
      </c>
      <c r="H130" s="1067">
        <v>779</v>
      </c>
      <c r="I130" s="1067">
        <v>941</v>
      </c>
      <c r="J130" s="1067">
        <v>58167</v>
      </c>
      <c r="K130" s="1067">
        <v>4.0990000000000002</v>
      </c>
      <c r="L130" s="1067">
        <v>2.9569999999999999</v>
      </c>
      <c r="M130" s="1067">
        <v>54306</v>
      </c>
      <c r="N130" s="1067">
        <v>4.3899999999999997</v>
      </c>
      <c r="O130" s="1067">
        <v>3.1669999999999998</v>
      </c>
    </row>
    <row r="131" spans="1:15" x14ac:dyDescent="0.25">
      <c r="A131" s="1067" t="s">
        <v>255</v>
      </c>
      <c r="B131" s="1067" t="s">
        <v>58</v>
      </c>
      <c r="C131" s="1067" t="s">
        <v>300</v>
      </c>
      <c r="D131" s="1067">
        <v>335</v>
      </c>
      <c r="E131" s="1067">
        <v>625</v>
      </c>
      <c r="F131" s="1067">
        <v>960</v>
      </c>
      <c r="G131" s="1067">
        <v>528</v>
      </c>
      <c r="H131" s="1067">
        <v>315</v>
      </c>
      <c r="I131" s="1067">
        <v>213</v>
      </c>
      <c r="J131" s="1067">
        <v>41250</v>
      </c>
      <c r="K131" s="1067">
        <v>2.327</v>
      </c>
      <c r="L131" s="1067">
        <v>1.28</v>
      </c>
      <c r="M131" s="1067">
        <v>39285</v>
      </c>
      <c r="N131" s="1067">
        <v>2.444</v>
      </c>
      <c r="O131" s="1067">
        <v>1.3440000000000001</v>
      </c>
    </row>
    <row r="132" spans="1:15" x14ac:dyDescent="0.25">
      <c r="A132" s="1067" t="s">
        <v>254</v>
      </c>
      <c r="B132" s="1067" t="s">
        <v>39</v>
      </c>
      <c r="C132" s="1067" t="s">
        <v>311</v>
      </c>
      <c r="D132" s="1067">
        <v>653</v>
      </c>
      <c r="E132" s="1067">
        <v>579</v>
      </c>
      <c r="F132" s="1067">
        <v>1232</v>
      </c>
      <c r="G132" s="1067">
        <v>1040</v>
      </c>
      <c r="H132" s="1067">
        <v>755</v>
      </c>
      <c r="I132" s="1067">
        <v>285</v>
      </c>
      <c r="J132" s="1067">
        <v>46721</v>
      </c>
      <c r="K132" s="1067">
        <v>2.637</v>
      </c>
      <c r="L132" s="1067">
        <v>2.226</v>
      </c>
      <c r="M132" s="1067">
        <v>46023</v>
      </c>
      <c r="N132" s="1067">
        <v>2.677</v>
      </c>
      <c r="O132" s="1067">
        <v>2.2599999999999998</v>
      </c>
    </row>
    <row r="133" spans="1:15" x14ac:dyDescent="0.25">
      <c r="A133" s="1067" t="s">
        <v>254</v>
      </c>
      <c r="B133" s="1067" t="s">
        <v>48</v>
      </c>
      <c r="C133" s="1067" t="s">
        <v>287</v>
      </c>
      <c r="D133" s="1067">
        <v>112</v>
      </c>
      <c r="E133" s="1067">
        <v>274</v>
      </c>
      <c r="F133" s="1067">
        <v>386</v>
      </c>
      <c r="G133" s="1067">
        <v>161</v>
      </c>
      <c r="H133" s="1067">
        <v>132</v>
      </c>
      <c r="I133" s="1067">
        <v>29</v>
      </c>
      <c r="J133" s="1067">
        <v>14706</v>
      </c>
      <c r="K133" s="1067">
        <v>2.625</v>
      </c>
      <c r="L133" s="1067">
        <v>1.095</v>
      </c>
      <c r="M133" s="1067">
        <v>12773</v>
      </c>
      <c r="N133" s="1067">
        <v>3.0219999999999998</v>
      </c>
      <c r="O133" s="1067">
        <v>1.26</v>
      </c>
    </row>
    <row r="134" spans="1:15" x14ac:dyDescent="0.25">
      <c r="A134" s="1067" t="s">
        <v>254</v>
      </c>
      <c r="B134" s="1067" t="s">
        <v>55</v>
      </c>
      <c r="C134" s="1067" t="s">
        <v>297</v>
      </c>
      <c r="D134" s="1067">
        <v>87</v>
      </c>
      <c r="E134" s="1067">
        <v>209</v>
      </c>
      <c r="F134" s="1067">
        <v>296</v>
      </c>
      <c r="G134" s="1067">
        <v>159</v>
      </c>
      <c r="H134" s="1067">
        <v>85</v>
      </c>
      <c r="I134" s="1067">
        <v>74</v>
      </c>
      <c r="J134" s="1067">
        <v>11270</v>
      </c>
      <c r="K134" s="1067">
        <v>2.6259999999999999</v>
      </c>
      <c r="L134" s="1067">
        <v>1.411</v>
      </c>
      <c r="M134" s="1067">
        <v>10384</v>
      </c>
      <c r="N134" s="1067">
        <v>2.851</v>
      </c>
      <c r="O134" s="1067">
        <v>1.5309999999999999</v>
      </c>
    </row>
    <row r="135" spans="1:15" x14ac:dyDescent="0.25">
      <c r="A135" s="1067" t="s">
        <v>851</v>
      </c>
      <c r="B135" s="1067" t="s">
        <v>44</v>
      </c>
      <c r="C135" s="1067" t="s">
        <v>289</v>
      </c>
      <c r="D135" s="1067">
        <v>591</v>
      </c>
      <c r="E135" s="1067">
        <v>2275</v>
      </c>
      <c r="F135" s="1067">
        <v>2866</v>
      </c>
      <c r="G135" s="1067">
        <v>985</v>
      </c>
      <c r="H135" s="1067">
        <v>522</v>
      </c>
      <c r="I135" s="1067">
        <v>463</v>
      </c>
      <c r="J135" s="1067">
        <v>119061</v>
      </c>
      <c r="K135" s="1067">
        <v>2.407</v>
      </c>
      <c r="L135" s="1067">
        <v>0.82699999999999996</v>
      </c>
      <c r="M135" s="1067">
        <v>109514</v>
      </c>
      <c r="N135" s="1067">
        <v>2.617</v>
      </c>
      <c r="O135" s="1067">
        <v>0.89900000000000002</v>
      </c>
    </row>
    <row r="136" spans="1:15" x14ac:dyDescent="0.25">
      <c r="A136" s="1067" t="s">
        <v>851</v>
      </c>
      <c r="B136" s="1067" t="s">
        <v>58</v>
      </c>
      <c r="C136" s="1067" t="s">
        <v>300</v>
      </c>
      <c r="D136" s="1067">
        <v>310</v>
      </c>
      <c r="E136" s="1067">
        <v>590</v>
      </c>
      <c r="F136" s="1067">
        <v>900</v>
      </c>
      <c r="G136" s="1067">
        <v>512</v>
      </c>
      <c r="H136" s="1067">
        <v>360</v>
      </c>
      <c r="I136" s="1067">
        <v>152</v>
      </c>
      <c r="J136" s="1067">
        <v>41638</v>
      </c>
      <c r="K136" s="1067">
        <v>2.161</v>
      </c>
      <c r="L136" s="1067">
        <v>1.23</v>
      </c>
      <c r="M136" s="1067">
        <v>39654</v>
      </c>
      <c r="N136" s="1067">
        <v>2.27</v>
      </c>
      <c r="O136" s="1067">
        <v>1.2909999999999999</v>
      </c>
    </row>
    <row r="137" spans="1:15" x14ac:dyDescent="0.25">
      <c r="A137" s="1067" t="s">
        <v>204</v>
      </c>
      <c r="B137" s="1067" t="s">
        <v>36</v>
      </c>
      <c r="C137" s="1067" t="s">
        <v>283</v>
      </c>
      <c r="D137" s="1067">
        <v>1064</v>
      </c>
      <c r="E137" s="1067">
        <v>392</v>
      </c>
      <c r="F137" s="1067">
        <v>1456</v>
      </c>
      <c r="G137" s="1067">
        <v>1422</v>
      </c>
      <c r="H137" s="1067">
        <v>882</v>
      </c>
      <c r="I137" s="1067">
        <v>540</v>
      </c>
      <c r="J137" s="1067">
        <v>73555</v>
      </c>
      <c r="K137" s="1067">
        <v>1.9790000000000001</v>
      </c>
      <c r="L137" s="1067">
        <v>1.9330000000000001</v>
      </c>
      <c r="M137" s="1067">
        <v>68682</v>
      </c>
      <c r="N137" s="1067">
        <v>2.12</v>
      </c>
      <c r="O137" s="1067">
        <v>2.0699999999999998</v>
      </c>
    </row>
    <row r="138" spans="1:15" x14ac:dyDescent="0.25">
      <c r="A138" s="1067" t="s">
        <v>204</v>
      </c>
      <c r="B138" s="1067" t="s">
        <v>44</v>
      </c>
      <c r="C138" s="1067" t="s">
        <v>289</v>
      </c>
      <c r="D138" s="1067">
        <v>1287</v>
      </c>
      <c r="E138" s="1067">
        <v>2547</v>
      </c>
      <c r="F138" s="1067">
        <v>3834</v>
      </c>
      <c r="G138" s="1067">
        <v>2041</v>
      </c>
      <c r="H138" s="1067">
        <v>1317</v>
      </c>
      <c r="I138" s="1067">
        <v>724</v>
      </c>
      <c r="J138" s="1067">
        <v>113703</v>
      </c>
      <c r="K138" s="1067">
        <v>3.3719999999999999</v>
      </c>
      <c r="L138" s="1067">
        <v>1.7949999999999999</v>
      </c>
      <c r="M138" s="1067">
        <v>104445</v>
      </c>
      <c r="N138" s="1067">
        <v>3.6709999999999998</v>
      </c>
      <c r="O138" s="1067">
        <v>1.954</v>
      </c>
    </row>
    <row r="139" spans="1:15" x14ac:dyDescent="0.25">
      <c r="A139" s="1067" t="s">
        <v>204</v>
      </c>
      <c r="B139" s="1067" t="s">
        <v>45</v>
      </c>
      <c r="C139" s="1067" t="s">
        <v>290</v>
      </c>
      <c r="D139" s="1067">
        <v>649</v>
      </c>
      <c r="E139" s="1067">
        <v>595</v>
      </c>
      <c r="F139" s="1067">
        <v>1244</v>
      </c>
      <c r="G139" s="1067">
        <v>980</v>
      </c>
      <c r="H139" s="1067">
        <v>626</v>
      </c>
      <c r="I139" s="1067">
        <v>354</v>
      </c>
      <c r="J139" s="1067">
        <v>38791</v>
      </c>
      <c r="K139" s="1067">
        <v>3.2069999999999999</v>
      </c>
      <c r="L139" s="1067">
        <v>2.5259999999999998</v>
      </c>
      <c r="M139" s="1067">
        <v>37337</v>
      </c>
      <c r="N139" s="1067">
        <v>3.3319999999999999</v>
      </c>
      <c r="O139" s="1067">
        <v>2.625</v>
      </c>
    </row>
    <row r="140" spans="1:15" x14ac:dyDescent="0.25">
      <c r="A140" s="1067" t="s">
        <v>204</v>
      </c>
      <c r="B140" s="1067" t="s">
        <v>54</v>
      </c>
      <c r="C140" s="1067" t="s">
        <v>296</v>
      </c>
      <c r="D140" s="1067">
        <v>1251</v>
      </c>
      <c r="E140" s="1067">
        <v>1347</v>
      </c>
      <c r="F140" s="1067">
        <v>2598</v>
      </c>
      <c r="G140" s="1067">
        <v>1993</v>
      </c>
      <c r="H140" s="1067">
        <v>947</v>
      </c>
      <c r="I140" s="1067">
        <v>1046</v>
      </c>
      <c r="J140" s="1067">
        <v>57097</v>
      </c>
      <c r="K140" s="1067">
        <v>4.55</v>
      </c>
      <c r="L140" s="1067">
        <v>3.4910000000000001</v>
      </c>
      <c r="M140" s="1067">
        <v>52934</v>
      </c>
      <c r="N140" s="1067">
        <v>4.9080000000000004</v>
      </c>
      <c r="O140" s="1067">
        <v>3.7650000000000001</v>
      </c>
    </row>
    <row r="141" spans="1:15" x14ac:dyDescent="0.25">
      <c r="A141" s="1067" t="s">
        <v>204</v>
      </c>
      <c r="B141" s="1067" t="s">
        <v>58</v>
      </c>
      <c r="C141" s="1067" t="s">
        <v>300</v>
      </c>
      <c r="D141" s="1067">
        <v>265</v>
      </c>
      <c r="E141" s="1067">
        <v>607</v>
      </c>
      <c r="F141" s="1067">
        <v>872</v>
      </c>
      <c r="G141" s="1067">
        <v>410</v>
      </c>
      <c r="H141" s="1067">
        <v>297</v>
      </c>
      <c r="I141" s="1067">
        <v>113</v>
      </c>
      <c r="J141" s="1067">
        <v>39965</v>
      </c>
      <c r="K141" s="1067">
        <v>2.1819999999999999</v>
      </c>
      <c r="L141" s="1067">
        <v>1.026</v>
      </c>
      <c r="M141" s="1067">
        <v>38056</v>
      </c>
      <c r="N141" s="1067">
        <v>2.2909999999999999</v>
      </c>
      <c r="O141" s="1067">
        <v>1.077</v>
      </c>
    </row>
    <row r="142" spans="1:15" x14ac:dyDescent="0.25">
      <c r="A142" s="1067" t="s">
        <v>203</v>
      </c>
      <c r="B142" s="1067" t="s">
        <v>36</v>
      </c>
      <c r="C142" s="1067" t="s">
        <v>283</v>
      </c>
      <c r="D142" s="1067">
        <v>897</v>
      </c>
      <c r="E142" s="1067">
        <v>629</v>
      </c>
      <c r="F142" s="1067">
        <v>1526</v>
      </c>
      <c r="G142" s="1067">
        <v>1215</v>
      </c>
      <c r="H142" s="1067">
        <v>765</v>
      </c>
      <c r="I142" s="1067">
        <v>450</v>
      </c>
      <c r="J142" s="1067">
        <v>73895</v>
      </c>
      <c r="K142" s="1067">
        <v>2.0649999999999999</v>
      </c>
      <c r="L142" s="1067">
        <v>1.6439999999999999</v>
      </c>
      <c r="M142" s="1067">
        <v>68818</v>
      </c>
      <c r="N142" s="1067">
        <v>2.2170000000000001</v>
      </c>
      <c r="O142" s="1067">
        <v>1.766</v>
      </c>
    </row>
    <row r="143" spans="1:15" x14ac:dyDescent="0.25">
      <c r="A143" s="1067" t="s">
        <v>203</v>
      </c>
      <c r="B143" s="1067" t="s">
        <v>44</v>
      </c>
      <c r="C143" s="1067" t="s">
        <v>289</v>
      </c>
      <c r="D143" s="1067">
        <v>962</v>
      </c>
      <c r="E143" s="1067">
        <v>2623</v>
      </c>
      <c r="F143" s="1067">
        <v>3585</v>
      </c>
      <c r="G143" s="1067">
        <v>1542</v>
      </c>
      <c r="H143" s="1067">
        <v>1042</v>
      </c>
      <c r="I143" s="1067">
        <v>500</v>
      </c>
      <c r="J143" s="1067">
        <v>114603</v>
      </c>
      <c r="K143" s="1067">
        <v>3.1280000000000001</v>
      </c>
      <c r="L143" s="1067">
        <v>1.3460000000000001</v>
      </c>
      <c r="M143" s="1067">
        <v>105711</v>
      </c>
      <c r="N143" s="1067">
        <v>3.391</v>
      </c>
      <c r="O143" s="1067">
        <v>1.4590000000000001</v>
      </c>
    </row>
    <row r="144" spans="1:15" x14ac:dyDescent="0.25">
      <c r="A144" s="1067" t="s">
        <v>203</v>
      </c>
      <c r="B144" s="1067" t="s">
        <v>45</v>
      </c>
      <c r="C144" s="1067" t="s">
        <v>290</v>
      </c>
      <c r="D144" s="1067">
        <v>673</v>
      </c>
      <c r="E144" s="1067">
        <v>631</v>
      </c>
      <c r="F144" s="1067">
        <v>1304</v>
      </c>
      <c r="G144" s="1067">
        <v>1022</v>
      </c>
      <c r="H144" s="1067">
        <v>636</v>
      </c>
      <c r="I144" s="1067">
        <v>386</v>
      </c>
      <c r="J144" s="1067">
        <v>38699</v>
      </c>
      <c r="K144" s="1067">
        <v>3.37</v>
      </c>
      <c r="L144" s="1067">
        <v>2.641</v>
      </c>
      <c r="M144" s="1067">
        <v>37384</v>
      </c>
      <c r="N144" s="1067">
        <v>3.488</v>
      </c>
      <c r="O144" s="1067">
        <v>2.734</v>
      </c>
    </row>
    <row r="145" spans="1:15" x14ac:dyDescent="0.25">
      <c r="A145" s="1067" t="s">
        <v>203</v>
      </c>
      <c r="B145" s="1067" t="s">
        <v>54</v>
      </c>
      <c r="C145" s="1067" t="s">
        <v>296</v>
      </c>
      <c r="D145" s="1067">
        <v>1229</v>
      </c>
      <c r="E145" s="1067">
        <v>1194</v>
      </c>
      <c r="F145" s="1067">
        <v>2423</v>
      </c>
      <c r="G145" s="1067">
        <v>1916</v>
      </c>
      <c r="H145" s="1067">
        <v>844</v>
      </c>
      <c r="I145" s="1067">
        <v>1072</v>
      </c>
      <c r="J145" s="1067">
        <v>57274</v>
      </c>
      <c r="K145" s="1067">
        <v>4.2309999999999999</v>
      </c>
      <c r="L145" s="1067">
        <v>3.3450000000000002</v>
      </c>
      <c r="M145" s="1067">
        <v>53157</v>
      </c>
      <c r="N145" s="1067">
        <v>4.5579999999999998</v>
      </c>
      <c r="O145" s="1067">
        <v>3.6040000000000001</v>
      </c>
    </row>
    <row r="146" spans="1:15" x14ac:dyDescent="0.25">
      <c r="A146" s="1067" t="s">
        <v>203</v>
      </c>
      <c r="B146" s="1067" t="s">
        <v>58</v>
      </c>
      <c r="C146" s="1067" t="s">
        <v>300</v>
      </c>
      <c r="D146" s="1067">
        <v>352</v>
      </c>
      <c r="E146" s="1067">
        <v>667</v>
      </c>
      <c r="F146" s="1067">
        <v>1019</v>
      </c>
      <c r="G146" s="1067">
        <v>557</v>
      </c>
      <c r="H146" s="1067">
        <v>391</v>
      </c>
      <c r="I146" s="1067">
        <v>166</v>
      </c>
      <c r="J146" s="1067">
        <v>40320</v>
      </c>
      <c r="K146" s="1067">
        <v>2.5270000000000001</v>
      </c>
      <c r="L146" s="1067">
        <v>1.381</v>
      </c>
      <c r="M146" s="1067">
        <v>38310</v>
      </c>
      <c r="N146" s="1067">
        <v>2.66</v>
      </c>
      <c r="O146" s="1067">
        <v>1.454</v>
      </c>
    </row>
    <row r="147" spans="1:15" x14ac:dyDescent="0.25">
      <c r="A147" s="1067" t="s">
        <v>202</v>
      </c>
      <c r="B147" s="1067" t="s">
        <v>258</v>
      </c>
      <c r="C147" s="1067" t="s">
        <v>304</v>
      </c>
      <c r="D147" s="1067">
        <v>2759</v>
      </c>
      <c r="E147" s="1067">
        <v>2546</v>
      </c>
      <c r="F147" s="1067">
        <v>5305</v>
      </c>
      <c r="G147" s="1067">
        <v>3843</v>
      </c>
      <c r="H147" s="1067">
        <v>2752</v>
      </c>
      <c r="I147" s="1067">
        <v>1091</v>
      </c>
      <c r="J147" s="1067">
        <v>241433</v>
      </c>
      <c r="K147" s="1067">
        <v>2.1970000000000001</v>
      </c>
      <c r="L147" s="1067">
        <v>1.5920000000000001</v>
      </c>
      <c r="M147" s="1067">
        <v>229650</v>
      </c>
      <c r="N147" s="1067">
        <v>2.31</v>
      </c>
      <c r="O147" s="1067">
        <v>1.673</v>
      </c>
    </row>
    <row r="148" spans="1:15" x14ac:dyDescent="0.25">
      <c r="A148" s="1067" t="s">
        <v>202</v>
      </c>
      <c r="B148" s="1067" t="s">
        <v>35</v>
      </c>
      <c r="C148" s="1067" t="s">
        <v>282</v>
      </c>
      <c r="D148" s="1067">
        <v>243</v>
      </c>
      <c r="E148" s="1067">
        <v>382</v>
      </c>
      <c r="F148" s="1067">
        <v>625</v>
      </c>
      <c r="G148" s="1067">
        <v>359</v>
      </c>
      <c r="H148" s="1067">
        <v>229</v>
      </c>
      <c r="I148" s="1067">
        <v>130</v>
      </c>
      <c r="J148" s="1067">
        <v>24114</v>
      </c>
      <c r="K148" s="1067">
        <v>2.5920000000000001</v>
      </c>
      <c r="L148" s="1067">
        <v>1.4890000000000001</v>
      </c>
      <c r="M148" s="1067">
        <v>23333</v>
      </c>
      <c r="N148" s="1067">
        <v>2.6789999999999998</v>
      </c>
      <c r="O148" s="1067">
        <v>1.5389999999999999</v>
      </c>
    </row>
    <row r="149" spans="1:15" x14ac:dyDescent="0.25">
      <c r="A149" s="1067" t="s">
        <v>202</v>
      </c>
      <c r="B149" s="1067" t="s">
        <v>41</v>
      </c>
      <c r="C149" s="1067" t="s">
        <v>286</v>
      </c>
      <c r="D149" s="1067">
        <v>587</v>
      </c>
      <c r="E149" s="1067">
        <v>1106</v>
      </c>
      <c r="F149" s="1067">
        <v>1693</v>
      </c>
      <c r="G149" s="1067">
        <v>890</v>
      </c>
      <c r="H149" s="1067">
        <v>640</v>
      </c>
      <c r="I149" s="1067">
        <v>250</v>
      </c>
      <c r="J149" s="1067">
        <v>38061</v>
      </c>
      <c r="K149" s="1067">
        <v>4.4480000000000004</v>
      </c>
      <c r="L149" s="1067">
        <v>2.3380000000000001</v>
      </c>
      <c r="M149" s="1067">
        <v>38270</v>
      </c>
      <c r="N149" s="1067">
        <v>4.4240000000000004</v>
      </c>
      <c r="O149" s="1067">
        <v>2.3260000000000001</v>
      </c>
    </row>
    <row r="150" spans="1:15" x14ac:dyDescent="0.25">
      <c r="A150" s="1067" t="s">
        <v>202</v>
      </c>
      <c r="B150" s="1067" t="s">
        <v>47</v>
      </c>
      <c r="C150" s="1067" t="s">
        <v>292</v>
      </c>
      <c r="D150" s="1067">
        <v>426</v>
      </c>
      <c r="E150" s="1067">
        <v>479</v>
      </c>
      <c r="F150" s="1067">
        <v>905</v>
      </c>
      <c r="G150" s="1067">
        <v>767</v>
      </c>
      <c r="H150" s="1067">
        <v>383</v>
      </c>
      <c r="I150" s="1067">
        <v>384</v>
      </c>
      <c r="J150" s="1067">
        <v>44096</v>
      </c>
      <c r="K150" s="1067">
        <v>2.052</v>
      </c>
      <c r="L150" s="1067">
        <v>1.7390000000000001</v>
      </c>
      <c r="M150" s="1067">
        <v>41641</v>
      </c>
      <c r="N150" s="1067">
        <v>2.173</v>
      </c>
      <c r="O150" s="1067">
        <v>1.8420000000000001</v>
      </c>
    </row>
    <row r="151" spans="1:15" x14ac:dyDescent="0.25">
      <c r="A151" s="1067" t="s">
        <v>202</v>
      </c>
      <c r="B151" s="1067" t="s">
        <v>51</v>
      </c>
      <c r="C151" s="1067" t="s">
        <v>294</v>
      </c>
      <c r="D151" s="1067">
        <v>134</v>
      </c>
      <c r="E151" s="1067">
        <v>192</v>
      </c>
      <c r="F151" s="1067">
        <v>326</v>
      </c>
      <c r="G151" s="1067">
        <v>201</v>
      </c>
      <c r="H151" s="1067">
        <v>109</v>
      </c>
      <c r="I151" s="1067">
        <v>92</v>
      </c>
      <c r="J151" s="1067">
        <v>10924</v>
      </c>
      <c r="K151" s="1067">
        <v>2.984</v>
      </c>
      <c r="L151" s="1067">
        <v>1.84</v>
      </c>
      <c r="M151" s="1067">
        <v>10146</v>
      </c>
      <c r="N151" s="1067">
        <v>3.2130000000000001</v>
      </c>
      <c r="O151" s="1067">
        <v>1.9810000000000001</v>
      </c>
    </row>
    <row r="152" spans="1:15" x14ac:dyDescent="0.25">
      <c r="A152" s="1067" t="s">
        <v>273</v>
      </c>
      <c r="B152" s="1067" t="s">
        <v>31</v>
      </c>
      <c r="C152" s="1067" t="s">
        <v>301</v>
      </c>
      <c r="D152" s="1067">
        <v>466</v>
      </c>
      <c r="E152" s="1067">
        <v>1427</v>
      </c>
      <c r="F152" s="1067">
        <v>1893</v>
      </c>
      <c r="G152" s="1067">
        <v>673</v>
      </c>
      <c r="H152" s="1067">
        <v>374</v>
      </c>
      <c r="I152" s="1067">
        <v>299</v>
      </c>
      <c r="J152" s="1067">
        <v>115080</v>
      </c>
      <c r="K152" s="1067">
        <v>1.645</v>
      </c>
      <c r="L152" s="1067">
        <v>0.58499999999999996</v>
      </c>
      <c r="M152" s="1067">
        <v>106749</v>
      </c>
      <c r="N152" s="1067">
        <v>1.7729999999999999</v>
      </c>
      <c r="O152" s="1067">
        <v>0.63</v>
      </c>
    </row>
    <row r="153" spans="1:15" x14ac:dyDescent="0.25">
      <c r="A153" s="1067" t="s">
        <v>273</v>
      </c>
      <c r="B153" s="1067" t="s">
        <v>34</v>
      </c>
      <c r="C153" s="1067" t="s">
        <v>303</v>
      </c>
      <c r="D153" s="1067">
        <v>630</v>
      </c>
      <c r="E153" s="1067">
        <v>925</v>
      </c>
      <c r="F153" s="1067">
        <v>1555</v>
      </c>
      <c r="G153" s="1067">
        <v>978</v>
      </c>
      <c r="H153" s="1067">
        <v>481</v>
      </c>
      <c r="I153" s="1067">
        <v>497</v>
      </c>
      <c r="J153" s="1067">
        <v>47780</v>
      </c>
      <c r="K153" s="1067">
        <v>3.254</v>
      </c>
      <c r="L153" s="1067">
        <v>2.0470000000000002</v>
      </c>
      <c r="M153" s="1067">
        <v>41040</v>
      </c>
      <c r="N153" s="1067">
        <v>3.7890000000000001</v>
      </c>
      <c r="O153" s="1067">
        <v>2.383</v>
      </c>
    </row>
    <row r="154" spans="1:15" x14ac:dyDescent="0.25">
      <c r="A154" s="1067" t="s">
        <v>273</v>
      </c>
      <c r="B154" s="1067" t="s">
        <v>42</v>
      </c>
      <c r="C154" s="1067" t="s">
        <v>288</v>
      </c>
      <c r="D154" s="1067">
        <v>570</v>
      </c>
      <c r="E154" s="1067">
        <v>980</v>
      </c>
      <c r="F154" s="1067">
        <v>1550</v>
      </c>
      <c r="G154" s="1067">
        <v>878</v>
      </c>
      <c r="H154" s="1067">
        <v>612</v>
      </c>
      <c r="I154" s="1067">
        <v>266</v>
      </c>
      <c r="J154" s="1067">
        <v>73767</v>
      </c>
      <c r="K154" s="1067">
        <v>2.101</v>
      </c>
      <c r="L154" s="1067">
        <v>1.19</v>
      </c>
      <c r="M154" s="1067">
        <v>71072</v>
      </c>
      <c r="N154" s="1067">
        <v>2.181</v>
      </c>
      <c r="O154" s="1067">
        <v>1.2350000000000001</v>
      </c>
    </row>
    <row r="155" spans="1:15" x14ac:dyDescent="0.25">
      <c r="A155" s="1067" t="s">
        <v>273</v>
      </c>
      <c r="B155" s="1067" t="s">
        <v>121</v>
      </c>
      <c r="C155" s="1067" t="s">
        <v>312</v>
      </c>
      <c r="D155" s="1067">
        <v>2486</v>
      </c>
      <c r="E155" s="1067">
        <v>3499</v>
      </c>
      <c r="F155" s="1067">
        <v>5985</v>
      </c>
      <c r="G155" s="1067">
        <v>3481</v>
      </c>
      <c r="H155" s="1067">
        <v>2532</v>
      </c>
      <c r="I155" s="1067">
        <v>949</v>
      </c>
      <c r="J155" s="1067">
        <v>306000</v>
      </c>
      <c r="K155" s="1067">
        <v>1.956</v>
      </c>
      <c r="L155" s="1067">
        <v>1.1379999999999999</v>
      </c>
      <c r="M155" s="1067">
        <v>289399</v>
      </c>
      <c r="N155" s="1067">
        <v>2.0680000000000001</v>
      </c>
      <c r="O155" s="1067">
        <v>1.2030000000000001</v>
      </c>
    </row>
    <row r="156" spans="1:15" x14ac:dyDescent="0.25">
      <c r="A156" s="1067" t="s">
        <v>273</v>
      </c>
      <c r="B156" s="1067" t="s">
        <v>55</v>
      </c>
      <c r="C156" s="1067" t="s">
        <v>297</v>
      </c>
      <c r="D156" s="1067">
        <v>86</v>
      </c>
      <c r="E156" s="1067">
        <v>283</v>
      </c>
      <c r="F156" s="1067">
        <v>369</v>
      </c>
      <c r="G156" s="1067">
        <v>160</v>
      </c>
      <c r="H156" s="1067">
        <v>90</v>
      </c>
      <c r="I156" s="1067">
        <v>70</v>
      </c>
      <c r="J156" s="1067">
        <v>11109</v>
      </c>
      <c r="K156" s="1067">
        <v>3.3220000000000001</v>
      </c>
      <c r="L156" s="1067">
        <v>1.44</v>
      </c>
      <c r="M156" s="1067">
        <v>10283</v>
      </c>
      <c r="N156" s="1067">
        <v>3.5880000000000001</v>
      </c>
      <c r="O156" s="1067">
        <v>1.556</v>
      </c>
    </row>
    <row r="157" spans="1:15" x14ac:dyDescent="0.25">
      <c r="A157" s="1067" t="s">
        <v>273</v>
      </c>
      <c r="B157" s="1067" t="s">
        <v>56</v>
      </c>
      <c r="C157" s="1067" t="s">
        <v>298</v>
      </c>
      <c r="D157" s="1067">
        <v>691</v>
      </c>
      <c r="E157" s="1067">
        <v>784</v>
      </c>
      <c r="F157" s="1067">
        <v>1475</v>
      </c>
      <c r="G157" s="1067">
        <v>1102</v>
      </c>
      <c r="H157" s="1067">
        <v>697</v>
      </c>
      <c r="I157" s="1067">
        <v>405</v>
      </c>
      <c r="J157" s="1067">
        <v>54942</v>
      </c>
      <c r="K157" s="1067">
        <v>2.6850000000000001</v>
      </c>
      <c r="L157" s="1067">
        <v>2.0059999999999998</v>
      </c>
      <c r="M157" s="1067">
        <v>51923</v>
      </c>
      <c r="N157" s="1067">
        <v>2.8410000000000002</v>
      </c>
      <c r="O157" s="1067">
        <v>2.1219999999999999</v>
      </c>
    </row>
    <row r="158" spans="1:15" x14ac:dyDescent="0.25">
      <c r="A158" s="1067" t="s">
        <v>255</v>
      </c>
      <c r="B158" s="1067" t="s">
        <v>33</v>
      </c>
      <c r="C158" s="1067" t="s">
        <v>308</v>
      </c>
      <c r="D158" s="1067">
        <v>469</v>
      </c>
      <c r="E158" s="1067">
        <v>1121</v>
      </c>
      <c r="F158" s="1067">
        <v>1590</v>
      </c>
      <c r="G158" s="1067">
        <v>650</v>
      </c>
      <c r="H158" s="1067">
        <v>434</v>
      </c>
      <c r="I158" s="1067">
        <v>216</v>
      </c>
      <c r="J158" s="1067">
        <v>56135</v>
      </c>
      <c r="K158" s="1067">
        <v>2.8319999999999999</v>
      </c>
      <c r="L158" s="1067">
        <v>1.1579999999999999</v>
      </c>
      <c r="M158" s="1067">
        <v>53627</v>
      </c>
      <c r="N158" s="1067">
        <v>2.9649999999999999</v>
      </c>
      <c r="O158" s="1067">
        <v>1.212</v>
      </c>
    </row>
    <row r="159" spans="1:15" x14ac:dyDescent="0.25">
      <c r="A159" s="1067" t="s">
        <v>255</v>
      </c>
      <c r="B159" s="1067" t="s">
        <v>37</v>
      </c>
      <c r="C159" s="1067" t="s">
        <v>309</v>
      </c>
      <c r="D159" s="1067">
        <v>662</v>
      </c>
      <c r="E159" s="1067">
        <v>2304</v>
      </c>
      <c r="F159" s="1067">
        <v>2966</v>
      </c>
      <c r="G159" s="1067">
        <v>915</v>
      </c>
      <c r="H159" s="1067">
        <v>626</v>
      </c>
      <c r="I159" s="1067">
        <v>289</v>
      </c>
      <c r="J159" s="1067">
        <v>74354</v>
      </c>
      <c r="K159" s="1067">
        <v>3.9889999999999999</v>
      </c>
      <c r="L159" s="1067">
        <v>1.2310000000000001</v>
      </c>
      <c r="M159" s="1067">
        <v>70049</v>
      </c>
      <c r="N159" s="1067">
        <v>4.234</v>
      </c>
      <c r="O159" s="1067">
        <v>1.306</v>
      </c>
    </row>
    <row r="160" spans="1:15" x14ac:dyDescent="0.25">
      <c r="A160" s="1067" t="s">
        <v>255</v>
      </c>
      <c r="B160" s="1067" t="s">
        <v>42</v>
      </c>
      <c r="C160" s="1067" t="s">
        <v>288</v>
      </c>
      <c r="D160" s="1067">
        <v>512</v>
      </c>
      <c r="E160" s="1067">
        <v>1083</v>
      </c>
      <c r="F160" s="1067">
        <v>1595</v>
      </c>
      <c r="G160" s="1067">
        <v>810</v>
      </c>
      <c r="H160" s="1067">
        <v>530</v>
      </c>
      <c r="I160" s="1067">
        <v>280</v>
      </c>
      <c r="J160" s="1067">
        <v>74361</v>
      </c>
      <c r="K160" s="1067">
        <v>2.145</v>
      </c>
      <c r="L160" s="1067">
        <v>1.089</v>
      </c>
      <c r="M160" s="1067">
        <v>71800</v>
      </c>
      <c r="N160" s="1067">
        <v>2.2210000000000001</v>
      </c>
      <c r="O160" s="1067">
        <v>1.1279999999999999</v>
      </c>
    </row>
    <row r="161" spans="1:15" x14ac:dyDescent="0.25">
      <c r="A161" s="1067" t="s">
        <v>255</v>
      </c>
      <c r="B161" s="1067" t="s">
        <v>121</v>
      </c>
      <c r="C161" s="1067" t="s">
        <v>312</v>
      </c>
      <c r="D161" s="1067">
        <v>2973</v>
      </c>
      <c r="E161" s="1067">
        <v>5059</v>
      </c>
      <c r="F161" s="1067">
        <v>8032</v>
      </c>
      <c r="G161" s="1067">
        <v>4071</v>
      </c>
      <c r="H161" s="1067">
        <v>3089</v>
      </c>
      <c r="I161" s="1067">
        <v>982</v>
      </c>
      <c r="J161" s="1067">
        <v>308293</v>
      </c>
      <c r="K161" s="1067">
        <v>2.605</v>
      </c>
      <c r="L161" s="1067">
        <v>1.32</v>
      </c>
      <c r="M161" s="1067">
        <v>291115</v>
      </c>
      <c r="N161" s="1067">
        <v>2.7589999999999999</v>
      </c>
      <c r="O161" s="1067">
        <v>1.3979999999999999</v>
      </c>
    </row>
    <row r="162" spans="1:15" x14ac:dyDescent="0.25">
      <c r="A162" s="1067" t="s">
        <v>255</v>
      </c>
      <c r="B162" s="1067" t="s">
        <v>55</v>
      </c>
      <c r="C162" s="1067" t="s">
        <v>297</v>
      </c>
      <c r="D162" s="1067">
        <v>113</v>
      </c>
      <c r="E162" s="1067">
        <v>212</v>
      </c>
      <c r="F162" s="1067">
        <v>325</v>
      </c>
      <c r="G162" s="1067">
        <v>204</v>
      </c>
      <c r="H162" s="1067">
        <v>128</v>
      </c>
      <c r="I162" s="1067">
        <v>76</v>
      </c>
      <c r="J162" s="1067">
        <v>11180</v>
      </c>
      <c r="K162" s="1067">
        <v>2.907</v>
      </c>
      <c r="L162" s="1067">
        <v>1.825</v>
      </c>
      <c r="M162" s="1067">
        <v>10341</v>
      </c>
      <c r="N162" s="1067">
        <v>3.1429999999999998</v>
      </c>
      <c r="O162" s="1067">
        <v>1.9730000000000001</v>
      </c>
    </row>
    <row r="163" spans="1:15" x14ac:dyDescent="0.25">
      <c r="A163" s="1067" t="s">
        <v>254</v>
      </c>
      <c r="B163" s="1067" t="s">
        <v>31</v>
      </c>
      <c r="C163" s="1067" t="s">
        <v>301</v>
      </c>
      <c r="D163" s="1067">
        <v>569</v>
      </c>
      <c r="E163" s="1067">
        <v>2176</v>
      </c>
      <c r="F163" s="1067">
        <v>2745</v>
      </c>
      <c r="G163" s="1067">
        <v>824</v>
      </c>
      <c r="H163" s="1067">
        <v>546</v>
      </c>
      <c r="I163" s="1067">
        <v>278</v>
      </c>
      <c r="J163" s="1067">
        <v>118131</v>
      </c>
      <c r="K163" s="1067">
        <v>2.3239999999999998</v>
      </c>
      <c r="L163" s="1067">
        <v>0.69799999999999995</v>
      </c>
      <c r="M163" s="1067">
        <v>107586</v>
      </c>
      <c r="N163" s="1067">
        <v>2.5510000000000002</v>
      </c>
      <c r="O163" s="1067">
        <v>0.76600000000000001</v>
      </c>
    </row>
    <row r="164" spans="1:15" x14ac:dyDescent="0.25">
      <c r="A164" s="1067" t="s">
        <v>254</v>
      </c>
      <c r="B164" s="1067" t="s">
        <v>35</v>
      </c>
      <c r="C164" s="1067" t="s">
        <v>282</v>
      </c>
      <c r="D164" s="1067">
        <v>219</v>
      </c>
      <c r="E164" s="1067">
        <v>372</v>
      </c>
      <c r="F164" s="1067">
        <v>591</v>
      </c>
      <c r="G164" s="1067">
        <v>317</v>
      </c>
      <c r="H164" s="1067">
        <v>235</v>
      </c>
      <c r="I164" s="1067">
        <v>82</v>
      </c>
      <c r="J164" s="1067">
        <v>24524</v>
      </c>
      <c r="K164" s="1067">
        <v>2.41</v>
      </c>
      <c r="L164" s="1067">
        <v>1.2929999999999999</v>
      </c>
      <c r="M164" s="1067">
        <v>23674</v>
      </c>
      <c r="N164" s="1067">
        <v>2.496</v>
      </c>
      <c r="O164" s="1067">
        <v>1.339</v>
      </c>
    </row>
    <row r="165" spans="1:15" x14ac:dyDescent="0.25">
      <c r="A165" s="1067" t="s">
        <v>254</v>
      </c>
      <c r="B165" s="1067" t="s">
        <v>56</v>
      </c>
      <c r="C165" s="1067" t="s">
        <v>298</v>
      </c>
      <c r="D165" s="1067">
        <v>437</v>
      </c>
      <c r="E165" s="1067">
        <v>687</v>
      </c>
      <c r="F165" s="1067">
        <v>1124</v>
      </c>
      <c r="G165" s="1067">
        <v>735</v>
      </c>
      <c r="H165" s="1067">
        <v>531</v>
      </c>
      <c r="I165" s="1067">
        <v>204</v>
      </c>
      <c r="J165" s="1067">
        <v>55486</v>
      </c>
      <c r="K165" s="1067">
        <v>2.0259999999999998</v>
      </c>
      <c r="L165" s="1067">
        <v>1.325</v>
      </c>
      <c r="M165" s="1067">
        <v>52281</v>
      </c>
      <c r="N165" s="1067">
        <v>2.15</v>
      </c>
      <c r="O165" s="1067">
        <v>1.4059999999999999</v>
      </c>
    </row>
    <row r="166" spans="1:15" x14ac:dyDescent="0.25">
      <c r="A166" s="1067" t="s">
        <v>851</v>
      </c>
      <c r="B166" s="1067" t="s">
        <v>36</v>
      </c>
      <c r="C166" s="1067" t="s">
        <v>283</v>
      </c>
      <c r="D166" s="1067">
        <v>870</v>
      </c>
      <c r="E166" s="1067">
        <v>839</v>
      </c>
      <c r="F166" s="1067">
        <v>1709</v>
      </c>
      <c r="G166" s="1067">
        <v>1262</v>
      </c>
      <c r="H166" s="1067">
        <v>824</v>
      </c>
      <c r="I166" s="1067">
        <v>438</v>
      </c>
      <c r="J166" s="1067">
        <v>75089</v>
      </c>
      <c r="K166" s="1067">
        <v>2.2759999999999998</v>
      </c>
      <c r="L166" s="1067">
        <v>1.681</v>
      </c>
      <c r="M166" s="1067">
        <v>69699</v>
      </c>
      <c r="N166" s="1067">
        <v>2.452</v>
      </c>
      <c r="O166" s="1067">
        <v>1.8109999999999999</v>
      </c>
    </row>
    <row r="167" spans="1:15" x14ac:dyDescent="0.25">
      <c r="A167" s="1067" t="s">
        <v>204</v>
      </c>
      <c r="B167" s="1067" t="s">
        <v>34</v>
      </c>
      <c r="C167" s="1067" t="s">
        <v>303</v>
      </c>
      <c r="D167" s="1067">
        <v>529</v>
      </c>
      <c r="E167" s="1067">
        <v>457</v>
      </c>
      <c r="F167" s="1067">
        <v>986</v>
      </c>
      <c r="G167" s="1067">
        <v>964</v>
      </c>
      <c r="H167" s="1067">
        <v>539</v>
      </c>
      <c r="I167" s="1067">
        <v>425</v>
      </c>
      <c r="J167" s="1067">
        <v>47336</v>
      </c>
      <c r="K167" s="1067">
        <v>2.0830000000000002</v>
      </c>
      <c r="L167" s="1067">
        <v>2.0369999999999999</v>
      </c>
      <c r="M167" s="1067">
        <v>40934</v>
      </c>
      <c r="N167" s="1067">
        <v>2.4089999999999998</v>
      </c>
      <c r="O167" s="1067">
        <v>2.355</v>
      </c>
    </row>
    <row r="168" spans="1:15" x14ac:dyDescent="0.25">
      <c r="A168" s="1067" t="s">
        <v>204</v>
      </c>
      <c r="B168" s="1067" t="s">
        <v>258</v>
      </c>
      <c r="C168" s="1067" t="s">
        <v>304</v>
      </c>
      <c r="D168" s="1067">
        <v>2962</v>
      </c>
      <c r="E168" s="1067">
        <v>2361</v>
      </c>
      <c r="F168" s="1067">
        <v>5323</v>
      </c>
      <c r="G168" s="1067">
        <v>4061</v>
      </c>
      <c r="H168" s="1067">
        <v>2668</v>
      </c>
      <c r="I168" s="1067">
        <v>1393</v>
      </c>
      <c r="J168" s="1067">
        <v>237524</v>
      </c>
      <c r="K168" s="1067">
        <v>2.2410000000000001</v>
      </c>
      <c r="L168" s="1067">
        <v>1.71</v>
      </c>
      <c r="M168" s="1067">
        <v>227222</v>
      </c>
      <c r="N168" s="1067">
        <v>2.343</v>
      </c>
      <c r="O168" s="1067">
        <v>1.7869999999999999</v>
      </c>
    </row>
    <row r="169" spans="1:15" x14ac:dyDescent="0.25">
      <c r="A169" s="1067" t="s">
        <v>204</v>
      </c>
      <c r="B169" s="1067" t="s">
        <v>43</v>
      </c>
      <c r="C169" s="1067" t="s">
        <v>430</v>
      </c>
      <c r="D169" s="1067">
        <v>3531</v>
      </c>
      <c r="E169" s="1067">
        <v>3068</v>
      </c>
      <c r="F169" s="1067">
        <v>6599</v>
      </c>
      <c r="G169" s="1067">
        <v>5634</v>
      </c>
      <c r="H169" s="1067">
        <v>3943</v>
      </c>
      <c r="I169" s="1067">
        <v>1691</v>
      </c>
      <c r="J169" s="1067">
        <v>171560</v>
      </c>
      <c r="K169" s="1067">
        <v>3.8460000000000001</v>
      </c>
      <c r="L169" s="1067">
        <v>3.2839999999999998</v>
      </c>
      <c r="M169" s="1067">
        <v>162200</v>
      </c>
      <c r="N169" s="1067">
        <v>4.0679999999999996</v>
      </c>
      <c r="O169" s="1067">
        <v>3.4729999999999999</v>
      </c>
    </row>
    <row r="170" spans="1:15" x14ac:dyDescent="0.25">
      <c r="A170" s="1067" t="s">
        <v>204</v>
      </c>
      <c r="B170" s="1067" t="s">
        <v>48</v>
      </c>
      <c r="C170" s="1067" t="s">
        <v>287</v>
      </c>
      <c r="D170" s="1067">
        <v>123</v>
      </c>
      <c r="E170" s="1067">
        <v>226</v>
      </c>
      <c r="F170" s="1067">
        <v>349</v>
      </c>
      <c r="G170" s="1067">
        <v>196</v>
      </c>
      <c r="H170" s="1067">
        <v>181</v>
      </c>
      <c r="I170" s="1067">
        <v>15</v>
      </c>
      <c r="J170" s="1067">
        <v>14490</v>
      </c>
      <c r="K170" s="1067">
        <v>2.4089999999999998</v>
      </c>
      <c r="L170" s="1067">
        <v>1.353</v>
      </c>
      <c r="M170" s="1067">
        <v>12924</v>
      </c>
      <c r="N170" s="1067">
        <v>2.7</v>
      </c>
      <c r="O170" s="1067">
        <v>1.5169999999999999</v>
      </c>
    </row>
    <row r="171" spans="1:15" x14ac:dyDescent="0.25">
      <c r="A171" s="1067" t="s">
        <v>204</v>
      </c>
      <c r="B171" s="1067" t="s">
        <v>50</v>
      </c>
      <c r="C171" s="1067" t="s">
        <v>310</v>
      </c>
      <c r="D171" s="1067">
        <v>1381</v>
      </c>
      <c r="E171" s="1067">
        <v>1452</v>
      </c>
      <c r="F171" s="1067">
        <v>2833</v>
      </c>
      <c r="G171" s="1067">
        <v>2357</v>
      </c>
      <c r="H171" s="1067">
        <v>1819</v>
      </c>
      <c r="I171" s="1067">
        <v>538</v>
      </c>
      <c r="J171" s="1067">
        <v>150541</v>
      </c>
      <c r="K171" s="1067">
        <v>1.8819999999999999</v>
      </c>
      <c r="L171" s="1067">
        <v>1.5660000000000001</v>
      </c>
      <c r="M171" s="1067">
        <v>147554</v>
      </c>
      <c r="N171" s="1067">
        <v>1.92</v>
      </c>
      <c r="O171" s="1067">
        <v>1.597</v>
      </c>
    </row>
    <row r="172" spans="1:15" x14ac:dyDescent="0.25">
      <c r="A172" s="1067" t="s">
        <v>204</v>
      </c>
      <c r="B172" s="1067" t="s">
        <v>51</v>
      </c>
      <c r="C172" s="1067" t="s">
        <v>294</v>
      </c>
      <c r="D172" s="1067">
        <v>115</v>
      </c>
      <c r="E172" s="1067">
        <v>150</v>
      </c>
      <c r="F172" s="1067">
        <v>265</v>
      </c>
      <c r="G172" s="1067">
        <v>247</v>
      </c>
      <c r="H172" s="1067">
        <v>183</v>
      </c>
      <c r="I172" s="1067">
        <v>64</v>
      </c>
      <c r="J172" s="1067">
        <v>10717</v>
      </c>
      <c r="K172" s="1067">
        <v>2.4729999999999999</v>
      </c>
      <c r="L172" s="1067">
        <v>2.3050000000000002</v>
      </c>
      <c r="M172" s="1067">
        <v>9945</v>
      </c>
      <c r="N172" s="1067">
        <v>2.665</v>
      </c>
      <c r="O172" s="1067">
        <v>2.484</v>
      </c>
    </row>
    <row r="173" spans="1:15" x14ac:dyDescent="0.25">
      <c r="A173" s="1067" t="s">
        <v>203</v>
      </c>
      <c r="B173" s="1067" t="s">
        <v>51</v>
      </c>
      <c r="C173" s="1067" t="s">
        <v>294</v>
      </c>
      <c r="D173" s="1067">
        <v>87</v>
      </c>
      <c r="E173" s="1067">
        <v>161</v>
      </c>
      <c r="F173" s="1067">
        <v>248</v>
      </c>
      <c r="G173" s="1067">
        <v>145</v>
      </c>
      <c r="H173" s="1067">
        <v>64</v>
      </c>
      <c r="I173" s="1067">
        <v>81</v>
      </c>
      <c r="J173" s="1067">
        <v>10816</v>
      </c>
      <c r="K173" s="1067">
        <v>2.2930000000000001</v>
      </c>
      <c r="L173" s="1067">
        <v>1.341</v>
      </c>
      <c r="M173" s="1067">
        <v>10042</v>
      </c>
      <c r="N173" s="1067">
        <v>2.4700000000000002</v>
      </c>
      <c r="O173" s="1067">
        <v>1.444</v>
      </c>
    </row>
    <row r="174" spans="1:15" x14ac:dyDescent="0.25">
      <c r="A174" s="1067" t="s">
        <v>202</v>
      </c>
      <c r="B174" s="1067" t="s">
        <v>33</v>
      </c>
      <c r="C174" s="1067" t="s">
        <v>308</v>
      </c>
      <c r="D174" s="1067">
        <v>485</v>
      </c>
      <c r="E174" s="1067">
        <v>1685</v>
      </c>
      <c r="F174" s="1067">
        <v>2170</v>
      </c>
      <c r="G174" s="1067">
        <v>724</v>
      </c>
      <c r="H174" s="1067">
        <v>462</v>
      </c>
      <c r="I174" s="1067">
        <v>262</v>
      </c>
      <c r="J174" s="1067">
        <v>55619</v>
      </c>
      <c r="K174" s="1067">
        <v>3.9020000000000001</v>
      </c>
      <c r="L174" s="1067">
        <v>1.302</v>
      </c>
      <c r="M174" s="1067">
        <v>53142</v>
      </c>
      <c r="N174" s="1067">
        <v>4.0830000000000002</v>
      </c>
      <c r="O174" s="1067">
        <v>1.3620000000000001</v>
      </c>
    </row>
    <row r="175" spans="1:15" x14ac:dyDescent="0.25">
      <c r="A175" s="1067" t="s">
        <v>202</v>
      </c>
      <c r="B175" s="1067" t="s">
        <v>36</v>
      </c>
      <c r="C175" s="1067" t="s">
        <v>283</v>
      </c>
      <c r="D175" s="1067">
        <v>1086</v>
      </c>
      <c r="E175" s="1067">
        <v>1068</v>
      </c>
      <c r="F175" s="1067">
        <v>2154</v>
      </c>
      <c r="G175" s="1067">
        <v>1481</v>
      </c>
      <c r="H175" s="1067">
        <v>923</v>
      </c>
      <c r="I175" s="1067">
        <v>558</v>
      </c>
      <c r="J175" s="1067">
        <v>74190</v>
      </c>
      <c r="K175" s="1067">
        <v>2.903</v>
      </c>
      <c r="L175" s="1067">
        <v>1.996</v>
      </c>
      <c r="M175" s="1067">
        <v>68999</v>
      </c>
      <c r="N175" s="1067">
        <v>3.1219999999999999</v>
      </c>
      <c r="O175" s="1067">
        <v>2.1459999999999999</v>
      </c>
    </row>
    <row r="176" spans="1:15" x14ac:dyDescent="0.25">
      <c r="A176" s="1067" t="s">
        <v>202</v>
      </c>
      <c r="B176" s="1067" t="s">
        <v>58</v>
      </c>
      <c r="C176" s="1067" t="s">
        <v>300</v>
      </c>
      <c r="D176" s="1067">
        <v>358</v>
      </c>
      <c r="E176" s="1067">
        <v>653</v>
      </c>
      <c r="F176" s="1067">
        <v>1011</v>
      </c>
      <c r="G176" s="1067">
        <v>565</v>
      </c>
      <c r="H176" s="1067">
        <v>384</v>
      </c>
      <c r="I176" s="1067">
        <v>181</v>
      </c>
      <c r="J176" s="1067">
        <v>40646</v>
      </c>
      <c r="K176" s="1067">
        <v>2.4870000000000001</v>
      </c>
      <c r="L176" s="1067">
        <v>1.39</v>
      </c>
      <c r="M176" s="1067">
        <v>38665</v>
      </c>
      <c r="N176" s="1067">
        <v>2.6150000000000002</v>
      </c>
      <c r="O176" s="1067">
        <v>1.4610000000000001</v>
      </c>
    </row>
    <row r="177" spans="1:15" x14ac:dyDescent="0.25">
      <c r="A177" s="1067" t="s">
        <v>273</v>
      </c>
      <c r="B177" s="1067" t="s">
        <v>37</v>
      </c>
      <c r="C177" s="1067" t="s">
        <v>309</v>
      </c>
      <c r="D177" s="1067">
        <v>870</v>
      </c>
      <c r="E177" s="1067">
        <v>3054</v>
      </c>
      <c r="F177" s="1067">
        <v>3924</v>
      </c>
      <c r="G177" s="1067">
        <v>1200</v>
      </c>
      <c r="H177" s="1067">
        <v>823</v>
      </c>
      <c r="I177" s="1067">
        <v>377</v>
      </c>
      <c r="J177" s="1067">
        <v>74026</v>
      </c>
      <c r="K177" s="1067">
        <v>5.3010000000000002</v>
      </c>
      <c r="L177" s="1067">
        <v>1.621</v>
      </c>
      <c r="M177" s="1067">
        <v>69635</v>
      </c>
      <c r="N177" s="1067">
        <v>5.6349999999999998</v>
      </c>
      <c r="O177" s="1067">
        <v>1.7230000000000001</v>
      </c>
    </row>
    <row r="178" spans="1:15" x14ac:dyDescent="0.25">
      <c r="A178" s="1067" t="s">
        <v>273</v>
      </c>
      <c r="B178" s="1067" t="s">
        <v>38</v>
      </c>
      <c r="C178" s="1067" t="s">
        <v>284</v>
      </c>
      <c r="D178" s="1067">
        <v>574</v>
      </c>
      <c r="E178" s="1067">
        <v>681</v>
      </c>
      <c r="F178" s="1067">
        <v>1255</v>
      </c>
      <c r="G178" s="1067">
        <v>948</v>
      </c>
      <c r="H178" s="1067">
        <v>584</v>
      </c>
      <c r="I178" s="1067">
        <v>364</v>
      </c>
      <c r="J178" s="1067">
        <v>57873</v>
      </c>
      <c r="K178" s="1067">
        <v>2.169</v>
      </c>
      <c r="L178" s="1067">
        <v>1.6379999999999999</v>
      </c>
      <c r="M178" s="1067">
        <v>54748</v>
      </c>
      <c r="N178" s="1067">
        <v>2.2919999999999998</v>
      </c>
      <c r="O178" s="1067">
        <v>1.732</v>
      </c>
    </row>
    <row r="179" spans="1:15" x14ac:dyDescent="0.25">
      <c r="A179" s="1067" t="s">
        <v>273</v>
      </c>
      <c r="B179" s="1067" t="s">
        <v>40</v>
      </c>
      <c r="C179" s="1067" t="s">
        <v>285</v>
      </c>
      <c r="D179" s="1067">
        <v>596</v>
      </c>
      <c r="E179" s="1067">
        <v>578</v>
      </c>
      <c r="F179" s="1067">
        <v>1174</v>
      </c>
      <c r="G179" s="1067">
        <v>972</v>
      </c>
      <c r="H179" s="1067">
        <v>608</v>
      </c>
      <c r="I179" s="1067">
        <v>364</v>
      </c>
      <c r="J179" s="1067">
        <v>46672</v>
      </c>
      <c r="K179" s="1067">
        <v>2.5150000000000001</v>
      </c>
      <c r="L179" s="1067">
        <v>2.0830000000000002</v>
      </c>
      <c r="M179" s="1067">
        <v>44749</v>
      </c>
      <c r="N179" s="1067">
        <v>2.6240000000000001</v>
      </c>
      <c r="O179" s="1067">
        <v>2.1720000000000002</v>
      </c>
    </row>
    <row r="180" spans="1:15" x14ac:dyDescent="0.25">
      <c r="A180" s="1067" t="s">
        <v>273</v>
      </c>
      <c r="B180" s="1067" t="s">
        <v>46</v>
      </c>
      <c r="C180" s="1067" t="s">
        <v>291</v>
      </c>
      <c r="D180" s="1067">
        <v>528</v>
      </c>
      <c r="E180" s="1067">
        <v>438</v>
      </c>
      <c r="F180" s="1067">
        <v>966</v>
      </c>
      <c r="G180" s="1067">
        <v>840</v>
      </c>
      <c r="H180" s="1067">
        <v>416</v>
      </c>
      <c r="I180" s="1067">
        <v>424</v>
      </c>
      <c r="J180" s="1067">
        <v>39297</v>
      </c>
      <c r="K180" s="1067">
        <v>2.4580000000000002</v>
      </c>
      <c r="L180" s="1067">
        <v>2.1379999999999999</v>
      </c>
      <c r="M180" s="1067">
        <v>37766</v>
      </c>
      <c r="N180" s="1067">
        <v>2.5579999999999998</v>
      </c>
      <c r="O180" s="1067">
        <v>2.2240000000000002</v>
      </c>
    </row>
    <row r="181" spans="1:15" x14ac:dyDescent="0.25">
      <c r="A181" s="1067" t="s">
        <v>273</v>
      </c>
      <c r="B181" s="1067" t="s">
        <v>49</v>
      </c>
      <c r="C181" s="1067" t="s">
        <v>293</v>
      </c>
      <c r="D181" s="1067">
        <v>905</v>
      </c>
      <c r="E181" s="1067">
        <v>1053</v>
      </c>
      <c r="F181" s="1067">
        <v>1958</v>
      </c>
      <c r="G181" s="1067">
        <v>1406</v>
      </c>
      <c r="H181" s="1067">
        <v>831</v>
      </c>
      <c r="I181" s="1067">
        <v>575</v>
      </c>
      <c r="J181" s="1067">
        <v>67800</v>
      </c>
      <c r="K181" s="1067">
        <v>2.8879999999999999</v>
      </c>
      <c r="L181" s="1067">
        <v>2.0739999999999998</v>
      </c>
      <c r="M181" s="1067">
        <v>63440</v>
      </c>
      <c r="N181" s="1067">
        <v>3.0859999999999999</v>
      </c>
      <c r="O181" s="1067">
        <v>2.2160000000000002</v>
      </c>
    </row>
    <row r="182" spans="1:15" x14ac:dyDescent="0.25">
      <c r="A182" s="1067" t="s">
        <v>273</v>
      </c>
      <c r="B182" s="1067" t="s">
        <v>52</v>
      </c>
      <c r="C182" s="1067" t="s">
        <v>295</v>
      </c>
      <c r="D182" s="1067">
        <v>466</v>
      </c>
      <c r="E182" s="1067">
        <v>1489</v>
      </c>
      <c r="F182" s="1067">
        <v>1955</v>
      </c>
      <c r="G182" s="1067">
        <v>660</v>
      </c>
      <c r="H182" s="1067">
        <v>375</v>
      </c>
      <c r="I182" s="1067">
        <v>285</v>
      </c>
      <c r="J182" s="1067">
        <v>71347</v>
      </c>
      <c r="K182" s="1067">
        <v>2.74</v>
      </c>
      <c r="L182" s="1067">
        <v>0.92500000000000004</v>
      </c>
      <c r="M182" s="1067">
        <v>67101</v>
      </c>
      <c r="N182" s="1067">
        <v>2.9140000000000001</v>
      </c>
      <c r="O182" s="1067">
        <v>0.98399999999999999</v>
      </c>
    </row>
    <row r="183" spans="1:15" x14ac:dyDescent="0.25">
      <c r="A183" s="1067" t="s">
        <v>255</v>
      </c>
      <c r="B183" s="1067" t="s">
        <v>38</v>
      </c>
      <c r="C183" s="1067" t="s">
        <v>284</v>
      </c>
      <c r="D183" s="1067">
        <v>485</v>
      </c>
      <c r="E183" s="1067">
        <v>664</v>
      </c>
      <c r="F183" s="1067">
        <v>1149</v>
      </c>
      <c r="G183" s="1067">
        <v>814</v>
      </c>
      <c r="H183" s="1067">
        <v>538</v>
      </c>
      <c r="I183" s="1067">
        <v>276</v>
      </c>
      <c r="J183" s="1067">
        <v>58158</v>
      </c>
      <c r="K183" s="1067">
        <v>1.976</v>
      </c>
      <c r="L183" s="1067">
        <v>1.4</v>
      </c>
      <c r="M183" s="1067">
        <v>54873</v>
      </c>
      <c r="N183" s="1067">
        <v>2.0939999999999999</v>
      </c>
      <c r="O183" s="1067">
        <v>1.4830000000000001</v>
      </c>
    </row>
    <row r="184" spans="1:15" x14ac:dyDescent="0.25">
      <c r="A184" s="1067" t="s">
        <v>255</v>
      </c>
      <c r="B184" s="1067" t="s">
        <v>41</v>
      </c>
      <c r="C184" s="1067" t="s">
        <v>286</v>
      </c>
      <c r="D184" s="1067">
        <v>604</v>
      </c>
      <c r="E184" s="1067">
        <v>662</v>
      </c>
      <c r="F184" s="1067">
        <v>1266</v>
      </c>
      <c r="G184" s="1067">
        <v>894</v>
      </c>
      <c r="H184" s="1067">
        <v>700</v>
      </c>
      <c r="I184" s="1067">
        <v>194</v>
      </c>
      <c r="J184" s="1067">
        <v>38677</v>
      </c>
      <c r="K184" s="1067">
        <v>3.2730000000000001</v>
      </c>
      <c r="L184" s="1067">
        <v>2.3109999999999999</v>
      </c>
      <c r="M184" s="1067">
        <v>38899</v>
      </c>
      <c r="N184" s="1067">
        <v>3.2549999999999999</v>
      </c>
      <c r="O184" s="1067">
        <v>2.298</v>
      </c>
    </row>
    <row r="185" spans="1:15" x14ac:dyDescent="0.25">
      <c r="A185" s="1067" t="s">
        <v>255</v>
      </c>
      <c r="B185" s="1067" t="s">
        <v>46</v>
      </c>
      <c r="C185" s="1067" t="s">
        <v>291</v>
      </c>
      <c r="D185" s="1067">
        <v>489</v>
      </c>
      <c r="E185" s="1067">
        <v>509</v>
      </c>
      <c r="F185" s="1067">
        <v>998</v>
      </c>
      <c r="G185" s="1067">
        <v>797</v>
      </c>
      <c r="H185" s="1067">
        <v>349</v>
      </c>
      <c r="I185" s="1067">
        <v>448</v>
      </c>
      <c r="J185" s="1067">
        <v>39937</v>
      </c>
      <c r="K185" s="1067">
        <v>2.4990000000000001</v>
      </c>
      <c r="L185" s="1067">
        <v>1.996</v>
      </c>
      <c r="M185" s="1067">
        <v>38557</v>
      </c>
      <c r="N185" s="1067">
        <v>2.5880000000000001</v>
      </c>
      <c r="O185" s="1067">
        <v>2.0670000000000002</v>
      </c>
    </row>
    <row r="186" spans="1:15" x14ac:dyDescent="0.25">
      <c r="A186" s="1067" t="s">
        <v>255</v>
      </c>
      <c r="B186" s="1067" t="s">
        <v>47</v>
      </c>
      <c r="C186" s="1067" t="s">
        <v>292</v>
      </c>
      <c r="D186" s="1067">
        <v>609</v>
      </c>
      <c r="E186" s="1067">
        <v>826</v>
      </c>
      <c r="F186" s="1067">
        <v>1435</v>
      </c>
      <c r="G186" s="1067">
        <v>1076</v>
      </c>
      <c r="H186" s="1067">
        <v>554</v>
      </c>
      <c r="I186" s="1067">
        <v>522</v>
      </c>
      <c r="J186" s="1067">
        <v>44838</v>
      </c>
      <c r="K186" s="1067">
        <v>3.2</v>
      </c>
      <c r="L186" s="1067">
        <v>2.4</v>
      </c>
      <c r="M186" s="1067">
        <v>42269</v>
      </c>
      <c r="N186" s="1067">
        <v>3.395</v>
      </c>
      <c r="O186" s="1067">
        <v>2.5459999999999998</v>
      </c>
    </row>
    <row r="187" spans="1:15" x14ac:dyDescent="0.25">
      <c r="A187" s="1067" t="s">
        <v>255</v>
      </c>
      <c r="B187" s="1067" t="s">
        <v>49</v>
      </c>
      <c r="C187" s="1067" t="s">
        <v>293</v>
      </c>
      <c r="D187" s="1067">
        <v>805</v>
      </c>
      <c r="E187" s="1067">
        <v>932</v>
      </c>
      <c r="F187" s="1067">
        <v>1737</v>
      </c>
      <c r="G187" s="1067">
        <v>1279</v>
      </c>
      <c r="H187" s="1067">
        <v>822</v>
      </c>
      <c r="I187" s="1067">
        <v>457</v>
      </c>
      <c r="J187" s="1067">
        <v>67960</v>
      </c>
      <c r="K187" s="1067">
        <v>2.556</v>
      </c>
      <c r="L187" s="1067">
        <v>1.8819999999999999</v>
      </c>
      <c r="M187" s="1067">
        <v>63756</v>
      </c>
      <c r="N187" s="1067">
        <v>2.7240000000000002</v>
      </c>
      <c r="O187" s="1067">
        <v>2.0059999999999998</v>
      </c>
    </row>
    <row r="188" spans="1:15" x14ac:dyDescent="0.25">
      <c r="A188" s="1067" t="s">
        <v>254</v>
      </c>
      <c r="B188" s="1067" t="s">
        <v>59</v>
      </c>
      <c r="C188" s="1067" t="s">
        <v>306</v>
      </c>
      <c r="D188" s="1067">
        <v>556</v>
      </c>
      <c r="E188" s="1067">
        <v>1008</v>
      </c>
      <c r="F188" s="1067">
        <v>1564</v>
      </c>
      <c r="G188" s="1067">
        <v>827</v>
      </c>
      <c r="H188" s="1067">
        <v>642</v>
      </c>
      <c r="I188" s="1067">
        <v>185</v>
      </c>
      <c r="J188" s="1067">
        <v>45228</v>
      </c>
      <c r="K188" s="1067">
        <v>3.4580000000000002</v>
      </c>
      <c r="L188" s="1067">
        <v>1.829</v>
      </c>
      <c r="M188" s="1067">
        <v>42868</v>
      </c>
      <c r="N188" s="1067">
        <v>3.6480000000000001</v>
      </c>
      <c r="O188" s="1067">
        <v>1.929</v>
      </c>
    </row>
    <row r="189" spans="1:15" x14ac:dyDescent="0.25">
      <c r="A189" s="1067" t="s">
        <v>254</v>
      </c>
      <c r="B189" s="1067" t="s">
        <v>60</v>
      </c>
      <c r="C189" s="1067" t="s">
        <v>307</v>
      </c>
      <c r="D189" s="1067">
        <v>851</v>
      </c>
      <c r="E189" s="1067">
        <v>1470</v>
      </c>
      <c r="F189" s="1067">
        <v>2321</v>
      </c>
      <c r="G189" s="1067">
        <v>1286</v>
      </c>
      <c r="H189" s="1067">
        <v>780</v>
      </c>
      <c r="I189" s="1067">
        <v>506</v>
      </c>
      <c r="J189" s="1067">
        <v>79854</v>
      </c>
      <c r="K189" s="1067">
        <v>2.907</v>
      </c>
      <c r="L189" s="1067">
        <v>1.61</v>
      </c>
      <c r="M189" s="1067">
        <v>77953</v>
      </c>
      <c r="N189" s="1067">
        <v>2.9769999999999999</v>
      </c>
      <c r="O189" s="1067">
        <v>1.65</v>
      </c>
    </row>
    <row r="190" spans="1:15" x14ac:dyDescent="0.25">
      <c r="A190" s="1067" t="s">
        <v>851</v>
      </c>
      <c r="B190" s="1067" t="s">
        <v>258</v>
      </c>
      <c r="C190" s="1067" t="s">
        <v>304</v>
      </c>
      <c r="D190" s="1067">
        <v>1501</v>
      </c>
      <c r="E190" s="1067">
        <v>3440</v>
      </c>
      <c r="F190" s="1067">
        <v>4941</v>
      </c>
      <c r="G190" s="1067">
        <v>2169</v>
      </c>
      <c r="H190" s="1067">
        <v>1591</v>
      </c>
      <c r="I190" s="1067">
        <v>578</v>
      </c>
      <c r="J190" s="1067">
        <v>252731</v>
      </c>
      <c r="K190" s="1067">
        <v>1.9550000000000001</v>
      </c>
      <c r="L190" s="1067">
        <v>0.85799999999999998</v>
      </c>
      <c r="M190" s="1067">
        <v>238269</v>
      </c>
      <c r="N190" s="1067">
        <v>2.0739999999999998</v>
      </c>
      <c r="O190" s="1067">
        <v>0.91</v>
      </c>
    </row>
    <row r="191" spans="1:15" x14ac:dyDescent="0.25">
      <c r="A191" s="1067" t="s">
        <v>851</v>
      </c>
      <c r="B191" s="1067" t="s">
        <v>35</v>
      </c>
      <c r="C191" s="1067" t="s">
        <v>282</v>
      </c>
      <c r="D191" s="1067">
        <v>292</v>
      </c>
      <c r="E191" s="1067">
        <v>379</v>
      </c>
      <c r="F191" s="1067">
        <v>671</v>
      </c>
      <c r="G191" s="1067">
        <v>495</v>
      </c>
      <c r="H191" s="1067">
        <v>445</v>
      </c>
      <c r="I191" s="1067">
        <v>50</v>
      </c>
      <c r="J191" s="1067">
        <v>24716</v>
      </c>
      <c r="K191" s="1067">
        <v>2.7149999999999999</v>
      </c>
      <c r="L191" s="1067">
        <v>2.0030000000000001</v>
      </c>
      <c r="M191" s="1067">
        <v>23890</v>
      </c>
      <c r="N191" s="1067">
        <v>2.8090000000000002</v>
      </c>
      <c r="O191" s="1067">
        <v>2.0720000000000001</v>
      </c>
    </row>
    <row r="192" spans="1:15" x14ac:dyDescent="0.25">
      <c r="A192" s="1067" t="s">
        <v>851</v>
      </c>
      <c r="B192" s="1067" t="s">
        <v>41</v>
      </c>
      <c r="C192" s="1067" t="s">
        <v>286</v>
      </c>
      <c r="D192" s="1067">
        <v>366</v>
      </c>
      <c r="E192" s="1067">
        <v>587</v>
      </c>
      <c r="F192" s="1067">
        <v>953</v>
      </c>
      <c r="G192" s="1067">
        <v>569</v>
      </c>
      <c r="H192" s="1067">
        <v>397</v>
      </c>
      <c r="I192" s="1067">
        <v>172</v>
      </c>
      <c r="J192" s="1067">
        <v>39144</v>
      </c>
      <c r="K192" s="1067">
        <v>2.4350000000000001</v>
      </c>
      <c r="L192" s="1067">
        <v>1.454</v>
      </c>
      <c r="M192" s="1067">
        <v>39345</v>
      </c>
      <c r="N192" s="1067">
        <v>2.4220000000000002</v>
      </c>
      <c r="O192" s="1067">
        <v>1.446</v>
      </c>
    </row>
    <row r="193" spans="1:15" x14ac:dyDescent="0.25">
      <c r="A193" s="1067" t="s">
        <v>851</v>
      </c>
      <c r="B193" s="1067" t="s">
        <v>43</v>
      </c>
      <c r="C193" s="1067" t="s">
        <v>430</v>
      </c>
      <c r="D193" s="1067">
        <v>2532</v>
      </c>
      <c r="E193" s="1067">
        <v>3908</v>
      </c>
      <c r="F193" s="1067">
        <v>6440</v>
      </c>
      <c r="G193" s="1067">
        <v>3982</v>
      </c>
      <c r="H193" s="1067">
        <v>2724</v>
      </c>
      <c r="I193" s="1067">
        <v>1258</v>
      </c>
      <c r="J193" s="1067">
        <v>178183</v>
      </c>
      <c r="K193" s="1067">
        <v>3.6139999999999999</v>
      </c>
      <c r="L193" s="1067">
        <v>2.2349999999999999</v>
      </c>
      <c r="M193" s="1067">
        <v>169239</v>
      </c>
      <c r="N193" s="1067">
        <v>3.8050000000000002</v>
      </c>
      <c r="O193" s="1067">
        <v>2.3530000000000002</v>
      </c>
    </row>
    <row r="194" spans="1:15" x14ac:dyDescent="0.25">
      <c r="A194" s="1067" t="s">
        <v>851</v>
      </c>
      <c r="B194" s="1067" t="s">
        <v>48</v>
      </c>
      <c r="C194" s="1067" t="s">
        <v>287</v>
      </c>
      <c r="D194" s="1067">
        <v>67</v>
      </c>
      <c r="E194" s="1067">
        <v>235</v>
      </c>
      <c r="F194" s="1067">
        <v>302</v>
      </c>
      <c r="G194" s="1067">
        <v>111</v>
      </c>
      <c r="H194" s="1067">
        <v>69</v>
      </c>
      <c r="I194" s="1067">
        <v>42</v>
      </c>
      <c r="J194" s="1067">
        <v>14734</v>
      </c>
      <c r="K194" s="1067">
        <v>2.0499999999999998</v>
      </c>
      <c r="L194" s="1067">
        <v>0.753</v>
      </c>
      <c r="M194" s="1067">
        <v>12833</v>
      </c>
      <c r="N194" s="1067">
        <v>2.3530000000000002</v>
      </c>
      <c r="O194" s="1067">
        <v>0.86499999999999999</v>
      </c>
    </row>
    <row r="195" spans="1:15" x14ac:dyDescent="0.25">
      <c r="A195" s="1067" t="s">
        <v>204</v>
      </c>
      <c r="B195" s="1067" t="s">
        <v>32</v>
      </c>
      <c r="C195" s="1067" t="s">
        <v>302</v>
      </c>
      <c r="D195" s="1067">
        <v>567</v>
      </c>
      <c r="E195" s="1067">
        <v>789</v>
      </c>
      <c r="F195" s="1067">
        <v>1356</v>
      </c>
      <c r="G195" s="1067">
        <v>888</v>
      </c>
      <c r="H195" s="1067">
        <v>497</v>
      </c>
      <c r="I195" s="1067">
        <v>391</v>
      </c>
      <c r="J195" s="1067">
        <v>112867</v>
      </c>
      <c r="K195" s="1067">
        <v>1.2010000000000001</v>
      </c>
      <c r="L195" s="1067">
        <v>0.78700000000000003</v>
      </c>
      <c r="M195" s="1067">
        <v>107128</v>
      </c>
      <c r="N195" s="1067">
        <v>1.266</v>
      </c>
      <c r="O195" s="1067">
        <v>0.82899999999999996</v>
      </c>
    </row>
    <row r="196" spans="1:15" x14ac:dyDescent="0.25">
      <c r="A196" s="1067" t="s">
        <v>204</v>
      </c>
      <c r="B196" s="1067" t="s">
        <v>35</v>
      </c>
      <c r="C196" s="1067" t="s">
        <v>282</v>
      </c>
      <c r="D196" s="1067">
        <v>354</v>
      </c>
      <c r="E196" s="1067">
        <v>518</v>
      </c>
      <c r="F196" s="1067">
        <v>872</v>
      </c>
      <c r="G196" s="1067">
        <v>542</v>
      </c>
      <c r="H196" s="1067">
        <v>391</v>
      </c>
      <c r="I196" s="1067">
        <v>151</v>
      </c>
      <c r="J196" s="1067">
        <v>23894</v>
      </c>
      <c r="K196" s="1067">
        <v>3.649</v>
      </c>
      <c r="L196" s="1067">
        <v>2.2679999999999998</v>
      </c>
      <c r="M196" s="1067">
        <v>22978</v>
      </c>
      <c r="N196" s="1067">
        <v>3.7949999999999999</v>
      </c>
      <c r="O196" s="1067">
        <v>2.359</v>
      </c>
    </row>
    <row r="197" spans="1:15" x14ac:dyDescent="0.25">
      <c r="A197" s="1067" t="s">
        <v>204</v>
      </c>
      <c r="B197" s="1067" t="s">
        <v>53</v>
      </c>
      <c r="C197" s="1067" t="s">
        <v>305</v>
      </c>
      <c r="D197" s="1067">
        <v>1045</v>
      </c>
      <c r="E197" s="1067">
        <v>832</v>
      </c>
      <c r="F197" s="1067">
        <v>1877</v>
      </c>
      <c r="G197" s="1067">
        <v>1726</v>
      </c>
      <c r="H197" s="1067">
        <v>1240</v>
      </c>
      <c r="I197" s="1067">
        <v>486</v>
      </c>
      <c r="J197" s="1067">
        <v>83933</v>
      </c>
      <c r="K197" s="1067">
        <v>2.2360000000000002</v>
      </c>
      <c r="L197" s="1067">
        <v>2.056</v>
      </c>
      <c r="M197" s="1067">
        <v>81787</v>
      </c>
      <c r="N197" s="1067">
        <v>2.2949999999999999</v>
      </c>
      <c r="O197" s="1067">
        <v>2.11</v>
      </c>
    </row>
    <row r="198" spans="1:15" x14ac:dyDescent="0.25">
      <c r="A198" s="1067" t="s">
        <v>204</v>
      </c>
      <c r="B198" s="1067" t="s">
        <v>56</v>
      </c>
      <c r="C198" s="1067" t="s">
        <v>298</v>
      </c>
      <c r="D198" s="1067">
        <v>601</v>
      </c>
      <c r="E198" s="1067">
        <v>462</v>
      </c>
      <c r="F198" s="1067">
        <v>1063</v>
      </c>
      <c r="G198" s="1067">
        <v>1007</v>
      </c>
      <c r="H198" s="1067">
        <v>577</v>
      </c>
      <c r="I198" s="1067">
        <v>430</v>
      </c>
      <c r="J198" s="1067">
        <v>54385</v>
      </c>
      <c r="K198" s="1067">
        <v>1.9550000000000001</v>
      </c>
      <c r="L198" s="1067">
        <v>1.8520000000000001</v>
      </c>
      <c r="M198" s="1067">
        <v>51654</v>
      </c>
      <c r="N198" s="1067">
        <v>2.0579999999999998</v>
      </c>
      <c r="O198" s="1067">
        <v>1.95</v>
      </c>
    </row>
    <row r="199" spans="1:15" x14ac:dyDescent="0.25">
      <c r="A199" s="1067" t="s">
        <v>204</v>
      </c>
      <c r="B199" s="1067" t="s">
        <v>57</v>
      </c>
      <c r="C199" s="1067" t="s">
        <v>299</v>
      </c>
      <c r="D199" s="1067">
        <v>1230</v>
      </c>
      <c r="E199" s="1067">
        <v>1647</v>
      </c>
      <c r="F199" s="1067">
        <v>2877</v>
      </c>
      <c r="G199" s="1067">
        <v>2059</v>
      </c>
      <c r="H199" s="1067">
        <v>1474</v>
      </c>
      <c r="I199" s="1067">
        <v>585</v>
      </c>
      <c r="J199" s="1067">
        <v>146110</v>
      </c>
      <c r="K199" s="1067">
        <v>1.9690000000000001</v>
      </c>
      <c r="L199" s="1067">
        <v>1.409</v>
      </c>
      <c r="M199" s="1067">
        <v>141129</v>
      </c>
      <c r="N199" s="1067">
        <v>2.0390000000000001</v>
      </c>
      <c r="O199" s="1067">
        <v>1.4590000000000001</v>
      </c>
    </row>
    <row r="200" spans="1:15" x14ac:dyDescent="0.25">
      <c r="A200" s="1067" t="s">
        <v>204</v>
      </c>
      <c r="B200" s="1067" t="s">
        <v>60</v>
      </c>
      <c r="C200" s="1067" t="s">
        <v>307</v>
      </c>
      <c r="D200" s="1067">
        <v>1381</v>
      </c>
      <c r="E200" s="1067">
        <v>546</v>
      </c>
      <c r="F200" s="1067">
        <v>1927</v>
      </c>
      <c r="G200" s="1067">
        <v>2262</v>
      </c>
      <c r="H200" s="1067">
        <v>1141</v>
      </c>
      <c r="I200" s="1067">
        <v>1121</v>
      </c>
      <c r="J200" s="1067">
        <v>76473</v>
      </c>
      <c r="K200" s="1067">
        <v>2.52</v>
      </c>
      <c r="L200" s="1067">
        <v>2.9580000000000002</v>
      </c>
      <c r="M200" s="1067">
        <v>74335</v>
      </c>
      <c r="N200" s="1067">
        <v>2.5920000000000001</v>
      </c>
      <c r="O200" s="1067">
        <v>3.0430000000000001</v>
      </c>
    </row>
    <row r="201" spans="1:15" x14ac:dyDescent="0.25">
      <c r="A201" s="1067" t="s">
        <v>203</v>
      </c>
      <c r="B201" s="1067" t="s">
        <v>32</v>
      </c>
      <c r="C201" s="1067" t="s">
        <v>302</v>
      </c>
      <c r="D201" s="1067">
        <v>617</v>
      </c>
      <c r="E201" s="1067">
        <v>831</v>
      </c>
      <c r="F201" s="1067">
        <v>1448</v>
      </c>
      <c r="G201" s="1067">
        <v>1003</v>
      </c>
      <c r="H201" s="1067">
        <v>609</v>
      </c>
      <c r="I201" s="1067">
        <v>394</v>
      </c>
      <c r="J201" s="1067">
        <v>114086</v>
      </c>
      <c r="K201" s="1067">
        <v>1.2689999999999999</v>
      </c>
      <c r="L201" s="1067">
        <v>0.879</v>
      </c>
      <c r="M201" s="1067">
        <v>108381</v>
      </c>
      <c r="N201" s="1067">
        <v>1.3360000000000001</v>
      </c>
      <c r="O201" s="1067">
        <v>0.92500000000000004</v>
      </c>
    </row>
    <row r="202" spans="1:15" x14ac:dyDescent="0.25">
      <c r="A202" s="1067" t="s">
        <v>203</v>
      </c>
      <c r="B202" s="1067" t="s">
        <v>34</v>
      </c>
      <c r="C202" s="1067" t="s">
        <v>303</v>
      </c>
      <c r="D202" s="1067">
        <v>498</v>
      </c>
      <c r="E202" s="1067">
        <v>680</v>
      </c>
      <c r="F202" s="1067">
        <v>1178</v>
      </c>
      <c r="G202" s="1067">
        <v>826</v>
      </c>
      <c r="H202" s="1067">
        <v>412</v>
      </c>
      <c r="I202" s="1067">
        <v>414</v>
      </c>
      <c r="J202" s="1067">
        <v>47500</v>
      </c>
      <c r="K202" s="1067">
        <v>2.48</v>
      </c>
      <c r="L202" s="1067">
        <v>1.7390000000000001</v>
      </c>
      <c r="M202" s="1067">
        <v>40857</v>
      </c>
      <c r="N202" s="1067">
        <v>2.883</v>
      </c>
      <c r="O202" s="1067">
        <v>2.0219999999999998</v>
      </c>
    </row>
    <row r="203" spans="1:15" x14ac:dyDescent="0.25">
      <c r="A203" s="1067" t="s">
        <v>203</v>
      </c>
      <c r="B203" s="1067" t="s">
        <v>38</v>
      </c>
      <c r="C203" s="1067" t="s">
        <v>284</v>
      </c>
      <c r="D203" s="1067">
        <v>467</v>
      </c>
      <c r="E203" s="1067">
        <v>836</v>
      </c>
      <c r="F203" s="1067">
        <v>1303</v>
      </c>
      <c r="G203" s="1067">
        <v>762</v>
      </c>
      <c r="H203" s="1067">
        <v>506</v>
      </c>
      <c r="I203" s="1067">
        <v>256</v>
      </c>
      <c r="J203" s="1067">
        <v>57324</v>
      </c>
      <c r="K203" s="1067">
        <v>2.2730000000000001</v>
      </c>
      <c r="L203" s="1067">
        <v>1.329</v>
      </c>
      <c r="M203" s="1067">
        <v>54401</v>
      </c>
      <c r="N203" s="1067">
        <v>2.395</v>
      </c>
      <c r="O203" s="1067">
        <v>1.401</v>
      </c>
    </row>
    <row r="204" spans="1:15" x14ac:dyDescent="0.25">
      <c r="A204" s="1067" t="s">
        <v>203</v>
      </c>
      <c r="B204" s="1067" t="s">
        <v>46</v>
      </c>
      <c r="C204" s="1067" t="s">
        <v>291</v>
      </c>
      <c r="D204" s="1067">
        <v>479</v>
      </c>
      <c r="E204" s="1067">
        <v>491</v>
      </c>
      <c r="F204" s="1067">
        <v>970</v>
      </c>
      <c r="G204" s="1067">
        <v>737</v>
      </c>
      <c r="H204" s="1067">
        <v>465</v>
      </c>
      <c r="I204" s="1067">
        <v>272</v>
      </c>
      <c r="J204" s="1067">
        <v>38159</v>
      </c>
      <c r="K204" s="1067">
        <v>2.5419999999999998</v>
      </c>
      <c r="L204" s="1067">
        <v>1.931</v>
      </c>
      <c r="M204" s="1067">
        <v>36602</v>
      </c>
      <c r="N204" s="1067">
        <v>2.65</v>
      </c>
      <c r="O204" s="1067">
        <v>2.0139999999999998</v>
      </c>
    </row>
    <row r="205" spans="1:15" x14ac:dyDescent="0.25">
      <c r="A205" s="1067" t="s">
        <v>203</v>
      </c>
      <c r="B205" s="1067" t="s">
        <v>49</v>
      </c>
      <c r="C205" s="1067" t="s">
        <v>293</v>
      </c>
      <c r="D205" s="1067">
        <v>901</v>
      </c>
      <c r="E205" s="1067">
        <v>964</v>
      </c>
      <c r="F205" s="1067">
        <v>1865</v>
      </c>
      <c r="G205" s="1067">
        <v>1483</v>
      </c>
      <c r="H205" s="1067">
        <v>932</v>
      </c>
      <c r="I205" s="1067">
        <v>551</v>
      </c>
      <c r="J205" s="1067">
        <v>67204</v>
      </c>
      <c r="K205" s="1067">
        <v>2.7749999999999999</v>
      </c>
      <c r="L205" s="1067">
        <v>2.2069999999999999</v>
      </c>
      <c r="M205" s="1067">
        <v>62802</v>
      </c>
      <c r="N205" s="1067">
        <v>2.97</v>
      </c>
      <c r="O205" s="1067">
        <v>2.3610000000000002</v>
      </c>
    </row>
    <row r="206" spans="1:15" x14ac:dyDescent="0.25">
      <c r="A206" s="1067" t="s">
        <v>203</v>
      </c>
      <c r="B206" s="1067" t="s">
        <v>56</v>
      </c>
      <c r="C206" s="1067" t="s">
        <v>298</v>
      </c>
      <c r="D206" s="1067">
        <v>608</v>
      </c>
      <c r="E206" s="1067">
        <v>517</v>
      </c>
      <c r="F206" s="1067">
        <v>1125</v>
      </c>
      <c r="G206" s="1067">
        <v>1033</v>
      </c>
      <c r="H206" s="1067">
        <v>715</v>
      </c>
      <c r="I206" s="1067">
        <v>318</v>
      </c>
      <c r="J206" s="1067">
        <v>54489</v>
      </c>
      <c r="K206" s="1067">
        <v>2.0649999999999999</v>
      </c>
      <c r="L206" s="1067">
        <v>1.8959999999999999</v>
      </c>
      <c r="M206" s="1067">
        <v>51874</v>
      </c>
      <c r="N206" s="1067">
        <v>2.169</v>
      </c>
      <c r="O206" s="1067">
        <v>1.9910000000000001</v>
      </c>
    </row>
    <row r="207" spans="1:15" x14ac:dyDescent="0.25">
      <c r="A207" s="1067" t="s">
        <v>203</v>
      </c>
      <c r="B207" s="1067" t="s">
        <v>57</v>
      </c>
      <c r="C207" s="1067" t="s">
        <v>299</v>
      </c>
      <c r="D207" s="1067">
        <v>1155</v>
      </c>
      <c r="E207" s="1067">
        <v>1979</v>
      </c>
      <c r="F207" s="1067">
        <v>3134</v>
      </c>
      <c r="G207" s="1067">
        <v>1884</v>
      </c>
      <c r="H207" s="1067">
        <v>1410</v>
      </c>
      <c r="I207" s="1067">
        <v>474</v>
      </c>
      <c r="J207" s="1067">
        <v>146925</v>
      </c>
      <c r="K207" s="1067">
        <v>2.133</v>
      </c>
      <c r="L207" s="1067">
        <v>1.282</v>
      </c>
      <c r="M207" s="1067">
        <v>142286</v>
      </c>
      <c r="N207" s="1067">
        <v>2.2029999999999998</v>
      </c>
      <c r="O207" s="1067">
        <v>1.3240000000000001</v>
      </c>
    </row>
    <row r="208" spans="1:15" x14ac:dyDescent="0.25">
      <c r="A208" s="1067" t="s">
        <v>203</v>
      </c>
      <c r="B208" s="1067" t="s">
        <v>59</v>
      </c>
      <c r="C208" s="1067" t="s">
        <v>306</v>
      </c>
      <c r="D208" s="1067">
        <v>402</v>
      </c>
      <c r="E208" s="1067">
        <v>519</v>
      </c>
      <c r="F208" s="1067">
        <v>921</v>
      </c>
      <c r="G208" s="1067">
        <v>631</v>
      </c>
      <c r="H208" s="1067">
        <v>471</v>
      </c>
      <c r="I208" s="1067">
        <v>160</v>
      </c>
      <c r="J208" s="1067">
        <v>44734</v>
      </c>
      <c r="K208" s="1067">
        <v>2.0590000000000002</v>
      </c>
      <c r="L208" s="1067">
        <v>1.411</v>
      </c>
      <c r="M208" s="1067">
        <v>42353</v>
      </c>
      <c r="N208" s="1067">
        <v>2.1749999999999998</v>
      </c>
      <c r="O208" s="1067">
        <v>1.49</v>
      </c>
    </row>
    <row r="209" spans="1:15" x14ac:dyDescent="0.25">
      <c r="A209" s="1067" t="s">
        <v>203</v>
      </c>
      <c r="B209" s="1067" t="s">
        <v>60</v>
      </c>
      <c r="C209" s="1067" t="s">
        <v>307</v>
      </c>
      <c r="D209" s="1067">
        <v>1103</v>
      </c>
      <c r="E209" s="1067">
        <v>638</v>
      </c>
      <c r="F209" s="1067">
        <v>1741</v>
      </c>
      <c r="G209" s="1067">
        <v>1780</v>
      </c>
      <c r="H209" s="1067">
        <v>967</v>
      </c>
      <c r="I209" s="1067">
        <v>813</v>
      </c>
      <c r="J209" s="1067">
        <v>77186</v>
      </c>
      <c r="K209" s="1067">
        <v>2.2559999999999998</v>
      </c>
      <c r="L209" s="1067">
        <v>2.306</v>
      </c>
      <c r="M209" s="1067">
        <v>75035</v>
      </c>
      <c r="N209" s="1067">
        <v>2.3199999999999998</v>
      </c>
      <c r="O209" s="1067">
        <v>2.3719999999999999</v>
      </c>
    </row>
    <row r="210" spans="1:15" x14ac:dyDescent="0.25">
      <c r="A210" s="1067" t="s">
        <v>202</v>
      </c>
      <c r="B210" s="1067" t="s">
        <v>42</v>
      </c>
      <c r="C210" s="1067" t="s">
        <v>288</v>
      </c>
      <c r="D210" s="1067">
        <v>552</v>
      </c>
      <c r="E210" s="1067">
        <v>1153</v>
      </c>
      <c r="F210" s="1067">
        <v>1705</v>
      </c>
      <c r="G210" s="1067">
        <v>838</v>
      </c>
      <c r="H210" s="1067">
        <v>631</v>
      </c>
      <c r="I210" s="1067">
        <v>207</v>
      </c>
      <c r="J210" s="1067">
        <v>73290</v>
      </c>
      <c r="K210" s="1067">
        <v>2.3260000000000001</v>
      </c>
      <c r="L210" s="1067">
        <v>1.143</v>
      </c>
      <c r="M210" s="1067">
        <v>70431</v>
      </c>
      <c r="N210" s="1067">
        <v>2.4209999999999998</v>
      </c>
      <c r="O210" s="1067">
        <v>1.19</v>
      </c>
    </row>
    <row r="211" spans="1:15" x14ac:dyDescent="0.25">
      <c r="A211" s="1067" t="s">
        <v>202</v>
      </c>
      <c r="B211" s="1067" t="s">
        <v>43</v>
      </c>
      <c r="C211" s="1067" t="s">
        <v>430</v>
      </c>
      <c r="D211" s="1067">
        <v>3204</v>
      </c>
      <c r="E211" s="1067">
        <v>3874</v>
      </c>
      <c r="F211" s="1067">
        <v>7078</v>
      </c>
      <c r="G211" s="1067">
        <v>5034</v>
      </c>
      <c r="H211" s="1067">
        <v>3231</v>
      </c>
      <c r="I211" s="1067">
        <v>1803</v>
      </c>
      <c r="J211" s="1067">
        <v>173366</v>
      </c>
      <c r="K211" s="1067">
        <v>4.0830000000000002</v>
      </c>
      <c r="L211" s="1067">
        <v>2.9039999999999999</v>
      </c>
      <c r="M211" s="1067">
        <v>164705</v>
      </c>
      <c r="N211" s="1067">
        <v>4.2969999999999997</v>
      </c>
      <c r="O211" s="1067">
        <v>3.056</v>
      </c>
    </row>
    <row r="212" spans="1:15" x14ac:dyDescent="0.25">
      <c r="A212" s="1067" t="s">
        <v>202</v>
      </c>
      <c r="B212" s="1067" t="s">
        <v>121</v>
      </c>
      <c r="C212" s="1067" t="s">
        <v>312</v>
      </c>
      <c r="D212" s="1067">
        <v>2649</v>
      </c>
      <c r="E212" s="1067">
        <v>3737</v>
      </c>
      <c r="F212" s="1067">
        <v>6386</v>
      </c>
      <c r="G212" s="1067">
        <v>3820</v>
      </c>
      <c r="H212" s="1067">
        <v>2864</v>
      </c>
      <c r="I212" s="1067">
        <v>956</v>
      </c>
      <c r="J212" s="1067">
        <v>304013</v>
      </c>
      <c r="K212" s="1067">
        <v>2.101</v>
      </c>
      <c r="L212" s="1067">
        <v>1.2569999999999999</v>
      </c>
      <c r="M212" s="1067">
        <v>287862</v>
      </c>
      <c r="N212" s="1067">
        <v>2.218</v>
      </c>
      <c r="O212" s="1067">
        <v>1.327</v>
      </c>
    </row>
    <row r="213" spans="1:15" x14ac:dyDescent="0.25">
      <c r="A213" s="1067" t="s">
        <v>202</v>
      </c>
      <c r="B213" s="1067" t="s">
        <v>45</v>
      </c>
      <c r="C213" s="1067" t="s">
        <v>290</v>
      </c>
      <c r="D213" s="1067">
        <v>758</v>
      </c>
      <c r="E213" s="1067">
        <v>936</v>
      </c>
      <c r="F213" s="1067">
        <v>1694</v>
      </c>
      <c r="G213" s="1067">
        <v>1081</v>
      </c>
      <c r="H213" s="1067">
        <v>685</v>
      </c>
      <c r="I213" s="1067">
        <v>396</v>
      </c>
      <c r="J213" s="1067">
        <v>38787</v>
      </c>
      <c r="K213" s="1067">
        <v>4.367</v>
      </c>
      <c r="L213" s="1067">
        <v>2.7869999999999999</v>
      </c>
      <c r="M213" s="1067">
        <v>37426</v>
      </c>
      <c r="N213" s="1067">
        <v>4.5259999999999998</v>
      </c>
      <c r="O213" s="1067">
        <v>2.8879999999999999</v>
      </c>
    </row>
    <row r="214" spans="1:15" x14ac:dyDescent="0.25">
      <c r="A214" s="1067" t="s">
        <v>202</v>
      </c>
      <c r="B214" s="1067" t="s">
        <v>50</v>
      </c>
      <c r="C214" s="1067" t="s">
        <v>310</v>
      </c>
      <c r="D214" s="1067">
        <v>1654</v>
      </c>
      <c r="E214" s="1067">
        <v>2505</v>
      </c>
      <c r="F214" s="1067">
        <v>4159</v>
      </c>
      <c r="G214" s="1067">
        <v>2755</v>
      </c>
      <c r="H214" s="1067">
        <v>2213</v>
      </c>
      <c r="I214" s="1067">
        <v>542</v>
      </c>
      <c r="J214" s="1067">
        <v>152293</v>
      </c>
      <c r="K214" s="1067">
        <v>2.7309999999999999</v>
      </c>
      <c r="L214" s="1067">
        <v>1.8089999999999999</v>
      </c>
      <c r="M214" s="1067">
        <v>149282</v>
      </c>
      <c r="N214" s="1067">
        <v>2.786</v>
      </c>
      <c r="O214" s="1067">
        <v>1.8460000000000001</v>
      </c>
    </row>
    <row r="215" spans="1:15" x14ac:dyDescent="0.25">
      <c r="A215" s="1067" t="s">
        <v>273</v>
      </c>
      <c r="B215" s="1067" t="s">
        <v>44</v>
      </c>
      <c r="C215" s="1067" t="s">
        <v>289</v>
      </c>
      <c r="D215" s="1067">
        <v>1215</v>
      </c>
      <c r="E215" s="1067">
        <v>3439</v>
      </c>
      <c r="F215" s="1067">
        <v>4654</v>
      </c>
      <c r="G215" s="1067">
        <v>1906</v>
      </c>
      <c r="H215" s="1067">
        <v>1204</v>
      </c>
      <c r="I215" s="1067">
        <v>702</v>
      </c>
      <c r="J215" s="1067">
        <v>116453</v>
      </c>
      <c r="K215" s="1067">
        <v>3.996</v>
      </c>
      <c r="L215" s="1067">
        <v>1.637</v>
      </c>
      <c r="M215" s="1067">
        <v>107573</v>
      </c>
      <c r="N215" s="1067">
        <v>4.3259999999999996</v>
      </c>
      <c r="O215" s="1067">
        <v>1.772</v>
      </c>
    </row>
    <row r="216" spans="1:15" x14ac:dyDescent="0.25">
      <c r="A216" s="1067" t="s">
        <v>273</v>
      </c>
      <c r="B216" s="1067" t="s">
        <v>47</v>
      </c>
      <c r="C216" s="1067" t="s">
        <v>292</v>
      </c>
      <c r="D216" s="1067">
        <v>768</v>
      </c>
      <c r="E216" s="1067">
        <v>1016</v>
      </c>
      <c r="F216" s="1067">
        <v>1784</v>
      </c>
      <c r="G216" s="1067">
        <v>1356</v>
      </c>
      <c r="H216" s="1067">
        <v>709</v>
      </c>
      <c r="I216" s="1067">
        <v>647</v>
      </c>
      <c r="J216" s="1067">
        <v>44454</v>
      </c>
      <c r="K216" s="1067">
        <v>4.0129999999999999</v>
      </c>
      <c r="L216" s="1067">
        <v>3.05</v>
      </c>
      <c r="M216" s="1067">
        <v>41961</v>
      </c>
      <c r="N216" s="1067">
        <v>4.2519999999999998</v>
      </c>
      <c r="O216" s="1067">
        <v>3.2320000000000002</v>
      </c>
    </row>
    <row r="217" spans="1:15" x14ac:dyDescent="0.25">
      <c r="A217" s="1067" t="s">
        <v>255</v>
      </c>
      <c r="B217" s="1067" t="s">
        <v>31</v>
      </c>
      <c r="C217" s="1067" t="s">
        <v>301</v>
      </c>
      <c r="D217" s="1067">
        <v>478</v>
      </c>
      <c r="E217" s="1067">
        <v>1669</v>
      </c>
      <c r="F217" s="1067">
        <v>2147</v>
      </c>
      <c r="G217" s="1067">
        <v>692</v>
      </c>
      <c r="H217" s="1067">
        <v>432</v>
      </c>
      <c r="I217" s="1067">
        <v>260</v>
      </c>
      <c r="J217" s="1067">
        <v>116821</v>
      </c>
      <c r="K217" s="1067">
        <v>1.8380000000000001</v>
      </c>
      <c r="L217" s="1067">
        <v>0.59199999999999997</v>
      </c>
      <c r="M217" s="1067">
        <v>106802</v>
      </c>
      <c r="N217" s="1067">
        <v>2.0099999999999998</v>
      </c>
      <c r="O217" s="1067">
        <v>0.64800000000000002</v>
      </c>
    </row>
    <row r="218" spans="1:15" x14ac:dyDescent="0.25">
      <c r="A218" s="1067" t="s">
        <v>255</v>
      </c>
      <c r="B218" s="1067" t="s">
        <v>44</v>
      </c>
      <c r="C218" s="1067" t="s">
        <v>289</v>
      </c>
      <c r="D218" s="1067">
        <v>1288</v>
      </c>
      <c r="E218" s="1067">
        <v>3926</v>
      </c>
      <c r="F218" s="1067">
        <v>5214</v>
      </c>
      <c r="G218" s="1067">
        <v>2127</v>
      </c>
      <c r="H218" s="1067">
        <v>1385</v>
      </c>
      <c r="I218" s="1067">
        <v>742</v>
      </c>
      <c r="J218" s="1067">
        <v>117291</v>
      </c>
      <c r="K218" s="1067">
        <v>4.4450000000000003</v>
      </c>
      <c r="L218" s="1067">
        <v>1.8129999999999999</v>
      </c>
      <c r="M218" s="1067">
        <v>108319</v>
      </c>
      <c r="N218" s="1067">
        <v>4.8140000000000001</v>
      </c>
      <c r="O218" s="1067">
        <v>1.964</v>
      </c>
    </row>
    <row r="219" spans="1:15" x14ac:dyDescent="0.25">
      <c r="A219" s="1067" t="s">
        <v>255</v>
      </c>
      <c r="B219" s="1067" t="s">
        <v>52</v>
      </c>
      <c r="C219" s="1067" t="s">
        <v>295</v>
      </c>
      <c r="D219" s="1067">
        <v>484</v>
      </c>
      <c r="E219" s="1067">
        <v>1014</v>
      </c>
      <c r="F219" s="1067">
        <v>1498</v>
      </c>
      <c r="G219" s="1067">
        <v>716</v>
      </c>
      <c r="H219" s="1067">
        <v>451</v>
      </c>
      <c r="I219" s="1067">
        <v>265</v>
      </c>
      <c r="J219" s="1067">
        <v>71810</v>
      </c>
      <c r="K219" s="1067">
        <v>2.0859999999999999</v>
      </c>
      <c r="L219" s="1067">
        <v>0.997</v>
      </c>
      <c r="M219" s="1067">
        <v>67618</v>
      </c>
      <c r="N219" s="1067">
        <v>2.2149999999999999</v>
      </c>
      <c r="O219" s="1067">
        <v>1.0589999999999999</v>
      </c>
    </row>
    <row r="220" spans="1:15" x14ac:dyDescent="0.25">
      <c r="A220" s="1067" t="s">
        <v>254</v>
      </c>
      <c r="B220" s="1067" t="s">
        <v>34</v>
      </c>
      <c r="C220" s="1067" t="s">
        <v>303</v>
      </c>
      <c r="D220" s="1067">
        <v>531</v>
      </c>
      <c r="E220" s="1067">
        <v>939</v>
      </c>
      <c r="F220" s="1067">
        <v>1470</v>
      </c>
      <c r="G220" s="1067">
        <v>831</v>
      </c>
      <c r="H220" s="1067">
        <v>480</v>
      </c>
      <c r="I220" s="1067">
        <v>351</v>
      </c>
      <c r="J220" s="1067">
        <v>48020</v>
      </c>
      <c r="K220" s="1067">
        <v>3.0609999999999999</v>
      </c>
      <c r="L220" s="1067">
        <v>1.7310000000000001</v>
      </c>
      <c r="M220" s="1067">
        <v>41630</v>
      </c>
      <c r="N220" s="1067">
        <v>3.5310000000000001</v>
      </c>
      <c r="O220" s="1067">
        <v>1.996</v>
      </c>
    </row>
    <row r="221" spans="1:15" x14ac:dyDescent="0.25">
      <c r="A221" s="1067" t="s">
        <v>254</v>
      </c>
      <c r="B221" s="1067" t="s">
        <v>36</v>
      </c>
      <c r="C221" s="1067" t="s">
        <v>283</v>
      </c>
      <c r="D221" s="1067">
        <v>1028</v>
      </c>
      <c r="E221" s="1067">
        <v>721</v>
      </c>
      <c r="F221" s="1067">
        <v>1749</v>
      </c>
      <c r="G221" s="1067">
        <v>1554</v>
      </c>
      <c r="H221" s="1067">
        <v>1107</v>
      </c>
      <c r="I221" s="1067">
        <v>447</v>
      </c>
      <c r="J221" s="1067">
        <v>74823</v>
      </c>
      <c r="K221" s="1067">
        <v>2.3380000000000001</v>
      </c>
      <c r="L221" s="1067">
        <v>2.077</v>
      </c>
      <c r="M221" s="1067">
        <v>69586</v>
      </c>
      <c r="N221" s="1067">
        <v>2.5129999999999999</v>
      </c>
      <c r="O221" s="1067">
        <v>2.2330000000000001</v>
      </c>
    </row>
    <row r="222" spans="1:15" x14ac:dyDescent="0.25">
      <c r="A222" s="1067" t="s">
        <v>254</v>
      </c>
      <c r="B222" s="1067" t="s">
        <v>42</v>
      </c>
      <c r="C222" s="1067" t="s">
        <v>288</v>
      </c>
      <c r="D222" s="1067">
        <v>533</v>
      </c>
      <c r="E222" s="1067">
        <v>1326</v>
      </c>
      <c r="F222" s="1067">
        <v>1859</v>
      </c>
      <c r="G222" s="1067">
        <v>798</v>
      </c>
      <c r="H222" s="1067">
        <v>606</v>
      </c>
      <c r="I222" s="1067">
        <v>192</v>
      </c>
      <c r="J222" s="1067">
        <v>74826</v>
      </c>
      <c r="K222" s="1067">
        <v>2.484</v>
      </c>
      <c r="L222" s="1067">
        <v>1.0660000000000001</v>
      </c>
      <c r="M222" s="1067">
        <v>72267</v>
      </c>
      <c r="N222" s="1067">
        <v>2.5720000000000001</v>
      </c>
      <c r="O222" s="1067">
        <v>1.1040000000000001</v>
      </c>
    </row>
    <row r="223" spans="1:15" x14ac:dyDescent="0.25">
      <c r="A223" s="1067" t="s">
        <v>254</v>
      </c>
      <c r="B223" s="1067" t="s">
        <v>43</v>
      </c>
      <c r="C223" s="1067" t="s">
        <v>430</v>
      </c>
      <c r="D223" s="1067">
        <v>2778</v>
      </c>
      <c r="E223" s="1067">
        <v>3429</v>
      </c>
      <c r="F223" s="1067">
        <v>6207</v>
      </c>
      <c r="G223" s="1067">
        <v>4403</v>
      </c>
      <c r="H223" s="1067">
        <v>2925</v>
      </c>
      <c r="I223" s="1067">
        <v>1478</v>
      </c>
      <c r="J223" s="1067">
        <v>177084</v>
      </c>
      <c r="K223" s="1067">
        <v>3.5049999999999999</v>
      </c>
      <c r="L223" s="1067">
        <v>2.4860000000000002</v>
      </c>
      <c r="M223" s="1067">
        <v>167944</v>
      </c>
      <c r="N223" s="1067">
        <v>3.6960000000000002</v>
      </c>
      <c r="O223" s="1067">
        <v>2.6219999999999999</v>
      </c>
    </row>
    <row r="224" spans="1:15" x14ac:dyDescent="0.25">
      <c r="A224" s="1067" t="s">
        <v>254</v>
      </c>
      <c r="B224" s="1067" t="s">
        <v>121</v>
      </c>
      <c r="C224" s="1067" t="s">
        <v>312</v>
      </c>
      <c r="D224" s="1067">
        <v>2993</v>
      </c>
      <c r="E224" s="1067">
        <v>7060</v>
      </c>
      <c r="F224" s="1067">
        <v>10053</v>
      </c>
      <c r="G224" s="1067">
        <v>4151</v>
      </c>
      <c r="H224" s="1067">
        <v>3265</v>
      </c>
      <c r="I224" s="1067">
        <v>886</v>
      </c>
      <c r="J224" s="1067">
        <v>311447</v>
      </c>
      <c r="K224" s="1067">
        <v>3.2280000000000002</v>
      </c>
      <c r="L224" s="1067">
        <v>1.333</v>
      </c>
      <c r="M224" s="1067">
        <v>292619</v>
      </c>
      <c r="N224" s="1067">
        <v>3.4359999999999999</v>
      </c>
      <c r="O224" s="1067">
        <v>1.419</v>
      </c>
    </row>
    <row r="225" spans="1:15" x14ac:dyDescent="0.25">
      <c r="A225" s="1067" t="s">
        <v>254</v>
      </c>
      <c r="B225" s="1067" t="s">
        <v>45</v>
      </c>
      <c r="C225" s="1067" t="s">
        <v>290</v>
      </c>
      <c r="D225" s="1067">
        <v>635</v>
      </c>
      <c r="E225" s="1067">
        <v>894</v>
      </c>
      <c r="F225" s="1067">
        <v>1529</v>
      </c>
      <c r="G225" s="1067">
        <v>935</v>
      </c>
      <c r="H225" s="1067">
        <v>575</v>
      </c>
      <c r="I225" s="1067">
        <v>360</v>
      </c>
      <c r="J225" s="1067">
        <v>38985</v>
      </c>
      <c r="K225" s="1067">
        <v>3.9220000000000002</v>
      </c>
      <c r="L225" s="1067">
        <v>2.3980000000000001</v>
      </c>
      <c r="M225" s="1067">
        <v>37640</v>
      </c>
      <c r="N225" s="1067">
        <v>4.0620000000000003</v>
      </c>
      <c r="O225" s="1067">
        <v>2.484</v>
      </c>
    </row>
    <row r="226" spans="1:15" x14ac:dyDescent="0.25">
      <c r="A226" s="1067" t="s">
        <v>254</v>
      </c>
      <c r="B226" s="1067" t="s">
        <v>50</v>
      </c>
      <c r="C226" s="1067" t="s">
        <v>310</v>
      </c>
      <c r="D226" s="1067">
        <v>1248</v>
      </c>
      <c r="E226" s="1067">
        <v>2019</v>
      </c>
      <c r="F226" s="1067">
        <v>3267</v>
      </c>
      <c r="G226" s="1067">
        <v>2042</v>
      </c>
      <c r="H226" s="1067">
        <v>1614</v>
      </c>
      <c r="I226" s="1067">
        <v>428</v>
      </c>
      <c r="J226" s="1067">
        <v>155364</v>
      </c>
      <c r="K226" s="1067">
        <v>2.1030000000000002</v>
      </c>
      <c r="L226" s="1067">
        <v>1.3140000000000001</v>
      </c>
      <c r="M226" s="1067">
        <v>151744</v>
      </c>
      <c r="N226" s="1067">
        <v>2.153</v>
      </c>
      <c r="O226" s="1067">
        <v>1.3460000000000001</v>
      </c>
    </row>
    <row r="227" spans="1:15" x14ac:dyDescent="0.25">
      <c r="A227" s="1067" t="s">
        <v>851</v>
      </c>
      <c r="B227" s="1067" t="s">
        <v>31</v>
      </c>
      <c r="C227" s="1067" t="s">
        <v>301</v>
      </c>
      <c r="D227" s="1067">
        <v>392</v>
      </c>
      <c r="E227" s="1067">
        <v>2272</v>
      </c>
      <c r="F227" s="1067">
        <v>2664</v>
      </c>
      <c r="G227" s="1067">
        <v>590</v>
      </c>
      <c r="H227" s="1067">
        <v>391</v>
      </c>
      <c r="I227" s="1067">
        <v>199</v>
      </c>
      <c r="J227" s="1067">
        <v>119523</v>
      </c>
      <c r="K227" s="1067">
        <v>2.2290000000000001</v>
      </c>
      <c r="L227" s="1067">
        <v>0.49399999999999999</v>
      </c>
      <c r="M227" s="1067">
        <v>108381</v>
      </c>
      <c r="N227" s="1067">
        <v>2.4580000000000002</v>
      </c>
      <c r="O227" s="1067">
        <v>0.54400000000000004</v>
      </c>
    </row>
    <row r="228" spans="1:15" x14ac:dyDescent="0.25">
      <c r="A228" s="1067" t="s">
        <v>851</v>
      </c>
      <c r="B228" s="1067" t="s">
        <v>53</v>
      </c>
      <c r="C228" s="1067" t="s">
        <v>305</v>
      </c>
      <c r="D228" s="1067">
        <v>774</v>
      </c>
      <c r="E228" s="1067">
        <v>1023</v>
      </c>
      <c r="F228" s="1067">
        <v>1797</v>
      </c>
      <c r="G228" s="1067">
        <v>1182</v>
      </c>
      <c r="H228" s="1067">
        <v>786</v>
      </c>
      <c r="I228" s="1067">
        <v>396</v>
      </c>
      <c r="J228" s="1067">
        <v>88086</v>
      </c>
      <c r="K228" s="1067">
        <v>2.04</v>
      </c>
      <c r="L228" s="1067">
        <v>1.3420000000000001</v>
      </c>
      <c r="M228" s="1067">
        <v>86683</v>
      </c>
      <c r="N228" s="1067">
        <v>2.073</v>
      </c>
      <c r="O228" s="1067">
        <v>1.3640000000000001</v>
      </c>
    </row>
  </sheetData>
  <sheetProtection algorithmName="SHA-512" hashValue="/l2U5d1LhSl+rIFrCpU+aATDxMHntY4bsB5MCGVt22/NBYqd7eSitkj989DVm2M8o3HbSTJ1dn4fMqyYnmVO6g==" saltValue="daxsGL7MvxOZKTu6ocmQGw==" spinCount="100000" sheet="1" scenarios="1" formatCells="0" formatColumns="0" formatRows="0" sort="0" autoFilter="0" pivotTables="0"/>
  <pageMargins left="0.7" right="0.7" top="0.75" bottom="0.75" header="0.3" footer="0.3"/>
  <pageSetup paperSize="9" fitToHeight="50"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C228"/>
  <sheetViews>
    <sheetView zoomScale="85" zoomScaleNormal="85" workbookViewId="0">
      <pane ySplit="4" topLeftCell="A5" activePane="bottomLeft" state="frozen"/>
      <selection pane="bottomLeft"/>
    </sheetView>
  </sheetViews>
  <sheetFormatPr defaultRowHeight="15" x14ac:dyDescent="0.25"/>
  <sheetData>
    <row r="4" spans="1:3" x14ac:dyDescent="0.25">
      <c r="A4" s="1066" t="s">
        <v>329</v>
      </c>
      <c r="B4" s="1066" t="s">
        <v>928</v>
      </c>
      <c r="C4" s="1066" t="s">
        <v>1253</v>
      </c>
    </row>
    <row r="5" spans="1:3" x14ac:dyDescent="0.25">
      <c r="A5" s="1067" t="s">
        <v>204</v>
      </c>
      <c r="B5" s="1067" t="s">
        <v>37</v>
      </c>
      <c r="C5" s="1067">
        <v>7373</v>
      </c>
    </row>
    <row r="6" spans="1:3" x14ac:dyDescent="0.25">
      <c r="A6" s="1067" t="s">
        <v>204</v>
      </c>
      <c r="B6" s="1067" t="s">
        <v>43</v>
      </c>
      <c r="C6" s="1067">
        <v>6599</v>
      </c>
    </row>
    <row r="7" spans="1:3" x14ac:dyDescent="0.25">
      <c r="A7" s="1067" t="s">
        <v>204</v>
      </c>
      <c r="B7" s="1067" t="s">
        <v>121</v>
      </c>
      <c r="C7" s="1067">
        <v>6099</v>
      </c>
    </row>
    <row r="8" spans="1:3" x14ac:dyDescent="0.25">
      <c r="A8" s="1067" t="s">
        <v>204</v>
      </c>
      <c r="B8" s="1067" t="s">
        <v>258</v>
      </c>
      <c r="C8" s="1067">
        <v>5323</v>
      </c>
    </row>
    <row r="9" spans="1:3" x14ac:dyDescent="0.25">
      <c r="A9" s="1067" t="s">
        <v>204</v>
      </c>
      <c r="B9" s="1067" t="s">
        <v>52</v>
      </c>
      <c r="C9" s="1067">
        <v>4363</v>
      </c>
    </row>
    <row r="10" spans="1:3" x14ac:dyDescent="0.25">
      <c r="A10" s="1067" t="s">
        <v>204</v>
      </c>
      <c r="B10" s="1067" t="s">
        <v>44</v>
      </c>
      <c r="C10" s="1067">
        <v>3834</v>
      </c>
    </row>
    <row r="11" spans="1:3" x14ac:dyDescent="0.25">
      <c r="A11" s="1067" t="s">
        <v>204</v>
      </c>
      <c r="B11" s="1067" t="s">
        <v>33</v>
      </c>
      <c r="C11" s="1067">
        <v>3679</v>
      </c>
    </row>
    <row r="12" spans="1:3" x14ac:dyDescent="0.25">
      <c r="A12" s="1067" t="s">
        <v>204</v>
      </c>
      <c r="B12" s="1067" t="s">
        <v>57</v>
      </c>
      <c r="C12" s="1067">
        <v>2877</v>
      </c>
    </row>
    <row r="13" spans="1:3" x14ac:dyDescent="0.25">
      <c r="A13" s="1067" t="s">
        <v>204</v>
      </c>
      <c r="B13" s="1067" t="s">
        <v>50</v>
      </c>
      <c r="C13" s="1067">
        <v>2833</v>
      </c>
    </row>
    <row r="14" spans="1:3" x14ac:dyDescent="0.25">
      <c r="A14" s="1067" t="s">
        <v>204</v>
      </c>
      <c r="B14" s="1067" t="s">
        <v>54</v>
      </c>
      <c r="C14" s="1067">
        <v>2598</v>
      </c>
    </row>
    <row r="15" spans="1:3" x14ac:dyDescent="0.25">
      <c r="A15" s="1067" t="s">
        <v>204</v>
      </c>
      <c r="B15" s="1067" t="s">
        <v>31</v>
      </c>
      <c r="C15" s="1067">
        <v>2390</v>
      </c>
    </row>
    <row r="16" spans="1:3" x14ac:dyDescent="0.25">
      <c r="A16" s="1067" t="s">
        <v>204</v>
      </c>
      <c r="B16" s="1067" t="s">
        <v>60</v>
      </c>
      <c r="C16" s="1067">
        <v>1927</v>
      </c>
    </row>
    <row r="17" spans="1:3" x14ac:dyDescent="0.25">
      <c r="A17" s="1067" t="s">
        <v>204</v>
      </c>
      <c r="B17" s="1067" t="s">
        <v>53</v>
      </c>
      <c r="C17" s="1067">
        <v>1877</v>
      </c>
    </row>
    <row r="18" spans="1:3" x14ac:dyDescent="0.25">
      <c r="A18" s="1067" t="s">
        <v>204</v>
      </c>
      <c r="B18" s="1067" t="s">
        <v>38</v>
      </c>
      <c r="C18" s="1067">
        <v>1824</v>
      </c>
    </row>
    <row r="19" spans="1:3" x14ac:dyDescent="0.25">
      <c r="A19" s="1067" t="s">
        <v>204</v>
      </c>
      <c r="B19" s="1067" t="s">
        <v>42</v>
      </c>
      <c r="C19" s="1067">
        <v>1721</v>
      </c>
    </row>
    <row r="20" spans="1:3" x14ac:dyDescent="0.25">
      <c r="A20" s="1067" t="s">
        <v>204</v>
      </c>
      <c r="B20" s="1067" t="s">
        <v>49</v>
      </c>
      <c r="C20" s="1067">
        <v>1618</v>
      </c>
    </row>
    <row r="21" spans="1:3" x14ac:dyDescent="0.25">
      <c r="A21" s="1067" t="s">
        <v>204</v>
      </c>
      <c r="B21" s="1067" t="s">
        <v>36</v>
      </c>
      <c r="C21" s="1067">
        <v>1456</v>
      </c>
    </row>
    <row r="22" spans="1:3" x14ac:dyDescent="0.25">
      <c r="A22" s="1067" t="s">
        <v>204</v>
      </c>
      <c r="B22" s="1067" t="s">
        <v>32</v>
      </c>
      <c r="C22" s="1067">
        <v>1356</v>
      </c>
    </row>
    <row r="23" spans="1:3" x14ac:dyDescent="0.25">
      <c r="A23" s="1067" t="s">
        <v>204</v>
      </c>
      <c r="B23" s="1067" t="s">
        <v>45</v>
      </c>
      <c r="C23" s="1067">
        <v>1244</v>
      </c>
    </row>
    <row r="24" spans="1:3" x14ac:dyDescent="0.25">
      <c r="A24" s="1067" t="s">
        <v>204</v>
      </c>
      <c r="B24" s="1067" t="s">
        <v>56</v>
      </c>
      <c r="C24" s="1067">
        <v>1063</v>
      </c>
    </row>
    <row r="25" spans="1:3" x14ac:dyDescent="0.25">
      <c r="A25" s="1067" t="s">
        <v>204</v>
      </c>
      <c r="B25" s="1067" t="s">
        <v>40</v>
      </c>
      <c r="C25" s="1067">
        <v>1015</v>
      </c>
    </row>
    <row r="26" spans="1:3" x14ac:dyDescent="0.25">
      <c r="A26" s="1067" t="s">
        <v>204</v>
      </c>
      <c r="B26" s="1067" t="s">
        <v>34</v>
      </c>
      <c r="C26" s="1067">
        <v>986</v>
      </c>
    </row>
    <row r="27" spans="1:3" x14ac:dyDescent="0.25">
      <c r="A27" s="1067" t="s">
        <v>204</v>
      </c>
      <c r="B27" s="1067" t="s">
        <v>46</v>
      </c>
      <c r="C27" s="1067">
        <v>980</v>
      </c>
    </row>
    <row r="28" spans="1:3" x14ac:dyDescent="0.25">
      <c r="A28" s="1067" t="s">
        <v>204</v>
      </c>
      <c r="B28" s="1067" t="s">
        <v>41</v>
      </c>
      <c r="C28" s="1067">
        <v>940</v>
      </c>
    </row>
    <row r="29" spans="1:3" x14ac:dyDescent="0.25">
      <c r="A29" s="1067" t="s">
        <v>204</v>
      </c>
      <c r="B29" s="1067" t="s">
        <v>59</v>
      </c>
      <c r="C29" s="1067">
        <v>932</v>
      </c>
    </row>
    <row r="30" spans="1:3" x14ac:dyDescent="0.25">
      <c r="A30" s="1067" t="s">
        <v>204</v>
      </c>
      <c r="B30" s="1067" t="s">
        <v>35</v>
      </c>
      <c r="C30" s="1067">
        <v>872</v>
      </c>
    </row>
    <row r="31" spans="1:3" x14ac:dyDescent="0.25">
      <c r="A31" s="1067" t="s">
        <v>204</v>
      </c>
      <c r="B31" s="1067" t="s">
        <v>58</v>
      </c>
      <c r="C31" s="1067">
        <v>872</v>
      </c>
    </row>
    <row r="32" spans="1:3" x14ac:dyDescent="0.25">
      <c r="A32" s="1067" t="s">
        <v>204</v>
      </c>
      <c r="B32" s="1067" t="s">
        <v>39</v>
      </c>
      <c r="C32" s="1067">
        <v>861</v>
      </c>
    </row>
    <row r="33" spans="1:3" x14ac:dyDescent="0.25">
      <c r="A33" s="1067" t="s">
        <v>204</v>
      </c>
      <c r="B33" s="1067" t="s">
        <v>47</v>
      </c>
      <c r="C33" s="1067">
        <v>631</v>
      </c>
    </row>
    <row r="34" spans="1:3" x14ac:dyDescent="0.25">
      <c r="A34" s="1067" t="s">
        <v>204</v>
      </c>
      <c r="B34" s="1067" t="s">
        <v>48</v>
      </c>
      <c r="C34" s="1067">
        <v>349</v>
      </c>
    </row>
    <row r="35" spans="1:3" x14ac:dyDescent="0.25">
      <c r="A35" s="1067" t="s">
        <v>204</v>
      </c>
      <c r="B35" s="1067" t="s">
        <v>55</v>
      </c>
      <c r="C35" s="1067">
        <v>291</v>
      </c>
    </row>
    <row r="36" spans="1:3" x14ac:dyDescent="0.25">
      <c r="A36" s="1067" t="s">
        <v>204</v>
      </c>
      <c r="B36" s="1067" t="s">
        <v>51</v>
      </c>
      <c r="C36" s="1067">
        <v>265</v>
      </c>
    </row>
    <row r="37" spans="1:3" x14ac:dyDescent="0.25">
      <c r="A37" s="1067" t="s">
        <v>203</v>
      </c>
      <c r="B37" s="1067" t="s">
        <v>43</v>
      </c>
      <c r="C37" s="1067">
        <v>6866</v>
      </c>
    </row>
    <row r="38" spans="1:3" x14ac:dyDescent="0.25">
      <c r="A38" s="1067" t="s">
        <v>203</v>
      </c>
      <c r="B38" s="1067" t="s">
        <v>121</v>
      </c>
      <c r="C38" s="1067">
        <v>6131</v>
      </c>
    </row>
    <row r="39" spans="1:3" x14ac:dyDescent="0.25">
      <c r="A39" s="1067" t="s">
        <v>203</v>
      </c>
      <c r="B39" s="1067" t="s">
        <v>258</v>
      </c>
      <c r="C39" s="1067">
        <v>5587</v>
      </c>
    </row>
    <row r="40" spans="1:3" x14ac:dyDescent="0.25">
      <c r="A40" s="1067" t="s">
        <v>203</v>
      </c>
      <c r="B40" s="1067" t="s">
        <v>37</v>
      </c>
      <c r="C40" s="1067">
        <v>3726</v>
      </c>
    </row>
    <row r="41" spans="1:3" x14ac:dyDescent="0.25">
      <c r="A41" s="1067" t="s">
        <v>203</v>
      </c>
      <c r="B41" s="1067" t="s">
        <v>44</v>
      </c>
      <c r="C41" s="1067">
        <v>3585</v>
      </c>
    </row>
    <row r="42" spans="1:3" x14ac:dyDescent="0.25">
      <c r="A42" s="1067" t="s">
        <v>203</v>
      </c>
      <c r="B42" s="1067" t="s">
        <v>50</v>
      </c>
      <c r="C42" s="1067">
        <v>3494</v>
      </c>
    </row>
    <row r="43" spans="1:3" x14ac:dyDescent="0.25">
      <c r="A43" s="1067" t="s">
        <v>203</v>
      </c>
      <c r="B43" s="1067" t="s">
        <v>57</v>
      </c>
      <c r="C43" s="1067">
        <v>3134</v>
      </c>
    </row>
    <row r="44" spans="1:3" x14ac:dyDescent="0.25">
      <c r="A44" s="1067" t="s">
        <v>203</v>
      </c>
      <c r="B44" s="1067" t="s">
        <v>31</v>
      </c>
      <c r="C44" s="1067">
        <v>2475</v>
      </c>
    </row>
    <row r="45" spans="1:3" x14ac:dyDescent="0.25">
      <c r="A45" s="1067" t="s">
        <v>203</v>
      </c>
      <c r="B45" s="1067" t="s">
        <v>54</v>
      </c>
      <c r="C45" s="1067">
        <v>2423</v>
      </c>
    </row>
    <row r="46" spans="1:3" x14ac:dyDescent="0.25">
      <c r="A46" s="1067" t="s">
        <v>203</v>
      </c>
      <c r="B46" s="1067" t="s">
        <v>52</v>
      </c>
      <c r="C46" s="1067">
        <v>2422</v>
      </c>
    </row>
    <row r="47" spans="1:3" x14ac:dyDescent="0.25">
      <c r="A47" s="1067" t="s">
        <v>203</v>
      </c>
      <c r="B47" s="1067" t="s">
        <v>53</v>
      </c>
      <c r="C47" s="1067">
        <v>2153</v>
      </c>
    </row>
    <row r="48" spans="1:3" x14ac:dyDescent="0.25">
      <c r="A48" s="1067" t="s">
        <v>203</v>
      </c>
      <c r="B48" s="1067" t="s">
        <v>49</v>
      </c>
      <c r="C48" s="1067">
        <v>1865</v>
      </c>
    </row>
    <row r="49" spans="1:3" x14ac:dyDescent="0.25">
      <c r="A49" s="1067" t="s">
        <v>203</v>
      </c>
      <c r="B49" s="1067" t="s">
        <v>33</v>
      </c>
      <c r="C49" s="1067">
        <v>1843</v>
      </c>
    </row>
    <row r="50" spans="1:3" x14ac:dyDescent="0.25">
      <c r="A50" s="1067" t="s">
        <v>203</v>
      </c>
      <c r="B50" s="1067" t="s">
        <v>60</v>
      </c>
      <c r="C50" s="1067">
        <v>1741</v>
      </c>
    </row>
    <row r="51" spans="1:3" x14ac:dyDescent="0.25">
      <c r="A51" s="1067" t="s">
        <v>203</v>
      </c>
      <c r="B51" s="1067" t="s">
        <v>42</v>
      </c>
      <c r="C51" s="1067">
        <v>1617</v>
      </c>
    </row>
    <row r="52" spans="1:3" x14ac:dyDescent="0.25">
      <c r="A52" s="1067" t="s">
        <v>203</v>
      </c>
      <c r="B52" s="1067" t="s">
        <v>36</v>
      </c>
      <c r="C52" s="1067">
        <v>1526</v>
      </c>
    </row>
    <row r="53" spans="1:3" x14ac:dyDescent="0.25">
      <c r="A53" s="1067" t="s">
        <v>203</v>
      </c>
      <c r="B53" s="1067" t="s">
        <v>32</v>
      </c>
      <c r="C53" s="1067">
        <v>1448</v>
      </c>
    </row>
    <row r="54" spans="1:3" x14ac:dyDescent="0.25">
      <c r="A54" s="1067" t="s">
        <v>203</v>
      </c>
      <c r="B54" s="1067" t="s">
        <v>45</v>
      </c>
      <c r="C54" s="1067">
        <v>1304</v>
      </c>
    </row>
    <row r="55" spans="1:3" x14ac:dyDescent="0.25">
      <c r="A55" s="1067" t="s">
        <v>203</v>
      </c>
      <c r="B55" s="1067" t="s">
        <v>38</v>
      </c>
      <c r="C55" s="1067">
        <v>1303</v>
      </c>
    </row>
    <row r="56" spans="1:3" x14ac:dyDescent="0.25">
      <c r="A56" s="1067" t="s">
        <v>203</v>
      </c>
      <c r="B56" s="1067" t="s">
        <v>40</v>
      </c>
      <c r="C56" s="1067">
        <v>1248</v>
      </c>
    </row>
    <row r="57" spans="1:3" x14ac:dyDescent="0.25">
      <c r="A57" s="1067" t="s">
        <v>203</v>
      </c>
      <c r="B57" s="1067" t="s">
        <v>41</v>
      </c>
      <c r="C57" s="1067">
        <v>1235</v>
      </c>
    </row>
    <row r="58" spans="1:3" x14ac:dyDescent="0.25">
      <c r="A58" s="1067" t="s">
        <v>203</v>
      </c>
      <c r="B58" s="1067" t="s">
        <v>34</v>
      </c>
      <c r="C58" s="1067">
        <v>1178</v>
      </c>
    </row>
    <row r="59" spans="1:3" x14ac:dyDescent="0.25">
      <c r="A59" s="1067" t="s">
        <v>203</v>
      </c>
      <c r="B59" s="1067" t="s">
        <v>56</v>
      </c>
      <c r="C59" s="1067">
        <v>1125</v>
      </c>
    </row>
    <row r="60" spans="1:3" x14ac:dyDescent="0.25">
      <c r="A60" s="1067" t="s">
        <v>203</v>
      </c>
      <c r="B60" s="1067" t="s">
        <v>39</v>
      </c>
      <c r="C60" s="1067">
        <v>1101</v>
      </c>
    </row>
    <row r="61" spans="1:3" x14ac:dyDescent="0.25">
      <c r="A61" s="1067" t="s">
        <v>203</v>
      </c>
      <c r="B61" s="1067" t="s">
        <v>58</v>
      </c>
      <c r="C61" s="1067">
        <v>1019</v>
      </c>
    </row>
    <row r="62" spans="1:3" x14ac:dyDescent="0.25">
      <c r="A62" s="1067" t="s">
        <v>203</v>
      </c>
      <c r="B62" s="1067" t="s">
        <v>46</v>
      </c>
      <c r="C62" s="1067">
        <v>970</v>
      </c>
    </row>
    <row r="63" spans="1:3" x14ac:dyDescent="0.25">
      <c r="A63" s="1067" t="s">
        <v>203</v>
      </c>
      <c r="B63" s="1067" t="s">
        <v>59</v>
      </c>
      <c r="C63" s="1067">
        <v>921</v>
      </c>
    </row>
    <row r="64" spans="1:3" x14ac:dyDescent="0.25">
      <c r="A64" s="1067" t="s">
        <v>203</v>
      </c>
      <c r="B64" s="1067" t="s">
        <v>35</v>
      </c>
      <c r="C64" s="1067">
        <v>784</v>
      </c>
    </row>
    <row r="65" spans="1:3" x14ac:dyDescent="0.25">
      <c r="A65" s="1067" t="s">
        <v>203</v>
      </c>
      <c r="B65" s="1067" t="s">
        <v>47</v>
      </c>
      <c r="C65" s="1067">
        <v>728</v>
      </c>
    </row>
    <row r="66" spans="1:3" x14ac:dyDescent="0.25">
      <c r="A66" s="1067" t="s">
        <v>203</v>
      </c>
      <c r="B66" s="1067" t="s">
        <v>48</v>
      </c>
      <c r="C66" s="1067">
        <v>292</v>
      </c>
    </row>
    <row r="67" spans="1:3" x14ac:dyDescent="0.25">
      <c r="A67" s="1067" t="s">
        <v>203</v>
      </c>
      <c r="B67" s="1067" t="s">
        <v>51</v>
      </c>
      <c r="C67" s="1067">
        <v>248</v>
      </c>
    </row>
    <row r="68" spans="1:3" x14ac:dyDescent="0.25">
      <c r="A68" s="1067" t="s">
        <v>203</v>
      </c>
      <c r="B68" s="1067" t="s">
        <v>55</v>
      </c>
      <c r="C68" s="1067">
        <v>223</v>
      </c>
    </row>
    <row r="69" spans="1:3" x14ac:dyDescent="0.25">
      <c r="A69" s="1067" t="s">
        <v>202</v>
      </c>
      <c r="B69" s="1067" t="s">
        <v>43</v>
      </c>
      <c r="C69" s="1067">
        <v>7078</v>
      </c>
    </row>
    <row r="70" spans="1:3" x14ac:dyDescent="0.25">
      <c r="A70" s="1067" t="s">
        <v>202</v>
      </c>
      <c r="B70" s="1067" t="s">
        <v>121</v>
      </c>
      <c r="C70" s="1067">
        <v>6386</v>
      </c>
    </row>
    <row r="71" spans="1:3" x14ac:dyDescent="0.25">
      <c r="A71" s="1067" t="s">
        <v>202</v>
      </c>
      <c r="B71" s="1067" t="s">
        <v>258</v>
      </c>
      <c r="C71" s="1067">
        <v>5305</v>
      </c>
    </row>
    <row r="72" spans="1:3" x14ac:dyDescent="0.25">
      <c r="A72" s="1067" t="s">
        <v>202</v>
      </c>
      <c r="B72" s="1067" t="s">
        <v>37</v>
      </c>
      <c r="C72" s="1067">
        <v>4351</v>
      </c>
    </row>
    <row r="73" spans="1:3" x14ac:dyDescent="0.25">
      <c r="A73" s="1067" t="s">
        <v>202</v>
      </c>
      <c r="B73" s="1067" t="s">
        <v>50</v>
      </c>
      <c r="C73" s="1067">
        <v>4159</v>
      </c>
    </row>
    <row r="74" spans="1:3" x14ac:dyDescent="0.25">
      <c r="A74" s="1067" t="s">
        <v>202</v>
      </c>
      <c r="B74" s="1067" t="s">
        <v>44</v>
      </c>
      <c r="C74" s="1067">
        <v>3678</v>
      </c>
    </row>
    <row r="75" spans="1:3" x14ac:dyDescent="0.25">
      <c r="A75" s="1067" t="s">
        <v>202</v>
      </c>
      <c r="B75" s="1067" t="s">
        <v>57</v>
      </c>
      <c r="C75" s="1067">
        <v>3332</v>
      </c>
    </row>
    <row r="76" spans="1:3" x14ac:dyDescent="0.25">
      <c r="A76" s="1067" t="s">
        <v>202</v>
      </c>
      <c r="B76" s="1067" t="s">
        <v>31</v>
      </c>
      <c r="C76" s="1067">
        <v>2646</v>
      </c>
    </row>
    <row r="77" spans="1:3" x14ac:dyDescent="0.25">
      <c r="A77" s="1067" t="s">
        <v>202</v>
      </c>
      <c r="B77" s="1067" t="s">
        <v>54</v>
      </c>
      <c r="C77" s="1067">
        <v>2543</v>
      </c>
    </row>
    <row r="78" spans="1:3" x14ac:dyDescent="0.25">
      <c r="A78" s="1067" t="s">
        <v>202</v>
      </c>
      <c r="B78" s="1067" t="s">
        <v>33</v>
      </c>
      <c r="C78" s="1067">
        <v>2170</v>
      </c>
    </row>
    <row r="79" spans="1:3" x14ac:dyDescent="0.25">
      <c r="A79" s="1067" t="s">
        <v>202</v>
      </c>
      <c r="B79" s="1067" t="s">
        <v>36</v>
      </c>
      <c r="C79" s="1067">
        <v>2154</v>
      </c>
    </row>
    <row r="80" spans="1:3" x14ac:dyDescent="0.25">
      <c r="A80" s="1067" t="s">
        <v>202</v>
      </c>
      <c r="B80" s="1067" t="s">
        <v>49</v>
      </c>
      <c r="C80" s="1067">
        <v>2069</v>
      </c>
    </row>
    <row r="81" spans="1:3" x14ac:dyDescent="0.25">
      <c r="A81" s="1067" t="s">
        <v>202</v>
      </c>
      <c r="B81" s="1067" t="s">
        <v>52</v>
      </c>
      <c r="C81" s="1067">
        <v>1997</v>
      </c>
    </row>
    <row r="82" spans="1:3" x14ac:dyDescent="0.25">
      <c r="A82" s="1067" t="s">
        <v>202</v>
      </c>
      <c r="B82" s="1067" t="s">
        <v>32</v>
      </c>
      <c r="C82" s="1067">
        <v>1932</v>
      </c>
    </row>
    <row r="83" spans="1:3" x14ac:dyDescent="0.25">
      <c r="A83" s="1067" t="s">
        <v>202</v>
      </c>
      <c r="B83" s="1067" t="s">
        <v>60</v>
      </c>
      <c r="C83" s="1067">
        <v>1871</v>
      </c>
    </row>
    <row r="84" spans="1:3" x14ac:dyDescent="0.25">
      <c r="A84" s="1067" t="s">
        <v>202</v>
      </c>
      <c r="B84" s="1067" t="s">
        <v>53</v>
      </c>
      <c r="C84" s="1067">
        <v>1738</v>
      </c>
    </row>
    <row r="85" spans="1:3" x14ac:dyDescent="0.25">
      <c r="A85" s="1067" t="s">
        <v>202</v>
      </c>
      <c r="B85" s="1067" t="s">
        <v>42</v>
      </c>
      <c r="C85" s="1067">
        <v>1705</v>
      </c>
    </row>
    <row r="86" spans="1:3" x14ac:dyDescent="0.25">
      <c r="A86" s="1067" t="s">
        <v>202</v>
      </c>
      <c r="B86" s="1067" t="s">
        <v>45</v>
      </c>
      <c r="C86" s="1067">
        <v>1694</v>
      </c>
    </row>
    <row r="87" spans="1:3" x14ac:dyDescent="0.25">
      <c r="A87" s="1067" t="s">
        <v>202</v>
      </c>
      <c r="B87" s="1067" t="s">
        <v>41</v>
      </c>
      <c r="C87" s="1067">
        <v>1693</v>
      </c>
    </row>
    <row r="88" spans="1:3" x14ac:dyDescent="0.25">
      <c r="A88" s="1067" t="s">
        <v>202</v>
      </c>
      <c r="B88" s="1067" t="s">
        <v>34</v>
      </c>
      <c r="C88" s="1067">
        <v>1647</v>
      </c>
    </row>
    <row r="89" spans="1:3" x14ac:dyDescent="0.25">
      <c r="A89" s="1067" t="s">
        <v>202</v>
      </c>
      <c r="B89" s="1067" t="s">
        <v>39</v>
      </c>
      <c r="C89" s="1067">
        <v>1455</v>
      </c>
    </row>
    <row r="90" spans="1:3" x14ac:dyDescent="0.25">
      <c r="A90" s="1067" t="s">
        <v>202</v>
      </c>
      <c r="B90" s="1067" t="s">
        <v>40</v>
      </c>
      <c r="C90" s="1067">
        <v>1420</v>
      </c>
    </row>
    <row r="91" spans="1:3" x14ac:dyDescent="0.25">
      <c r="A91" s="1067" t="s">
        <v>202</v>
      </c>
      <c r="B91" s="1067" t="s">
        <v>59</v>
      </c>
      <c r="C91" s="1067">
        <v>1404</v>
      </c>
    </row>
    <row r="92" spans="1:3" x14ac:dyDescent="0.25">
      <c r="A92" s="1067" t="s">
        <v>202</v>
      </c>
      <c r="B92" s="1067" t="s">
        <v>56</v>
      </c>
      <c r="C92" s="1067">
        <v>1388</v>
      </c>
    </row>
    <row r="93" spans="1:3" x14ac:dyDescent="0.25">
      <c r="A93" s="1067" t="s">
        <v>202</v>
      </c>
      <c r="B93" s="1067" t="s">
        <v>38</v>
      </c>
      <c r="C93" s="1067">
        <v>1338</v>
      </c>
    </row>
    <row r="94" spans="1:3" x14ac:dyDescent="0.25">
      <c r="A94" s="1067" t="s">
        <v>202</v>
      </c>
      <c r="B94" s="1067" t="s">
        <v>46</v>
      </c>
      <c r="C94" s="1067">
        <v>1101</v>
      </c>
    </row>
    <row r="95" spans="1:3" x14ac:dyDescent="0.25">
      <c r="A95" s="1067" t="s">
        <v>202</v>
      </c>
      <c r="B95" s="1067" t="s">
        <v>58</v>
      </c>
      <c r="C95" s="1067">
        <v>1011</v>
      </c>
    </row>
    <row r="96" spans="1:3" x14ac:dyDescent="0.25">
      <c r="A96" s="1067" t="s">
        <v>202</v>
      </c>
      <c r="B96" s="1067" t="s">
        <v>47</v>
      </c>
      <c r="C96" s="1067">
        <v>905</v>
      </c>
    </row>
    <row r="97" spans="1:3" x14ac:dyDescent="0.25">
      <c r="A97" s="1067" t="s">
        <v>202</v>
      </c>
      <c r="B97" s="1067" t="s">
        <v>35</v>
      </c>
      <c r="C97" s="1067">
        <v>625</v>
      </c>
    </row>
    <row r="98" spans="1:3" x14ac:dyDescent="0.25">
      <c r="A98" s="1067" t="s">
        <v>202</v>
      </c>
      <c r="B98" s="1067" t="s">
        <v>51</v>
      </c>
      <c r="C98" s="1067">
        <v>326</v>
      </c>
    </row>
    <row r="99" spans="1:3" x14ac:dyDescent="0.25">
      <c r="A99" s="1067" t="s">
        <v>202</v>
      </c>
      <c r="B99" s="1067" t="s">
        <v>48</v>
      </c>
      <c r="C99" s="1067">
        <v>319</v>
      </c>
    </row>
    <row r="100" spans="1:3" x14ac:dyDescent="0.25">
      <c r="A100" s="1067" t="s">
        <v>202</v>
      </c>
      <c r="B100" s="1067" t="s">
        <v>55</v>
      </c>
      <c r="C100" s="1067">
        <v>277</v>
      </c>
    </row>
    <row r="101" spans="1:3" x14ac:dyDescent="0.25">
      <c r="A101" s="1067" t="s">
        <v>273</v>
      </c>
      <c r="B101" s="1067" t="s">
        <v>43</v>
      </c>
      <c r="C101" s="1067">
        <v>6455</v>
      </c>
    </row>
    <row r="102" spans="1:3" x14ac:dyDescent="0.25">
      <c r="A102" s="1067" t="s">
        <v>273</v>
      </c>
      <c r="B102" s="1067" t="s">
        <v>121</v>
      </c>
      <c r="C102" s="1067">
        <v>5985</v>
      </c>
    </row>
    <row r="103" spans="1:3" x14ac:dyDescent="0.25">
      <c r="A103" s="1067" t="s">
        <v>273</v>
      </c>
      <c r="B103" s="1067" t="s">
        <v>258</v>
      </c>
      <c r="C103" s="1067">
        <v>5039</v>
      </c>
    </row>
    <row r="104" spans="1:3" x14ac:dyDescent="0.25">
      <c r="A104" s="1067" t="s">
        <v>273</v>
      </c>
      <c r="B104" s="1067" t="s">
        <v>44</v>
      </c>
      <c r="C104" s="1067">
        <v>4654</v>
      </c>
    </row>
    <row r="105" spans="1:3" x14ac:dyDescent="0.25">
      <c r="A105" s="1067" t="s">
        <v>273</v>
      </c>
      <c r="B105" s="1067" t="s">
        <v>37</v>
      </c>
      <c r="C105" s="1067">
        <v>3924</v>
      </c>
    </row>
    <row r="106" spans="1:3" x14ac:dyDescent="0.25">
      <c r="A106" s="1067" t="s">
        <v>273</v>
      </c>
      <c r="B106" s="1067" t="s">
        <v>50</v>
      </c>
      <c r="C106" s="1067">
        <v>3484</v>
      </c>
    </row>
    <row r="107" spans="1:3" x14ac:dyDescent="0.25">
      <c r="A107" s="1067" t="s">
        <v>273</v>
      </c>
      <c r="B107" s="1067" t="s">
        <v>57</v>
      </c>
      <c r="C107" s="1067">
        <v>3395</v>
      </c>
    </row>
    <row r="108" spans="1:3" x14ac:dyDescent="0.25">
      <c r="A108" s="1067" t="s">
        <v>273</v>
      </c>
      <c r="B108" s="1067" t="s">
        <v>54</v>
      </c>
      <c r="C108" s="1067">
        <v>2837</v>
      </c>
    </row>
    <row r="109" spans="1:3" x14ac:dyDescent="0.25">
      <c r="A109" s="1067" t="s">
        <v>273</v>
      </c>
      <c r="B109" s="1067" t="s">
        <v>32</v>
      </c>
      <c r="C109" s="1067">
        <v>2334</v>
      </c>
    </row>
    <row r="110" spans="1:3" x14ac:dyDescent="0.25">
      <c r="A110" s="1067" t="s">
        <v>273</v>
      </c>
      <c r="B110" s="1067" t="s">
        <v>53</v>
      </c>
      <c r="C110" s="1067">
        <v>2135</v>
      </c>
    </row>
    <row r="111" spans="1:3" x14ac:dyDescent="0.25">
      <c r="A111" s="1067" t="s">
        <v>273</v>
      </c>
      <c r="B111" s="1067" t="s">
        <v>36</v>
      </c>
      <c r="C111" s="1067">
        <v>2110</v>
      </c>
    </row>
    <row r="112" spans="1:3" x14ac:dyDescent="0.25">
      <c r="A112" s="1067" t="s">
        <v>273</v>
      </c>
      <c r="B112" s="1067" t="s">
        <v>33</v>
      </c>
      <c r="C112" s="1067">
        <v>2027</v>
      </c>
    </row>
    <row r="113" spans="1:3" x14ac:dyDescent="0.25">
      <c r="A113" s="1067" t="s">
        <v>273</v>
      </c>
      <c r="B113" s="1067" t="s">
        <v>49</v>
      </c>
      <c r="C113" s="1067">
        <v>1958</v>
      </c>
    </row>
    <row r="114" spans="1:3" x14ac:dyDescent="0.25">
      <c r="A114" s="1067" t="s">
        <v>273</v>
      </c>
      <c r="B114" s="1067" t="s">
        <v>52</v>
      </c>
      <c r="C114" s="1067">
        <v>1955</v>
      </c>
    </row>
    <row r="115" spans="1:3" x14ac:dyDescent="0.25">
      <c r="A115" s="1067" t="s">
        <v>273</v>
      </c>
      <c r="B115" s="1067" t="s">
        <v>31</v>
      </c>
      <c r="C115" s="1067">
        <v>1893</v>
      </c>
    </row>
    <row r="116" spans="1:3" x14ac:dyDescent="0.25">
      <c r="A116" s="1067" t="s">
        <v>273</v>
      </c>
      <c r="B116" s="1067" t="s">
        <v>45</v>
      </c>
      <c r="C116" s="1067">
        <v>1800</v>
      </c>
    </row>
    <row r="117" spans="1:3" x14ac:dyDescent="0.25">
      <c r="A117" s="1067" t="s">
        <v>273</v>
      </c>
      <c r="B117" s="1067" t="s">
        <v>47</v>
      </c>
      <c r="C117" s="1067">
        <v>1784</v>
      </c>
    </row>
    <row r="118" spans="1:3" x14ac:dyDescent="0.25">
      <c r="A118" s="1067" t="s">
        <v>273</v>
      </c>
      <c r="B118" s="1067" t="s">
        <v>60</v>
      </c>
      <c r="C118" s="1067">
        <v>1738</v>
      </c>
    </row>
    <row r="119" spans="1:3" x14ac:dyDescent="0.25">
      <c r="A119" s="1067" t="s">
        <v>273</v>
      </c>
      <c r="B119" s="1067" t="s">
        <v>59</v>
      </c>
      <c r="C119" s="1067">
        <v>1593</v>
      </c>
    </row>
    <row r="120" spans="1:3" x14ac:dyDescent="0.25">
      <c r="A120" s="1067" t="s">
        <v>273</v>
      </c>
      <c r="B120" s="1067" t="s">
        <v>41</v>
      </c>
      <c r="C120" s="1067">
        <v>1560</v>
      </c>
    </row>
    <row r="121" spans="1:3" x14ac:dyDescent="0.25">
      <c r="A121" s="1067" t="s">
        <v>273</v>
      </c>
      <c r="B121" s="1067" t="s">
        <v>34</v>
      </c>
      <c r="C121" s="1067">
        <v>1555</v>
      </c>
    </row>
    <row r="122" spans="1:3" x14ac:dyDescent="0.25">
      <c r="A122" s="1067" t="s">
        <v>273</v>
      </c>
      <c r="B122" s="1067" t="s">
        <v>42</v>
      </c>
      <c r="C122" s="1067">
        <v>1550</v>
      </c>
    </row>
    <row r="123" spans="1:3" x14ac:dyDescent="0.25">
      <c r="A123" s="1067" t="s">
        <v>273</v>
      </c>
      <c r="B123" s="1067" t="s">
        <v>56</v>
      </c>
      <c r="C123" s="1067">
        <v>1475</v>
      </c>
    </row>
    <row r="124" spans="1:3" x14ac:dyDescent="0.25">
      <c r="A124" s="1067" t="s">
        <v>273</v>
      </c>
      <c r="B124" s="1067" t="s">
        <v>39</v>
      </c>
      <c r="C124" s="1067">
        <v>1379</v>
      </c>
    </row>
    <row r="125" spans="1:3" x14ac:dyDescent="0.25">
      <c r="A125" s="1067" t="s">
        <v>273</v>
      </c>
      <c r="B125" s="1067" t="s">
        <v>38</v>
      </c>
      <c r="C125" s="1067">
        <v>1255</v>
      </c>
    </row>
    <row r="126" spans="1:3" x14ac:dyDescent="0.25">
      <c r="A126" s="1067" t="s">
        <v>273</v>
      </c>
      <c r="B126" s="1067" t="s">
        <v>40</v>
      </c>
      <c r="C126" s="1067">
        <v>1174</v>
      </c>
    </row>
    <row r="127" spans="1:3" x14ac:dyDescent="0.25">
      <c r="A127" s="1067" t="s">
        <v>273</v>
      </c>
      <c r="B127" s="1067" t="s">
        <v>58</v>
      </c>
      <c r="C127" s="1067">
        <v>1056</v>
      </c>
    </row>
    <row r="128" spans="1:3" x14ac:dyDescent="0.25">
      <c r="A128" s="1067" t="s">
        <v>273</v>
      </c>
      <c r="B128" s="1067" t="s">
        <v>46</v>
      </c>
      <c r="C128" s="1067">
        <v>966</v>
      </c>
    </row>
    <row r="129" spans="1:3" x14ac:dyDescent="0.25">
      <c r="A129" s="1067" t="s">
        <v>273</v>
      </c>
      <c r="B129" s="1067" t="s">
        <v>35</v>
      </c>
      <c r="C129" s="1067">
        <v>631</v>
      </c>
    </row>
    <row r="130" spans="1:3" x14ac:dyDescent="0.25">
      <c r="A130" s="1067" t="s">
        <v>273</v>
      </c>
      <c r="B130" s="1067" t="s">
        <v>51</v>
      </c>
      <c r="C130" s="1067">
        <v>388</v>
      </c>
    </row>
    <row r="131" spans="1:3" x14ac:dyDescent="0.25">
      <c r="A131" s="1067" t="s">
        <v>273</v>
      </c>
      <c r="B131" s="1067" t="s">
        <v>55</v>
      </c>
      <c r="C131" s="1067">
        <v>369</v>
      </c>
    </row>
    <row r="132" spans="1:3" x14ac:dyDescent="0.25">
      <c r="A132" s="1067" t="s">
        <v>273</v>
      </c>
      <c r="B132" s="1067" t="s">
        <v>48</v>
      </c>
      <c r="C132" s="1067">
        <v>343</v>
      </c>
    </row>
    <row r="133" spans="1:3" x14ac:dyDescent="0.25">
      <c r="A133" s="1067" t="s">
        <v>255</v>
      </c>
      <c r="B133" s="1067" t="s">
        <v>121</v>
      </c>
      <c r="C133" s="1067">
        <v>8032</v>
      </c>
    </row>
    <row r="134" spans="1:3" x14ac:dyDescent="0.25">
      <c r="A134" s="1067" t="s">
        <v>255</v>
      </c>
      <c r="B134" s="1067" t="s">
        <v>43</v>
      </c>
      <c r="C134" s="1067">
        <v>6540</v>
      </c>
    </row>
    <row r="135" spans="1:3" x14ac:dyDescent="0.25">
      <c r="A135" s="1067" t="s">
        <v>255</v>
      </c>
      <c r="B135" s="1067" t="s">
        <v>44</v>
      </c>
      <c r="C135" s="1067">
        <v>5214</v>
      </c>
    </row>
    <row r="136" spans="1:3" x14ac:dyDescent="0.25">
      <c r="A136" s="1067" t="s">
        <v>255</v>
      </c>
      <c r="B136" s="1067" t="s">
        <v>258</v>
      </c>
      <c r="C136" s="1067">
        <v>4600</v>
      </c>
    </row>
    <row r="137" spans="1:3" x14ac:dyDescent="0.25">
      <c r="A137" s="1067" t="s">
        <v>255</v>
      </c>
      <c r="B137" s="1067" t="s">
        <v>57</v>
      </c>
      <c r="C137" s="1067">
        <v>3516</v>
      </c>
    </row>
    <row r="138" spans="1:3" x14ac:dyDescent="0.25">
      <c r="A138" s="1067" t="s">
        <v>255</v>
      </c>
      <c r="B138" s="1067" t="s">
        <v>50</v>
      </c>
      <c r="C138" s="1067">
        <v>3317</v>
      </c>
    </row>
    <row r="139" spans="1:3" x14ac:dyDescent="0.25">
      <c r="A139" s="1067" t="s">
        <v>255</v>
      </c>
      <c r="B139" s="1067" t="s">
        <v>37</v>
      </c>
      <c r="C139" s="1067">
        <v>2966</v>
      </c>
    </row>
    <row r="140" spans="1:3" x14ac:dyDescent="0.25">
      <c r="A140" s="1067" t="s">
        <v>255</v>
      </c>
      <c r="B140" s="1067" t="s">
        <v>53</v>
      </c>
      <c r="C140" s="1067">
        <v>2548</v>
      </c>
    </row>
    <row r="141" spans="1:3" x14ac:dyDescent="0.25">
      <c r="A141" s="1067" t="s">
        <v>255</v>
      </c>
      <c r="B141" s="1067" t="s">
        <v>54</v>
      </c>
      <c r="C141" s="1067">
        <v>2384</v>
      </c>
    </row>
    <row r="142" spans="1:3" x14ac:dyDescent="0.25">
      <c r="A142" s="1067" t="s">
        <v>255</v>
      </c>
      <c r="B142" s="1067" t="s">
        <v>31</v>
      </c>
      <c r="C142" s="1067">
        <v>2147</v>
      </c>
    </row>
    <row r="143" spans="1:3" x14ac:dyDescent="0.25">
      <c r="A143" s="1067" t="s">
        <v>255</v>
      </c>
      <c r="B143" s="1067" t="s">
        <v>32</v>
      </c>
      <c r="C143" s="1067">
        <v>2140</v>
      </c>
    </row>
    <row r="144" spans="1:3" x14ac:dyDescent="0.25">
      <c r="A144" s="1067" t="s">
        <v>255</v>
      </c>
      <c r="B144" s="1067" t="s">
        <v>60</v>
      </c>
      <c r="C144" s="1067">
        <v>2056</v>
      </c>
    </row>
    <row r="145" spans="1:3" x14ac:dyDescent="0.25">
      <c r="A145" s="1067" t="s">
        <v>255</v>
      </c>
      <c r="B145" s="1067" t="s">
        <v>36</v>
      </c>
      <c r="C145" s="1067">
        <v>1951</v>
      </c>
    </row>
    <row r="146" spans="1:3" x14ac:dyDescent="0.25">
      <c r="A146" s="1067" t="s">
        <v>255</v>
      </c>
      <c r="B146" s="1067" t="s">
        <v>49</v>
      </c>
      <c r="C146" s="1067">
        <v>1737</v>
      </c>
    </row>
    <row r="147" spans="1:3" x14ac:dyDescent="0.25">
      <c r="A147" s="1067" t="s">
        <v>255</v>
      </c>
      <c r="B147" s="1067" t="s">
        <v>34</v>
      </c>
      <c r="C147" s="1067">
        <v>1680</v>
      </c>
    </row>
    <row r="148" spans="1:3" x14ac:dyDescent="0.25">
      <c r="A148" s="1067" t="s">
        <v>255</v>
      </c>
      <c r="B148" s="1067" t="s">
        <v>59</v>
      </c>
      <c r="C148" s="1067">
        <v>1675</v>
      </c>
    </row>
    <row r="149" spans="1:3" x14ac:dyDescent="0.25">
      <c r="A149" s="1067" t="s">
        <v>255</v>
      </c>
      <c r="B149" s="1067" t="s">
        <v>42</v>
      </c>
      <c r="C149" s="1067">
        <v>1595</v>
      </c>
    </row>
    <row r="150" spans="1:3" x14ac:dyDescent="0.25">
      <c r="A150" s="1067" t="s">
        <v>255</v>
      </c>
      <c r="B150" s="1067" t="s">
        <v>33</v>
      </c>
      <c r="C150" s="1067">
        <v>1590</v>
      </c>
    </row>
    <row r="151" spans="1:3" x14ac:dyDescent="0.25">
      <c r="A151" s="1067" t="s">
        <v>255</v>
      </c>
      <c r="B151" s="1067" t="s">
        <v>52</v>
      </c>
      <c r="C151" s="1067">
        <v>1498</v>
      </c>
    </row>
    <row r="152" spans="1:3" x14ac:dyDescent="0.25">
      <c r="A152" s="1067" t="s">
        <v>255</v>
      </c>
      <c r="B152" s="1067" t="s">
        <v>45</v>
      </c>
      <c r="C152" s="1067">
        <v>1476</v>
      </c>
    </row>
    <row r="153" spans="1:3" x14ac:dyDescent="0.25">
      <c r="A153" s="1067" t="s">
        <v>255</v>
      </c>
      <c r="B153" s="1067" t="s">
        <v>47</v>
      </c>
      <c r="C153" s="1067">
        <v>1435</v>
      </c>
    </row>
    <row r="154" spans="1:3" x14ac:dyDescent="0.25">
      <c r="A154" s="1067" t="s">
        <v>255</v>
      </c>
      <c r="B154" s="1067" t="s">
        <v>39</v>
      </c>
      <c r="C154" s="1067">
        <v>1405</v>
      </c>
    </row>
    <row r="155" spans="1:3" x14ac:dyDescent="0.25">
      <c r="A155" s="1067" t="s">
        <v>255</v>
      </c>
      <c r="B155" s="1067" t="s">
        <v>56</v>
      </c>
      <c r="C155" s="1067">
        <v>1308</v>
      </c>
    </row>
    <row r="156" spans="1:3" x14ac:dyDescent="0.25">
      <c r="A156" s="1067" t="s">
        <v>255</v>
      </c>
      <c r="B156" s="1067" t="s">
        <v>41</v>
      </c>
      <c r="C156" s="1067">
        <v>1266</v>
      </c>
    </row>
    <row r="157" spans="1:3" x14ac:dyDescent="0.25">
      <c r="A157" s="1067" t="s">
        <v>255</v>
      </c>
      <c r="B157" s="1067" t="s">
        <v>38</v>
      </c>
      <c r="C157" s="1067">
        <v>1149</v>
      </c>
    </row>
    <row r="158" spans="1:3" x14ac:dyDescent="0.25">
      <c r="A158" s="1067" t="s">
        <v>255</v>
      </c>
      <c r="B158" s="1067" t="s">
        <v>40</v>
      </c>
      <c r="C158" s="1067">
        <v>1034</v>
      </c>
    </row>
    <row r="159" spans="1:3" x14ac:dyDescent="0.25">
      <c r="A159" s="1067" t="s">
        <v>255</v>
      </c>
      <c r="B159" s="1067" t="s">
        <v>46</v>
      </c>
      <c r="C159" s="1067">
        <v>998</v>
      </c>
    </row>
    <row r="160" spans="1:3" x14ac:dyDescent="0.25">
      <c r="A160" s="1067" t="s">
        <v>255</v>
      </c>
      <c r="B160" s="1067" t="s">
        <v>58</v>
      </c>
      <c r="C160" s="1067">
        <v>960</v>
      </c>
    </row>
    <row r="161" spans="1:3" x14ac:dyDescent="0.25">
      <c r="A161" s="1067" t="s">
        <v>255</v>
      </c>
      <c r="B161" s="1067" t="s">
        <v>35</v>
      </c>
      <c r="C161" s="1067">
        <v>564</v>
      </c>
    </row>
    <row r="162" spans="1:3" x14ac:dyDescent="0.25">
      <c r="A162" s="1067" t="s">
        <v>255</v>
      </c>
      <c r="B162" s="1067" t="s">
        <v>51</v>
      </c>
      <c r="C162" s="1067">
        <v>376</v>
      </c>
    </row>
    <row r="163" spans="1:3" x14ac:dyDescent="0.25">
      <c r="A163" s="1067" t="s">
        <v>255</v>
      </c>
      <c r="B163" s="1067" t="s">
        <v>48</v>
      </c>
      <c r="C163" s="1067">
        <v>349</v>
      </c>
    </row>
    <row r="164" spans="1:3" x14ac:dyDescent="0.25">
      <c r="A164" s="1067" t="s">
        <v>255</v>
      </c>
      <c r="B164" s="1067" t="s">
        <v>55</v>
      </c>
      <c r="C164" s="1067">
        <v>325</v>
      </c>
    </row>
    <row r="165" spans="1:3" x14ac:dyDescent="0.25">
      <c r="A165" s="1067" t="s">
        <v>254</v>
      </c>
      <c r="B165" s="1067" t="s">
        <v>121</v>
      </c>
      <c r="C165" s="1067">
        <v>10053</v>
      </c>
    </row>
    <row r="166" spans="1:3" x14ac:dyDescent="0.25">
      <c r="A166" s="1067" t="s">
        <v>254</v>
      </c>
      <c r="B166" s="1067" t="s">
        <v>43</v>
      </c>
      <c r="C166" s="1067">
        <v>6207</v>
      </c>
    </row>
    <row r="167" spans="1:3" x14ac:dyDescent="0.25">
      <c r="A167" s="1067" t="s">
        <v>254</v>
      </c>
      <c r="B167" s="1067" t="s">
        <v>258</v>
      </c>
      <c r="C167" s="1067">
        <v>4460</v>
      </c>
    </row>
    <row r="168" spans="1:3" x14ac:dyDescent="0.25">
      <c r="A168" s="1067" t="s">
        <v>254</v>
      </c>
      <c r="B168" s="1067" t="s">
        <v>44</v>
      </c>
      <c r="C168" s="1067">
        <v>3782</v>
      </c>
    </row>
    <row r="169" spans="1:3" x14ac:dyDescent="0.25">
      <c r="A169" s="1067" t="s">
        <v>254</v>
      </c>
      <c r="B169" s="1067" t="s">
        <v>57</v>
      </c>
      <c r="C169" s="1067">
        <v>3545</v>
      </c>
    </row>
    <row r="170" spans="1:3" x14ac:dyDescent="0.25">
      <c r="A170" s="1067" t="s">
        <v>254</v>
      </c>
      <c r="B170" s="1067" t="s">
        <v>37</v>
      </c>
      <c r="C170" s="1067">
        <v>3394</v>
      </c>
    </row>
    <row r="171" spans="1:3" x14ac:dyDescent="0.25">
      <c r="A171" s="1067" t="s">
        <v>254</v>
      </c>
      <c r="B171" s="1067" t="s">
        <v>50</v>
      </c>
      <c r="C171" s="1067">
        <v>3267</v>
      </c>
    </row>
    <row r="172" spans="1:3" x14ac:dyDescent="0.25">
      <c r="A172" s="1067" t="s">
        <v>254</v>
      </c>
      <c r="B172" s="1067" t="s">
        <v>31</v>
      </c>
      <c r="C172" s="1067">
        <v>2745</v>
      </c>
    </row>
    <row r="173" spans="1:3" x14ac:dyDescent="0.25">
      <c r="A173" s="1067" t="s">
        <v>254</v>
      </c>
      <c r="B173" s="1067" t="s">
        <v>60</v>
      </c>
      <c r="C173" s="1067">
        <v>2321</v>
      </c>
    </row>
    <row r="174" spans="1:3" x14ac:dyDescent="0.25">
      <c r="A174" s="1067" t="s">
        <v>254</v>
      </c>
      <c r="B174" s="1067" t="s">
        <v>54</v>
      </c>
      <c r="C174" s="1067">
        <v>2128</v>
      </c>
    </row>
    <row r="175" spans="1:3" x14ac:dyDescent="0.25">
      <c r="A175" s="1067" t="s">
        <v>254</v>
      </c>
      <c r="B175" s="1067" t="s">
        <v>53</v>
      </c>
      <c r="C175" s="1067">
        <v>1887</v>
      </c>
    </row>
    <row r="176" spans="1:3" x14ac:dyDescent="0.25">
      <c r="A176" s="1067" t="s">
        <v>254</v>
      </c>
      <c r="B176" s="1067" t="s">
        <v>42</v>
      </c>
      <c r="C176" s="1067">
        <v>1859</v>
      </c>
    </row>
    <row r="177" spans="1:3" x14ac:dyDescent="0.25">
      <c r="A177" s="1067" t="s">
        <v>254</v>
      </c>
      <c r="B177" s="1067" t="s">
        <v>32</v>
      </c>
      <c r="C177" s="1067">
        <v>1770</v>
      </c>
    </row>
    <row r="178" spans="1:3" x14ac:dyDescent="0.25">
      <c r="A178" s="1067" t="s">
        <v>254</v>
      </c>
      <c r="B178" s="1067" t="s">
        <v>33</v>
      </c>
      <c r="C178" s="1067">
        <v>1768</v>
      </c>
    </row>
    <row r="179" spans="1:3" x14ac:dyDescent="0.25">
      <c r="A179" s="1067" t="s">
        <v>254</v>
      </c>
      <c r="B179" s="1067" t="s">
        <v>36</v>
      </c>
      <c r="C179" s="1067">
        <v>1749</v>
      </c>
    </row>
    <row r="180" spans="1:3" x14ac:dyDescent="0.25">
      <c r="A180" s="1067" t="s">
        <v>254</v>
      </c>
      <c r="B180" s="1067" t="s">
        <v>47</v>
      </c>
      <c r="C180" s="1067">
        <v>1665</v>
      </c>
    </row>
    <row r="181" spans="1:3" x14ac:dyDescent="0.25">
      <c r="A181" s="1067" t="s">
        <v>254</v>
      </c>
      <c r="B181" s="1067" t="s">
        <v>49</v>
      </c>
      <c r="C181" s="1067">
        <v>1580</v>
      </c>
    </row>
    <row r="182" spans="1:3" x14ac:dyDescent="0.25">
      <c r="A182" s="1067" t="s">
        <v>254</v>
      </c>
      <c r="B182" s="1067" t="s">
        <v>59</v>
      </c>
      <c r="C182" s="1067">
        <v>1564</v>
      </c>
    </row>
    <row r="183" spans="1:3" x14ac:dyDescent="0.25">
      <c r="A183" s="1067" t="s">
        <v>254</v>
      </c>
      <c r="B183" s="1067" t="s">
        <v>45</v>
      </c>
      <c r="C183" s="1067">
        <v>1529</v>
      </c>
    </row>
    <row r="184" spans="1:3" x14ac:dyDescent="0.25">
      <c r="A184" s="1067" t="s">
        <v>254</v>
      </c>
      <c r="B184" s="1067" t="s">
        <v>34</v>
      </c>
      <c r="C184" s="1067">
        <v>1470</v>
      </c>
    </row>
    <row r="185" spans="1:3" x14ac:dyDescent="0.25">
      <c r="A185" s="1067" t="s">
        <v>254</v>
      </c>
      <c r="B185" s="1067" t="s">
        <v>52</v>
      </c>
      <c r="C185" s="1067">
        <v>1469</v>
      </c>
    </row>
    <row r="186" spans="1:3" x14ac:dyDescent="0.25">
      <c r="A186" s="1067" t="s">
        <v>254</v>
      </c>
      <c r="B186" s="1067" t="s">
        <v>39</v>
      </c>
      <c r="C186" s="1067">
        <v>1232</v>
      </c>
    </row>
    <row r="187" spans="1:3" x14ac:dyDescent="0.25">
      <c r="A187" s="1067" t="s">
        <v>254</v>
      </c>
      <c r="B187" s="1067" t="s">
        <v>56</v>
      </c>
      <c r="C187" s="1067">
        <v>1124</v>
      </c>
    </row>
    <row r="188" spans="1:3" x14ac:dyDescent="0.25">
      <c r="A188" s="1067" t="s">
        <v>254</v>
      </c>
      <c r="B188" s="1067" t="s">
        <v>41</v>
      </c>
      <c r="C188" s="1067">
        <v>1096</v>
      </c>
    </row>
    <row r="189" spans="1:3" x14ac:dyDescent="0.25">
      <c r="A189" s="1067" t="s">
        <v>254</v>
      </c>
      <c r="B189" s="1067" t="s">
        <v>38</v>
      </c>
      <c r="C189" s="1067">
        <v>1077</v>
      </c>
    </row>
    <row r="190" spans="1:3" x14ac:dyDescent="0.25">
      <c r="A190" s="1067" t="s">
        <v>254</v>
      </c>
      <c r="B190" s="1067" t="s">
        <v>46</v>
      </c>
      <c r="C190" s="1067">
        <v>1000</v>
      </c>
    </row>
    <row r="191" spans="1:3" x14ac:dyDescent="0.25">
      <c r="A191" s="1067" t="s">
        <v>254</v>
      </c>
      <c r="B191" s="1067" t="s">
        <v>40</v>
      </c>
      <c r="C191" s="1067">
        <v>964</v>
      </c>
    </row>
    <row r="192" spans="1:3" x14ac:dyDescent="0.25">
      <c r="A192" s="1067" t="s">
        <v>254</v>
      </c>
      <c r="B192" s="1067" t="s">
        <v>58</v>
      </c>
      <c r="C192" s="1067">
        <v>934</v>
      </c>
    </row>
    <row r="193" spans="1:3" x14ac:dyDescent="0.25">
      <c r="A193" s="1067" t="s">
        <v>254</v>
      </c>
      <c r="B193" s="1067" t="s">
        <v>35</v>
      </c>
      <c r="C193" s="1067">
        <v>591</v>
      </c>
    </row>
    <row r="194" spans="1:3" x14ac:dyDescent="0.25">
      <c r="A194" s="1067" t="s">
        <v>254</v>
      </c>
      <c r="B194" s="1067" t="s">
        <v>48</v>
      </c>
      <c r="C194" s="1067">
        <v>386</v>
      </c>
    </row>
    <row r="195" spans="1:3" x14ac:dyDescent="0.25">
      <c r="A195" s="1067" t="s">
        <v>254</v>
      </c>
      <c r="B195" s="1067" t="s">
        <v>55</v>
      </c>
      <c r="C195" s="1067">
        <v>296</v>
      </c>
    </row>
    <row r="196" spans="1:3" x14ac:dyDescent="0.25">
      <c r="A196" s="1067" t="s">
        <v>254</v>
      </c>
      <c r="B196" s="1067" t="s">
        <v>51</v>
      </c>
      <c r="C196" s="1067">
        <v>290</v>
      </c>
    </row>
    <row r="197" spans="1:3" x14ac:dyDescent="0.25">
      <c r="A197" s="1067" t="s">
        <v>851</v>
      </c>
      <c r="B197" s="1067" t="s">
        <v>121</v>
      </c>
      <c r="C197" s="1067">
        <v>9938</v>
      </c>
    </row>
    <row r="198" spans="1:3" x14ac:dyDescent="0.25">
      <c r="A198" s="1067" t="s">
        <v>851</v>
      </c>
      <c r="B198" s="1067" t="s">
        <v>43</v>
      </c>
      <c r="C198" s="1067">
        <v>6440</v>
      </c>
    </row>
    <row r="199" spans="1:3" x14ac:dyDescent="0.25">
      <c r="A199" s="1067" t="s">
        <v>851</v>
      </c>
      <c r="B199" s="1067" t="s">
        <v>258</v>
      </c>
      <c r="C199" s="1067">
        <v>4941</v>
      </c>
    </row>
    <row r="200" spans="1:3" x14ac:dyDescent="0.25">
      <c r="A200" s="1067" t="s">
        <v>851</v>
      </c>
      <c r="B200" s="1067" t="s">
        <v>50</v>
      </c>
      <c r="C200" s="1067">
        <v>4243</v>
      </c>
    </row>
    <row r="201" spans="1:3" x14ac:dyDescent="0.25">
      <c r="A201" s="1067" t="s">
        <v>851</v>
      </c>
      <c r="B201" s="1067" t="s">
        <v>57</v>
      </c>
      <c r="C201" s="1067">
        <v>3709</v>
      </c>
    </row>
    <row r="202" spans="1:3" x14ac:dyDescent="0.25">
      <c r="A202" s="1067" t="s">
        <v>851</v>
      </c>
      <c r="B202" s="1067" t="s">
        <v>44</v>
      </c>
      <c r="C202" s="1067">
        <v>2866</v>
      </c>
    </row>
    <row r="203" spans="1:3" x14ac:dyDescent="0.25">
      <c r="A203" s="1067" t="s">
        <v>851</v>
      </c>
      <c r="B203" s="1067" t="s">
        <v>37</v>
      </c>
      <c r="C203" s="1067">
        <v>2721</v>
      </c>
    </row>
    <row r="204" spans="1:3" x14ac:dyDescent="0.25">
      <c r="A204" s="1067" t="s">
        <v>851</v>
      </c>
      <c r="B204" s="1067" t="s">
        <v>31</v>
      </c>
      <c r="C204" s="1067">
        <v>2664</v>
      </c>
    </row>
    <row r="205" spans="1:3" x14ac:dyDescent="0.25">
      <c r="A205" s="1067" t="s">
        <v>851</v>
      </c>
      <c r="B205" s="1067" t="s">
        <v>32</v>
      </c>
      <c r="C205" s="1067">
        <v>2278</v>
      </c>
    </row>
    <row r="206" spans="1:3" x14ac:dyDescent="0.25">
      <c r="A206" s="1067" t="s">
        <v>851</v>
      </c>
      <c r="B206" s="1067" t="s">
        <v>54</v>
      </c>
      <c r="C206" s="1067">
        <v>2256</v>
      </c>
    </row>
    <row r="207" spans="1:3" x14ac:dyDescent="0.25">
      <c r="A207" s="1067" t="s">
        <v>851</v>
      </c>
      <c r="B207" s="1067" t="s">
        <v>60</v>
      </c>
      <c r="C207" s="1067">
        <v>1851</v>
      </c>
    </row>
    <row r="208" spans="1:3" x14ac:dyDescent="0.25">
      <c r="A208" s="1067" t="s">
        <v>851</v>
      </c>
      <c r="B208" s="1067" t="s">
        <v>33</v>
      </c>
      <c r="C208" s="1067">
        <v>1798</v>
      </c>
    </row>
    <row r="209" spans="1:3" x14ac:dyDescent="0.25">
      <c r="A209" s="1067" t="s">
        <v>851</v>
      </c>
      <c r="B209" s="1067" t="s">
        <v>53</v>
      </c>
      <c r="C209" s="1067">
        <v>1797</v>
      </c>
    </row>
    <row r="210" spans="1:3" x14ac:dyDescent="0.25">
      <c r="A210" s="1067" t="s">
        <v>851</v>
      </c>
      <c r="B210" s="1067" t="s">
        <v>36</v>
      </c>
      <c r="C210" s="1067">
        <v>1709</v>
      </c>
    </row>
    <row r="211" spans="1:3" x14ac:dyDescent="0.25">
      <c r="A211" s="1067" t="s">
        <v>851</v>
      </c>
      <c r="B211" s="1067" t="s">
        <v>47</v>
      </c>
      <c r="C211" s="1067">
        <v>1688</v>
      </c>
    </row>
    <row r="212" spans="1:3" x14ac:dyDescent="0.25">
      <c r="A212" s="1067" t="s">
        <v>851</v>
      </c>
      <c r="B212" s="1067" t="s">
        <v>49</v>
      </c>
      <c r="C212" s="1067">
        <v>1685</v>
      </c>
    </row>
    <row r="213" spans="1:3" x14ac:dyDescent="0.25">
      <c r="A213" s="1067" t="s">
        <v>851</v>
      </c>
      <c r="B213" s="1067" t="s">
        <v>42</v>
      </c>
      <c r="C213" s="1067">
        <v>1685</v>
      </c>
    </row>
    <row r="214" spans="1:3" x14ac:dyDescent="0.25">
      <c r="A214" s="1067" t="s">
        <v>851</v>
      </c>
      <c r="B214" s="1067" t="s">
        <v>52</v>
      </c>
      <c r="C214" s="1067">
        <v>1554</v>
      </c>
    </row>
    <row r="215" spans="1:3" x14ac:dyDescent="0.25">
      <c r="A215" s="1067" t="s">
        <v>851</v>
      </c>
      <c r="B215" s="1067" t="s">
        <v>34</v>
      </c>
      <c r="C215" s="1067">
        <v>1523</v>
      </c>
    </row>
    <row r="216" spans="1:3" x14ac:dyDescent="0.25">
      <c r="A216" s="1067" t="s">
        <v>851</v>
      </c>
      <c r="B216" s="1067" t="s">
        <v>45</v>
      </c>
      <c r="C216" s="1067">
        <v>1403</v>
      </c>
    </row>
    <row r="217" spans="1:3" x14ac:dyDescent="0.25">
      <c r="A217" s="1067" t="s">
        <v>851</v>
      </c>
      <c r="B217" s="1067" t="s">
        <v>59</v>
      </c>
      <c r="C217" s="1067">
        <v>1399</v>
      </c>
    </row>
    <row r="218" spans="1:3" x14ac:dyDescent="0.25">
      <c r="A218" s="1067" t="s">
        <v>851</v>
      </c>
      <c r="B218" s="1067" t="s">
        <v>39</v>
      </c>
      <c r="C218" s="1067">
        <v>1318</v>
      </c>
    </row>
    <row r="219" spans="1:3" x14ac:dyDescent="0.25">
      <c r="A219" s="1067" t="s">
        <v>851</v>
      </c>
      <c r="B219" s="1067" t="s">
        <v>38</v>
      </c>
      <c r="C219" s="1067">
        <v>1103</v>
      </c>
    </row>
    <row r="220" spans="1:3" x14ac:dyDescent="0.25">
      <c r="A220" s="1067" t="s">
        <v>851</v>
      </c>
      <c r="B220" s="1067" t="s">
        <v>46</v>
      </c>
      <c r="C220" s="1067">
        <v>1007</v>
      </c>
    </row>
    <row r="221" spans="1:3" x14ac:dyDescent="0.25">
      <c r="A221" s="1067" t="s">
        <v>851</v>
      </c>
      <c r="B221" s="1067" t="s">
        <v>56</v>
      </c>
      <c r="C221" s="1067">
        <v>1001</v>
      </c>
    </row>
    <row r="222" spans="1:3" x14ac:dyDescent="0.25">
      <c r="A222" s="1067" t="s">
        <v>851</v>
      </c>
      <c r="B222" s="1067" t="s">
        <v>41</v>
      </c>
      <c r="C222" s="1067">
        <v>953</v>
      </c>
    </row>
    <row r="223" spans="1:3" x14ac:dyDescent="0.25">
      <c r="A223" s="1067" t="s">
        <v>851</v>
      </c>
      <c r="B223" s="1067" t="s">
        <v>40</v>
      </c>
      <c r="C223" s="1067">
        <v>902</v>
      </c>
    </row>
    <row r="224" spans="1:3" x14ac:dyDescent="0.25">
      <c r="A224" s="1067" t="s">
        <v>851</v>
      </c>
      <c r="B224" s="1067" t="s">
        <v>58</v>
      </c>
      <c r="C224" s="1067">
        <v>900</v>
      </c>
    </row>
    <row r="225" spans="1:3" x14ac:dyDescent="0.25">
      <c r="A225" s="1067" t="s">
        <v>851</v>
      </c>
      <c r="B225" s="1067" t="s">
        <v>35</v>
      </c>
      <c r="C225" s="1067">
        <v>671</v>
      </c>
    </row>
    <row r="226" spans="1:3" x14ac:dyDescent="0.25">
      <c r="A226" s="1067" t="s">
        <v>851</v>
      </c>
      <c r="B226" s="1067" t="s">
        <v>55</v>
      </c>
      <c r="C226" s="1067">
        <v>563</v>
      </c>
    </row>
    <row r="227" spans="1:3" x14ac:dyDescent="0.25">
      <c r="A227" s="1067" t="s">
        <v>851</v>
      </c>
      <c r="B227" s="1067" t="s">
        <v>51</v>
      </c>
      <c r="C227" s="1067">
        <v>359</v>
      </c>
    </row>
    <row r="228" spans="1:3" x14ac:dyDescent="0.25">
      <c r="A228" s="1067" t="s">
        <v>851</v>
      </c>
      <c r="B228" s="1067" t="s">
        <v>48</v>
      </c>
      <c r="C228" s="1067">
        <v>302</v>
      </c>
    </row>
  </sheetData>
  <sheetProtection algorithmName="SHA-512" hashValue="ts49GdYgjB7Zm4AtduFTQE+UFideD4+jFT5QujePqyISk+HSZEkWflEHkTdASaexo2SJHsO1oP9xCRri+hBEOQ==" saltValue="85/odPuMrpE3iTGOXBKgYg==" spinCount="100000" sheet="1" scenarios="1" formatCells="0" formatColumns="0" formatRows="0" sort="0" autoFilter="0" pivotTables="0"/>
  <pageMargins left="0.7" right="0.7" top="0.75" bottom="0.75" header="0.3" footer="0.3"/>
  <pageSetup paperSize="9" fitToHeight="5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C228"/>
  <sheetViews>
    <sheetView zoomScale="85" zoomScaleNormal="85" workbookViewId="0">
      <pane ySplit="4" topLeftCell="A5" activePane="bottomLeft" state="frozen"/>
      <selection pane="bottomLeft"/>
    </sheetView>
  </sheetViews>
  <sheetFormatPr defaultRowHeight="15" x14ac:dyDescent="0.25"/>
  <sheetData>
    <row r="4" spans="1:3" x14ac:dyDescent="0.25">
      <c r="A4" s="1066" t="s">
        <v>329</v>
      </c>
      <c r="B4" s="1066" t="s">
        <v>928</v>
      </c>
      <c r="C4" s="1066" t="s">
        <v>1300</v>
      </c>
    </row>
    <row r="5" spans="1:3" x14ac:dyDescent="0.25">
      <c r="A5" s="1067" t="s">
        <v>204</v>
      </c>
      <c r="B5" s="1067" t="s">
        <v>37</v>
      </c>
      <c r="C5" s="1067">
        <v>10.023</v>
      </c>
    </row>
    <row r="6" spans="1:3" x14ac:dyDescent="0.25">
      <c r="A6" s="1067" t="s">
        <v>204</v>
      </c>
      <c r="B6" s="1067" t="s">
        <v>33</v>
      </c>
      <c r="C6" s="1067">
        <v>6.7050000000000001</v>
      </c>
    </row>
    <row r="7" spans="1:3" x14ac:dyDescent="0.25">
      <c r="A7" s="1067" t="s">
        <v>204</v>
      </c>
      <c r="B7" s="1067" t="s">
        <v>52</v>
      </c>
      <c r="C7" s="1067">
        <v>6.24</v>
      </c>
    </row>
    <row r="8" spans="1:3" x14ac:dyDescent="0.25">
      <c r="A8" s="1067" t="s">
        <v>204</v>
      </c>
      <c r="B8" s="1067" t="s">
        <v>54</v>
      </c>
      <c r="C8" s="1067">
        <v>4.55</v>
      </c>
    </row>
    <row r="9" spans="1:3" x14ac:dyDescent="0.25">
      <c r="A9" s="1067" t="s">
        <v>204</v>
      </c>
      <c r="B9" s="1067" t="s">
        <v>43</v>
      </c>
      <c r="C9" s="1067">
        <v>3.8460000000000001</v>
      </c>
    </row>
    <row r="10" spans="1:3" x14ac:dyDescent="0.25">
      <c r="A10" s="1067" t="s">
        <v>204</v>
      </c>
      <c r="B10" s="1067" t="s">
        <v>35</v>
      </c>
      <c r="C10" s="1067">
        <v>3.649</v>
      </c>
    </row>
    <row r="11" spans="1:3" x14ac:dyDescent="0.25">
      <c r="A11" s="1067" t="s">
        <v>204</v>
      </c>
      <c r="B11" s="1067" t="s">
        <v>44</v>
      </c>
      <c r="C11" s="1067">
        <v>3.3719999999999999</v>
      </c>
    </row>
    <row r="12" spans="1:3" x14ac:dyDescent="0.25">
      <c r="A12" s="1067" t="s">
        <v>204</v>
      </c>
      <c r="B12" s="1067" t="s">
        <v>45</v>
      </c>
      <c r="C12" s="1067">
        <v>3.2069999999999999</v>
      </c>
    </row>
    <row r="13" spans="1:3" x14ac:dyDescent="0.25">
      <c r="A13" s="1067" t="s">
        <v>204</v>
      </c>
      <c r="B13" s="1067" t="s">
        <v>38</v>
      </c>
      <c r="C13" s="1067">
        <v>3.19</v>
      </c>
    </row>
    <row r="14" spans="1:3" x14ac:dyDescent="0.25">
      <c r="A14" s="1067" t="s">
        <v>204</v>
      </c>
      <c r="B14" s="1067" t="s">
        <v>55</v>
      </c>
      <c r="C14" s="1067">
        <v>2.6819999999999999</v>
      </c>
    </row>
    <row r="15" spans="1:3" x14ac:dyDescent="0.25">
      <c r="A15" s="1067" t="s">
        <v>204</v>
      </c>
      <c r="B15" s="1067" t="s">
        <v>46</v>
      </c>
      <c r="C15" s="1067">
        <v>2.613</v>
      </c>
    </row>
    <row r="16" spans="1:3" x14ac:dyDescent="0.25">
      <c r="A16" s="1067" t="s">
        <v>204</v>
      </c>
      <c r="B16" s="1067" t="s">
        <v>60</v>
      </c>
      <c r="C16" s="1067">
        <v>2.52</v>
      </c>
    </row>
    <row r="17" spans="1:3" x14ac:dyDescent="0.25">
      <c r="A17" s="1067" t="s">
        <v>204</v>
      </c>
      <c r="B17" s="1067" t="s">
        <v>41</v>
      </c>
      <c r="C17" s="1067">
        <v>2.4969999999999999</v>
      </c>
    </row>
    <row r="18" spans="1:3" x14ac:dyDescent="0.25">
      <c r="A18" s="1067" t="s">
        <v>204</v>
      </c>
      <c r="B18" s="1067" t="s">
        <v>51</v>
      </c>
      <c r="C18" s="1067">
        <v>2.4729999999999999</v>
      </c>
    </row>
    <row r="19" spans="1:3" x14ac:dyDescent="0.25">
      <c r="A19" s="1067" t="s">
        <v>204</v>
      </c>
      <c r="B19" s="1067" t="s">
        <v>49</v>
      </c>
      <c r="C19" s="1067">
        <v>2.4119999999999999</v>
      </c>
    </row>
    <row r="20" spans="1:3" x14ac:dyDescent="0.25">
      <c r="A20" s="1067" t="s">
        <v>204</v>
      </c>
      <c r="B20" s="1067" t="s">
        <v>48</v>
      </c>
      <c r="C20" s="1067">
        <v>2.4089999999999998</v>
      </c>
    </row>
    <row r="21" spans="1:3" x14ac:dyDescent="0.25">
      <c r="A21" s="1067" t="s">
        <v>204</v>
      </c>
      <c r="B21" s="1067" t="s">
        <v>42</v>
      </c>
      <c r="C21" s="1067">
        <v>2.3860000000000001</v>
      </c>
    </row>
    <row r="22" spans="1:3" x14ac:dyDescent="0.25">
      <c r="A22" s="1067" t="s">
        <v>204</v>
      </c>
      <c r="B22" s="1067" t="s">
        <v>258</v>
      </c>
      <c r="C22" s="1067">
        <v>2.2410000000000001</v>
      </c>
    </row>
    <row r="23" spans="1:3" x14ac:dyDescent="0.25">
      <c r="A23" s="1067" t="s">
        <v>204</v>
      </c>
      <c r="B23" s="1067" t="s">
        <v>53</v>
      </c>
      <c r="C23" s="1067">
        <v>2.2360000000000002</v>
      </c>
    </row>
    <row r="24" spans="1:3" x14ac:dyDescent="0.25">
      <c r="A24" s="1067" t="s">
        <v>204</v>
      </c>
      <c r="B24" s="1067" t="s">
        <v>40</v>
      </c>
      <c r="C24" s="1067">
        <v>2.2250000000000001</v>
      </c>
    </row>
    <row r="25" spans="1:3" x14ac:dyDescent="0.25">
      <c r="A25" s="1067" t="s">
        <v>204</v>
      </c>
      <c r="B25" s="1067" t="s">
        <v>58</v>
      </c>
      <c r="C25" s="1067">
        <v>2.1819999999999999</v>
      </c>
    </row>
    <row r="26" spans="1:3" x14ac:dyDescent="0.25">
      <c r="A26" s="1067" t="s">
        <v>204</v>
      </c>
      <c r="B26" s="1067" t="s">
        <v>31</v>
      </c>
      <c r="C26" s="1067">
        <v>2.12</v>
      </c>
    </row>
    <row r="27" spans="1:3" x14ac:dyDescent="0.25">
      <c r="A27" s="1067" t="s">
        <v>204</v>
      </c>
      <c r="B27" s="1067" t="s">
        <v>34</v>
      </c>
      <c r="C27" s="1067">
        <v>2.0830000000000002</v>
      </c>
    </row>
    <row r="28" spans="1:3" x14ac:dyDescent="0.25">
      <c r="A28" s="1067" t="s">
        <v>204</v>
      </c>
      <c r="B28" s="1067" t="s">
        <v>59</v>
      </c>
      <c r="C28" s="1067">
        <v>2.077</v>
      </c>
    </row>
    <row r="29" spans="1:3" x14ac:dyDescent="0.25">
      <c r="A29" s="1067" t="s">
        <v>204</v>
      </c>
      <c r="B29" s="1067" t="s">
        <v>121</v>
      </c>
      <c r="C29" s="1067">
        <v>2.0219999999999998</v>
      </c>
    </row>
    <row r="30" spans="1:3" x14ac:dyDescent="0.25">
      <c r="A30" s="1067" t="s">
        <v>204</v>
      </c>
      <c r="B30" s="1067" t="s">
        <v>36</v>
      </c>
      <c r="C30" s="1067">
        <v>1.9790000000000001</v>
      </c>
    </row>
    <row r="31" spans="1:3" x14ac:dyDescent="0.25">
      <c r="A31" s="1067" t="s">
        <v>204</v>
      </c>
      <c r="B31" s="1067" t="s">
        <v>57</v>
      </c>
      <c r="C31" s="1067">
        <v>1.9690000000000001</v>
      </c>
    </row>
    <row r="32" spans="1:3" x14ac:dyDescent="0.25">
      <c r="A32" s="1067" t="s">
        <v>204</v>
      </c>
      <c r="B32" s="1067" t="s">
        <v>56</v>
      </c>
      <c r="C32" s="1067">
        <v>1.9550000000000001</v>
      </c>
    </row>
    <row r="33" spans="1:3" x14ac:dyDescent="0.25">
      <c r="A33" s="1067" t="s">
        <v>204</v>
      </c>
      <c r="B33" s="1067" t="s">
        <v>39</v>
      </c>
      <c r="C33" s="1067">
        <v>1.919</v>
      </c>
    </row>
    <row r="34" spans="1:3" x14ac:dyDescent="0.25">
      <c r="A34" s="1067" t="s">
        <v>204</v>
      </c>
      <c r="B34" s="1067" t="s">
        <v>50</v>
      </c>
      <c r="C34" s="1067">
        <v>1.8819999999999999</v>
      </c>
    </row>
    <row r="35" spans="1:3" x14ac:dyDescent="0.25">
      <c r="A35" s="1067" t="s">
        <v>204</v>
      </c>
      <c r="B35" s="1067" t="s">
        <v>47</v>
      </c>
      <c r="C35" s="1067">
        <v>1.4510000000000001</v>
      </c>
    </row>
    <row r="36" spans="1:3" x14ac:dyDescent="0.25">
      <c r="A36" s="1067" t="s">
        <v>204</v>
      </c>
      <c r="B36" s="1067" t="s">
        <v>32</v>
      </c>
      <c r="C36" s="1067">
        <v>1.2010000000000001</v>
      </c>
    </row>
    <row r="37" spans="1:3" x14ac:dyDescent="0.25">
      <c r="A37" s="1067" t="s">
        <v>203</v>
      </c>
      <c r="B37" s="1067" t="s">
        <v>37</v>
      </c>
      <c r="C37" s="1067">
        <v>5.0640000000000001</v>
      </c>
    </row>
    <row r="38" spans="1:3" x14ac:dyDescent="0.25">
      <c r="A38" s="1067" t="s">
        <v>203</v>
      </c>
      <c r="B38" s="1067" t="s">
        <v>54</v>
      </c>
      <c r="C38" s="1067">
        <v>4.2309999999999999</v>
      </c>
    </row>
    <row r="39" spans="1:3" x14ac:dyDescent="0.25">
      <c r="A39" s="1067" t="s">
        <v>203</v>
      </c>
      <c r="B39" s="1067" t="s">
        <v>43</v>
      </c>
      <c r="C39" s="1067">
        <v>3.9820000000000002</v>
      </c>
    </row>
    <row r="40" spans="1:3" x14ac:dyDescent="0.25">
      <c r="A40" s="1067" t="s">
        <v>203</v>
      </c>
      <c r="B40" s="1067" t="s">
        <v>52</v>
      </c>
      <c r="C40" s="1067">
        <v>3.4449999999999998</v>
      </c>
    </row>
    <row r="41" spans="1:3" x14ac:dyDescent="0.25">
      <c r="A41" s="1067" t="s">
        <v>203</v>
      </c>
      <c r="B41" s="1067" t="s">
        <v>45</v>
      </c>
      <c r="C41" s="1067">
        <v>3.37</v>
      </c>
    </row>
    <row r="42" spans="1:3" x14ac:dyDescent="0.25">
      <c r="A42" s="1067" t="s">
        <v>203</v>
      </c>
      <c r="B42" s="1067" t="s">
        <v>33</v>
      </c>
      <c r="C42" s="1067">
        <v>3.335</v>
      </c>
    </row>
    <row r="43" spans="1:3" x14ac:dyDescent="0.25">
      <c r="A43" s="1067" t="s">
        <v>203</v>
      </c>
      <c r="B43" s="1067" t="s">
        <v>35</v>
      </c>
      <c r="C43" s="1067">
        <v>3.2669999999999999</v>
      </c>
    </row>
    <row r="44" spans="1:3" x14ac:dyDescent="0.25">
      <c r="A44" s="1067" t="s">
        <v>203</v>
      </c>
      <c r="B44" s="1067" t="s">
        <v>41</v>
      </c>
      <c r="C44" s="1067">
        <v>3.2629999999999999</v>
      </c>
    </row>
    <row r="45" spans="1:3" x14ac:dyDescent="0.25">
      <c r="A45" s="1067" t="s">
        <v>203</v>
      </c>
      <c r="B45" s="1067" t="s">
        <v>44</v>
      </c>
      <c r="C45" s="1067">
        <v>3.1280000000000001</v>
      </c>
    </row>
    <row r="46" spans="1:3" x14ac:dyDescent="0.25">
      <c r="A46" s="1067" t="s">
        <v>203</v>
      </c>
      <c r="B46" s="1067" t="s">
        <v>49</v>
      </c>
      <c r="C46" s="1067">
        <v>2.7749999999999999</v>
      </c>
    </row>
    <row r="47" spans="1:3" x14ac:dyDescent="0.25">
      <c r="A47" s="1067" t="s">
        <v>203</v>
      </c>
      <c r="B47" s="1067" t="s">
        <v>40</v>
      </c>
      <c r="C47" s="1067">
        <v>2.7149999999999999</v>
      </c>
    </row>
    <row r="48" spans="1:3" x14ac:dyDescent="0.25">
      <c r="A48" s="1067" t="s">
        <v>203</v>
      </c>
      <c r="B48" s="1067" t="s">
        <v>53</v>
      </c>
      <c r="C48" s="1067">
        <v>2.5499999999999998</v>
      </c>
    </row>
    <row r="49" spans="1:3" x14ac:dyDescent="0.25">
      <c r="A49" s="1067" t="s">
        <v>203</v>
      </c>
      <c r="B49" s="1067" t="s">
        <v>46</v>
      </c>
      <c r="C49" s="1067">
        <v>2.5419999999999998</v>
      </c>
    </row>
    <row r="50" spans="1:3" x14ac:dyDescent="0.25">
      <c r="A50" s="1067" t="s">
        <v>203</v>
      </c>
      <c r="B50" s="1067" t="s">
        <v>58</v>
      </c>
      <c r="C50" s="1067">
        <v>2.5270000000000001</v>
      </c>
    </row>
    <row r="51" spans="1:3" x14ac:dyDescent="0.25">
      <c r="A51" s="1067" t="s">
        <v>203</v>
      </c>
      <c r="B51" s="1067" t="s">
        <v>34</v>
      </c>
      <c r="C51" s="1067">
        <v>2.48</v>
      </c>
    </row>
    <row r="52" spans="1:3" x14ac:dyDescent="0.25">
      <c r="A52" s="1067" t="s">
        <v>203</v>
      </c>
      <c r="B52" s="1067" t="s">
        <v>39</v>
      </c>
      <c r="C52" s="1067">
        <v>2.431</v>
      </c>
    </row>
    <row r="53" spans="1:3" x14ac:dyDescent="0.25">
      <c r="A53" s="1067" t="s">
        <v>203</v>
      </c>
      <c r="B53" s="1067" t="s">
        <v>258</v>
      </c>
      <c r="C53" s="1067">
        <v>2.3330000000000002</v>
      </c>
    </row>
    <row r="54" spans="1:3" x14ac:dyDescent="0.25">
      <c r="A54" s="1067" t="s">
        <v>203</v>
      </c>
      <c r="B54" s="1067" t="s">
        <v>50</v>
      </c>
      <c r="C54" s="1067">
        <v>2.3069999999999999</v>
      </c>
    </row>
    <row r="55" spans="1:3" x14ac:dyDescent="0.25">
      <c r="A55" s="1067" t="s">
        <v>203</v>
      </c>
      <c r="B55" s="1067" t="s">
        <v>51</v>
      </c>
      <c r="C55" s="1067">
        <v>2.2930000000000001</v>
      </c>
    </row>
    <row r="56" spans="1:3" x14ac:dyDescent="0.25">
      <c r="A56" s="1067" t="s">
        <v>203</v>
      </c>
      <c r="B56" s="1067" t="s">
        <v>38</v>
      </c>
      <c r="C56" s="1067">
        <v>2.2730000000000001</v>
      </c>
    </row>
    <row r="57" spans="1:3" x14ac:dyDescent="0.25">
      <c r="A57" s="1067" t="s">
        <v>203</v>
      </c>
      <c r="B57" s="1067" t="s">
        <v>60</v>
      </c>
      <c r="C57" s="1067">
        <v>2.2559999999999998</v>
      </c>
    </row>
    <row r="58" spans="1:3" x14ac:dyDescent="0.25">
      <c r="A58" s="1067" t="s">
        <v>203</v>
      </c>
      <c r="B58" s="1067" t="s">
        <v>42</v>
      </c>
      <c r="C58" s="1067">
        <v>2.2269999999999999</v>
      </c>
    </row>
    <row r="59" spans="1:3" x14ac:dyDescent="0.25">
      <c r="A59" s="1067" t="s">
        <v>203</v>
      </c>
      <c r="B59" s="1067" t="s">
        <v>31</v>
      </c>
      <c r="C59" s="1067">
        <v>2.1800000000000002</v>
      </c>
    </row>
    <row r="60" spans="1:3" x14ac:dyDescent="0.25">
      <c r="A60" s="1067" t="s">
        <v>203</v>
      </c>
      <c r="B60" s="1067" t="s">
        <v>57</v>
      </c>
      <c r="C60" s="1067">
        <v>2.133</v>
      </c>
    </row>
    <row r="61" spans="1:3" x14ac:dyDescent="0.25">
      <c r="A61" s="1067" t="s">
        <v>203</v>
      </c>
      <c r="B61" s="1067" t="s">
        <v>36</v>
      </c>
      <c r="C61" s="1067">
        <v>2.0649999999999999</v>
      </c>
    </row>
    <row r="62" spans="1:3" x14ac:dyDescent="0.25">
      <c r="A62" s="1067" t="s">
        <v>203</v>
      </c>
      <c r="B62" s="1067" t="s">
        <v>56</v>
      </c>
      <c r="C62" s="1067">
        <v>2.0649999999999999</v>
      </c>
    </row>
    <row r="63" spans="1:3" x14ac:dyDescent="0.25">
      <c r="A63" s="1067" t="s">
        <v>203</v>
      </c>
      <c r="B63" s="1067" t="s">
        <v>59</v>
      </c>
      <c r="C63" s="1067">
        <v>2.0590000000000002</v>
      </c>
    </row>
    <row r="64" spans="1:3" x14ac:dyDescent="0.25">
      <c r="A64" s="1067" t="s">
        <v>203</v>
      </c>
      <c r="B64" s="1067" t="s">
        <v>55</v>
      </c>
      <c r="C64" s="1067">
        <v>2.0369999999999999</v>
      </c>
    </row>
    <row r="65" spans="1:3" x14ac:dyDescent="0.25">
      <c r="A65" s="1067" t="s">
        <v>203</v>
      </c>
      <c r="B65" s="1067" t="s">
        <v>121</v>
      </c>
      <c r="C65" s="1067">
        <v>2.0310000000000001</v>
      </c>
    </row>
    <row r="66" spans="1:3" x14ac:dyDescent="0.25">
      <c r="A66" s="1067" t="s">
        <v>203</v>
      </c>
      <c r="B66" s="1067" t="s">
        <v>48</v>
      </c>
      <c r="C66" s="1067">
        <v>2.0110000000000001</v>
      </c>
    </row>
    <row r="67" spans="1:3" x14ac:dyDescent="0.25">
      <c r="A67" s="1067" t="s">
        <v>203</v>
      </c>
      <c r="B67" s="1067" t="s">
        <v>47</v>
      </c>
      <c r="C67" s="1067">
        <v>1.663</v>
      </c>
    </row>
    <row r="68" spans="1:3" x14ac:dyDescent="0.25">
      <c r="A68" s="1067" t="s">
        <v>203</v>
      </c>
      <c r="B68" s="1067" t="s">
        <v>32</v>
      </c>
      <c r="C68" s="1067">
        <v>1.2689999999999999</v>
      </c>
    </row>
    <row r="69" spans="1:3" x14ac:dyDescent="0.25">
      <c r="A69" s="1067" t="s">
        <v>202</v>
      </c>
      <c r="B69" s="1067" t="s">
        <v>37</v>
      </c>
      <c r="C69" s="1067">
        <v>5.9050000000000002</v>
      </c>
    </row>
    <row r="70" spans="1:3" x14ac:dyDescent="0.25">
      <c r="A70" s="1067" t="s">
        <v>202</v>
      </c>
      <c r="B70" s="1067" t="s">
        <v>41</v>
      </c>
      <c r="C70" s="1067">
        <v>4.4480000000000004</v>
      </c>
    </row>
    <row r="71" spans="1:3" x14ac:dyDescent="0.25">
      <c r="A71" s="1067" t="s">
        <v>202</v>
      </c>
      <c r="B71" s="1067" t="s">
        <v>54</v>
      </c>
      <c r="C71" s="1067">
        <v>4.4130000000000003</v>
      </c>
    </row>
    <row r="72" spans="1:3" x14ac:dyDescent="0.25">
      <c r="A72" s="1067" t="s">
        <v>202</v>
      </c>
      <c r="B72" s="1067" t="s">
        <v>45</v>
      </c>
      <c r="C72" s="1067">
        <v>4.367</v>
      </c>
    </row>
    <row r="73" spans="1:3" x14ac:dyDescent="0.25">
      <c r="A73" s="1067" t="s">
        <v>202</v>
      </c>
      <c r="B73" s="1067" t="s">
        <v>43</v>
      </c>
      <c r="C73" s="1067">
        <v>4.0830000000000002</v>
      </c>
    </row>
    <row r="74" spans="1:3" x14ac:dyDescent="0.25">
      <c r="A74" s="1067" t="s">
        <v>202</v>
      </c>
      <c r="B74" s="1067" t="s">
        <v>33</v>
      </c>
      <c r="C74" s="1067">
        <v>3.9020000000000001</v>
      </c>
    </row>
    <row r="75" spans="1:3" x14ac:dyDescent="0.25">
      <c r="A75" s="1067" t="s">
        <v>202</v>
      </c>
      <c r="B75" s="1067" t="s">
        <v>34</v>
      </c>
      <c r="C75" s="1067">
        <v>3.452</v>
      </c>
    </row>
    <row r="76" spans="1:3" x14ac:dyDescent="0.25">
      <c r="A76" s="1067" t="s">
        <v>202</v>
      </c>
      <c r="B76" s="1067" t="s">
        <v>39</v>
      </c>
      <c r="C76" s="1067">
        <v>3.1850000000000001</v>
      </c>
    </row>
    <row r="77" spans="1:3" x14ac:dyDescent="0.25">
      <c r="A77" s="1067" t="s">
        <v>202</v>
      </c>
      <c r="B77" s="1067" t="s">
        <v>44</v>
      </c>
      <c r="C77" s="1067">
        <v>3.1829999999999998</v>
      </c>
    </row>
    <row r="78" spans="1:3" x14ac:dyDescent="0.25">
      <c r="A78" s="1067" t="s">
        <v>202</v>
      </c>
      <c r="B78" s="1067" t="s">
        <v>59</v>
      </c>
      <c r="C78" s="1067">
        <v>3.1160000000000001</v>
      </c>
    </row>
    <row r="79" spans="1:3" x14ac:dyDescent="0.25">
      <c r="A79" s="1067" t="s">
        <v>202</v>
      </c>
      <c r="B79" s="1067" t="s">
        <v>40</v>
      </c>
      <c r="C79" s="1067">
        <v>3.0649999999999999</v>
      </c>
    </row>
    <row r="80" spans="1:3" x14ac:dyDescent="0.25">
      <c r="A80" s="1067" t="s">
        <v>202</v>
      </c>
      <c r="B80" s="1067" t="s">
        <v>49</v>
      </c>
      <c r="C80" s="1067">
        <v>3.0609999999999999</v>
      </c>
    </row>
    <row r="81" spans="1:3" x14ac:dyDescent="0.25">
      <c r="A81" s="1067" t="s">
        <v>202</v>
      </c>
      <c r="B81" s="1067" t="s">
        <v>51</v>
      </c>
      <c r="C81" s="1067">
        <v>2.984</v>
      </c>
    </row>
    <row r="82" spans="1:3" x14ac:dyDescent="0.25">
      <c r="A82" s="1067" t="s">
        <v>202</v>
      </c>
      <c r="B82" s="1067" t="s">
        <v>36</v>
      </c>
      <c r="C82" s="1067">
        <v>2.903</v>
      </c>
    </row>
    <row r="83" spans="1:3" x14ac:dyDescent="0.25">
      <c r="A83" s="1067" t="s">
        <v>202</v>
      </c>
      <c r="B83" s="1067" t="s">
        <v>46</v>
      </c>
      <c r="C83" s="1067">
        <v>2.847</v>
      </c>
    </row>
    <row r="84" spans="1:3" x14ac:dyDescent="0.25">
      <c r="A84" s="1067" t="s">
        <v>202</v>
      </c>
      <c r="B84" s="1067" t="s">
        <v>52</v>
      </c>
      <c r="C84" s="1067">
        <v>2.82</v>
      </c>
    </row>
    <row r="85" spans="1:3" x14ac:dyDescent="0.25">
      <c r="A85" s="1067" t="s">
        <v>202</v>
      </c>
      <c r="B85" s="1067" t="s">
        <v>50</v>
      </c>
      <c r="C85" s="1067">
        <v>2.7309999999999999</v>
      </c>
    </row>
    <row r="86" spans="1:3" x14ac:dyDescent="0.25">
      <c r="A86" s="1067" t="s">
        <v>202</v>
      </c>
      <c r="B86" s="1067" t="s">
        <v>35</v>
      </c>
      <c r="C86" s="1067">
        <v>2.5920000000000001</v>
      </c>
    </row>
    <row r="87" spans="1:3" x14ac:dyDescent="0.25">
      <c r="A87" s="1067" t="s">
        <v>202</v>
      </c>
      <c r="B87" s="1067" t="s">
        <v>56</v>
      </c>
      <c r="C87" s="1067">
        <v>2.54</v>
      </c>
    </row>
    <row r="88" spans="1:3" x14ac:dyDescent="0.25">
      <c r="A88" s="1067" t="s">
        <v>202</v>
      </c>
      <c r="B88" s="1067" t="s">
        <v>55</v>
      </c>
      <c r="C88" s="1067">
        <v>2.5129999999999999</v>
      </c>
    </row>
    <row r="89" spans="1:3" x14ac:dyDescent="0.25">
      <c r="A89" s="1067" t="s">
        <v>202</v>
      </c>
      <c r="B89" s="1067" t="s">
        <v>58</v>
      </c>
      <c r="C89" s="1067">
        <v>2.4870000000000001</v>
      </c>
    </row>
    <row r="90" spans="1:3" x14ac:dyDescent="0.25">
      <c r="A90" s="1067" t="s">
        <v>202</v>
      </c>
      <c r="B90" s="1067" t="s">
        <v>60</v>
      </c>
      <c r="C90" s="1067">
        <v>2.4039999999999999</v>
      </c>
    </row>
    <row r="91" spans="1:3" x14ac:dyDescent="0.25">
      <c r="A91" s="1067" t="s">
        <v>202</v>
      </c>
      <c r="B91" s="1067" t="s">
        <v>42</v>
      </c>
      <c r="C91" s="1067">
        <v>2.3260000000000001</v>
      </c>
    </row>
    <row r="92" spans="1:3" x14ac:dyDescent="0.25">
      <c r="A92" s="1067" t="s">
        <v>202</v>
      </c>
      <c r="B92" s="1067" t="s">
        <v>38</v>
      </c>
      <c r="C92" s="1067">
        <v>2.3210000000000002</v>
      </c>
    </row>
    <row r="93" spans="1:3" x14ac:dyDescent="0.25">
      <c r="A93" s="1067" t="s">
        <v>202</v>
      </c>
      <c r="B93" s="1067" t="s">
        <v>31</v>
      </c>
      <c r="C93" s="1067">
        <v>2.3159999999999998</v>
      </c>
    </row>
    <row r="94" spans="1:3" x14ac:dyDescent="0.25">
      <c r="A94" s="1067" t="s">
        <v>202</v>
      </c>
      <c r="B94" s="1067" t="s">
        <v>57</v>
      </c>
      <c r="C94" s="1067">
        <v>2.254</v>
      </c>
    </row>
    <row r="95" spans="1:3" x14ac:dyDescent="0.25">
      <c r="A95" s="1067" t="s">
        <v>202</v>
      </c>
      <c r="B95" s="1067" t="s">
        <v>258</v>
      </c>
      <c r="C95" s="1067">
        <v>2.1970000000000001</v>
      </c>
    </row>
    <row r="96" spans="1:3" x14ac:dyDescent="0.25">
      <c r="A96" s="1067" t="s">
        <v>202</v>
      </c>
      <c r="B96" s="1067" t="s">
        <v>48</v>
      </c>
      <c r="C96" s="1067">
        <v>2.1880000000000002</v>
      </c>
    </row>
    <row r="97" spans="1:3" x14ac:dyDescent="0.25">
      <c r="A97" s="1067" t="s">
        <v>202</v>
      </c>
      <c r="B97" s="1067" t="s">
        <v>121</v>
      </c>
      <c r="C97" s="1067">
        <v>2.101</v>
      </c>
    </row>
    <row r="98" spans="1:3" x14ac:dyDescent="0.25">
      <c r="A98" s="1067" t="s">
        <v>202</v>
      </c>
      <c r="B98" s="1067" t="s">
        <v>47</v>
      </c>
      <c r="C98" s="1067">
        <v>2.052</v>
      </c>
    </row>
    <row r="99" spans="1:3" x14ac:dyDescent="0.25">
      <c r="A99" s="1067" t="s">
        <v>202</v>
      </c>
      <c r="B99" s="1067" t="s">
        <v>53</v>
      </c>
      <c r="C99" s="1067">
        <v>2.0449999999999999</v>
      </c>
    </row>
    <row r="100" spans="1:3" x14ac:dyDescent="0.25">
      <c r="A100" s="1067" t="s">
        <v>202</v>
      </c>
      <c r="B100" s="1067" t="s">
        <v>32</v>
      </c>
      <c r="C100" s="1067">
        <v>1.677</v>
      </c>
    </row>
    <row r="101" spans="1:3" x14ac:dyDescent="0.25">
      <c r="A101" s="1067" t="s">
        <v>273</v>
      </c>
      <c r="B101" s="1067" t="s">
        <v>37</v>
      </c>
      <c r="C101" s="1067">
        <v>5.3010000000000002</v>
      </c>
    </row>
    <row r="102" spans="1:3" x14ac:dyDescent="0.25">
      <c r="A102" s="1067" t="s">
        <v>273</v>
      </c>
      <c r="B102" s="1067" t="s">
        <v>54</v>
      </c>
      <c r="C102" s="1067">
        <v>4.8959999999999999</v>
      </c>
    </row>
    <row r="103" spans="1:3" x14ac:dyDescent="0.25">
      <c r="A103" s="1067" t="s">
        <v>273</v>
      </c>
      <c r="B103" s="1067" t="s">
        <v>45</v>
      </c>
      <c r="C103" s="1067">
        <v>4.6349999999999998</v>
      </c>
    </row>
    <row r="104" spans="1:3" x14ac:dyDescent="0.25">
      <c r="A104" s="1067" t="s">
        <v>273</v>
      </c>
      <c r="B104" s="1067" t="s">
        <v>41</v>
      </c>
      <c r="C104" s="1067">
        <v>4.0640000000000001</v>
      </c>
    </row>
    <row r="105" spans="1:3" x14ac:dyDescent="0.25">
      <c r="A105" s="1067" t="s">
        <v>273</v>
      </c>
      <c r="B105" s="1067" t="s">
        <v>47</v>
      </c>
      <c r="C105" s="1067">
        <v>4.0129999999999999</v>
      </c>
    </row>
    <row r="106" spans="1:3" x14ac:dyDescent="0.25">
      <c r="A106" s="1067" t="s">
        <v>273</v>
      </c>
      <c r="B106" s="1067" t="s">
        <v>44</v>
      </c>
      <c r="C106" s="1067">
        <v>3.996</v>
      </c>
    </row>
    <row r="107" spans="1:3" x14ac:dyDescent="0.25">
      <c r="A107" s="1067" t="s">
        <v>273</v>
      </c>
      <c r="B107" s="1067" t="s">
        <v>43</v>
      </c>
      <c r="C107" s="1067">
        <v>3.6989999999999998</v>
      </c>
    </row>
    <row r="108" spans="1:3" x14ac:dyDescent="0.25">
      <c r="A108" s="1067" t="s">
        <v>273</v>
      </c>
      <c r="B108" s="1067" t="s">
        <v>33</v>
      </c>
      <c r="C108" s="1067">
        <v>3.6280000000000001</v>
      </c>
    </row>
    <row r="109" spans="1:3" x14ac:dyDescent="0.25">
      <c r="A109" s="1067" t="s">
        <v>273</v>
      </c>
      <c r="B109" s="1067" t="s">
        <v>59</v>
      </c>
      <c r="C109" s="1067">
        <v>3.532</v>
      </c>
    </row>
    <row r="110" spans="1:3" x14ac:dyDescent="0.25">
      <c r="A110" s="1067" t="s">
        <v>273</v>
      </c>
      <c r="B110" s="1067" t="s">
        <v>51</v>
      </c>
      <c r="C110" s="1067">
        <v>3.5070000000000001</v>
      </c>
    </row>
    <row r="111" spans="1:3" x14ac:dyDescent="0.25">
      <c r="A111" s="1067" t="s">
        <v>273</v>
      </c>
      <c r="B111" s="1067" t="s">
        <v>55</v>
      </c>
      <c r="C111" s="1067">
        <v>3.3220000000000001</v>
      </c>
    </row>
    <row r="112" spans="1:3" x14ac:dyDescent="0.25">
      <c r="A112" s="1067" t="s">
        <v>273</v>
      </c>
      <c r="B112" s="1067" t="s">
        <v>34</v>
      </c>
      <c r="C112" s="1067">
        <v>3.254</v>
      </c>
    </row>
    <row r="113" spans="1:3" x14ac:dyDescent="0.25">
      <c r="A113" s="1067" t="s">
        <v>273</v>
      </c>
      <c r="B113" s="1067" t="s">
        <v>39</v>
      </c>
      <c r="C113" s="1067">
        <v>2.996</v>
      </c>
    </row>
    <row r="114" spans="1:3" x14ac:dyDescent="0.25">
      <c r="A114" s="1067" t="s">
        <v>273</v>
      </c>
      <c r="B114" s="1067" t="s">
        <v>49</v>
      </c>
      <c r="C114" s="1067">
        <v>2.8879999999999999</v>
      </c>
    </row>
    <row r="115" spans="1:3" x14ac:dyDescent="0.25">
      <c r="A115" s="1067" t="s">
        <v>273</v>
      </c>
      <c r="B115" s="1067" t="s">
        <v>36</v>
      </c>
      <c r="C115" s="1067">
        <v>2.8340000000000001</v>
      </c>
    </row>
    <row r="116" spans="1:3" x14ac:dyDescent="0.25">
      <c r="A116" s="1067" t="s">
        <v>273</v>
      </c>
      <c r="B116" s="1067" t="s">
        <v>52</v>
      </c>
      <c r="C116" s="1067">
        <v>2.74</v>
      </c>
    </row>
    <row r="117" spans="1:3" x14ac:dyDescent="0.25">
      <c r="A117" s="1067" t="s">
        <v>273</v>
      </c>
      <c r="B117" s="1067" t="s">
        <v>56</v>
      </c>
      <c r="C117" s="1067">
        <v>2.6850000000000001</v>
      </c>
    </row>
    <row r="118" spans="1:3" x14ac:dyDescent="0.25">
      <c r="A118" s="1067" t="s">
        <v>273</v>
      </c>
      <c r="B118" s="1067" t="s">
        <v>35</v>
      </c>
      <c r="C118" s="1067">
        <v>2.605</v>
      </c>
    </row>
    <row r="119" spans="1:3" x14ac:dyDescent="0.25">
      <c r="A119" s="1067" t="s">
        <v>273</v>
      </c>
      <c r="B119" s="1067" t="s">
        <v>58</v>
      </c>
      <c r="C119" s="1067">
        <v>2.5760000000000001</v>
      </c>
    </row>
    <row r="120" spans="1:3" x14ac:dyDescent="0.25">
      <c r="A120" s="1067" t="s">
        <v>273</v>
      </c>
      <c r="B120" s="1067" t="s">
        <v>40</v>
      </c>
      <c r="C120" s="1067">
        <v>2.5150000000000001</v>
      </c>
    </row>
    <row r="121" spans="1:3" x14ac:dyDescent="0.25">
      <c r="A121" s="1067" t="s">
        <v>273</v>
      </c>
      <c r="B121" s="1067" t="s">
        <v>53</v>
      </c>
      <c r="C121" s="1067">
        <v>2.4910000000000001</v>
      </c>
    </row>
    <row r="122" spans="1:3" x14ac:dyDescent="0.25">
      <c r="A122" s="1067" t="s">
        <v>273</v>
      </c>
      <c r="B122" s="1067" t="s">
        <v>46</v>
      </c>
      <c r="C122" s="1067">
        <v>2.4580000000000002</v>
      </c>
    </row>
    <row r="123" spans="1:3" x14ac:dyDescent="0.25">
      <c r="A123" s="1067" t="s">
        <v>273</v>
      </c>
      <c r="B123" s="1067" t="s">
        <v>48</v>
      </c>
      <c r="C123" s="1067">
        <v>2.3490000000000002</v>
      </c>
    </row>
    <row r="124" spans="1:3" x14ac:dyDescent="0.25">
      <c r="A124" s="1067" t="s">
        <v>273</v>
      </c>
      <c r="B124" s="1067" t="s">
        <v>57</v>
      </c>
      <c r="C124" s="1067">
        <v>2.282</v>
      </c>
    </row>
    <row r="125" spans="1:3" x14ac:dyDescent="0.25">
      <c r="A125" s="1067" t="s">
        <v>273</v>
      </c>
      <c r="B125" s="1067" t="s">
        <v>50</v>
      </c>
      <c r="C125" s="1067">
        <v>2.2709999999999999</v>
      </c>
    </row>
    <row r="126" spans="1:3" x14ac:dyDescent="0.25">
      <c r="A126" s="1067" t="s">
        <v>273</v>
      </c>
      <c r="B126" s="1067" t="s">
        <v>60</v>
      </c>
      <c r="C126" s="1067">
        <v>2.2109999999999999</v>
      </c>
    </row>
    <row r="127" spans="1:3" x14ac:dyDescent="0.25">
      <c r="A127" s="1067" t="s">
        <v>273</v>
      </c>
      <c r="B127" s="1067" t="s">
        <v>38</v>
      </c>
      <c r="C127" s="1067">
        <v>2.169</v>
      </c>
    </row>
    <row r="128" spans="1:3" x14ac:dyDescent="0.25">
      <c r="A128" s="1067" t="s">
        <v>273</v>
      </c>
      <c r="B128" s="1067" t="s">
        <v>42</v>
      </c>
      <c r="C128" s="1067">
        <v>2.101</v>
      </c>
    </row>
    <row r="129" spans="1:3" x14ac:dyDescent="0.25">
      <c r="A129" s="1067" t="s">
        <v>273</v>
      </c>
      <c r="B129" s="1067" t="s">
        <v>258</v>
      </c>
      <c r="C129" s="1067">
        <v>2.0640000000000001</v>
      </c>
    </row>
    <row r="130" spans="1:3" x14ac:dyDescent="0.25">
      <c r="A130" s="1067" t="s">
        <v>273</v>
      </c>
      <c r="B130" s="1067" t="s">
        <v>32</v>
      </c>
      <c r="C130" s="1067">
        <v>2.0049999999999999</v>
      </c>
    </row>
    <row r="131" spans="1:3" x14ac:dyDescent="0.25">
      <c r="A131" s="1067" t="s">
        <v>273</v>
      </c>
      <c r="B131" s="1067" t="s">
        <v>121</v>
      </c>
      <c r="C131" s="1067">
        <v>1.956</v>
      </c>
    </row>
    <row r="132" spans="1:3" x14ac:dyDescent="0.25">
      <c r="A132" s="1067" t="s">
        <v>273</v>
      </c>
      <c r="B132" s="1067" t="s">
        <v>31</v>
      </c>
      <c r="C132" s="1067">
        <v>1.645</v>
      </c>
    </row>
    <row r="133" spans="1:3" x14ac:dyDescent="0.25">
      <c r="A133" s="1067" t="s">
        <v>255</v>
      </c>
      <c r="B133" s="1067" t="s">
        <v>44</v>
      </c>
      <c r="C133" s="1067">
        <v>4.4450000000000003</v>
      </c>
    </row>
    <row r="134" spans="1:3" x14ac:dyDescent="0.25">
      <c r="A134" s="1067" t="s">
        <v>255</v>
      </c>
      <c r="B134" s="1067" t="s">
        <v>54</v>
      </c>
      <c r="C134" s="1067">
        <v>4.0990000000000002</v>
      </c>
    </row>
    <row r="135" spans="1:3" x14ac:dyDescent="0.25">
      <c r="A135" s="1067" t="s">
        <v>255</v>
      </c>
      <c r="B135" s="1067" t="s">
        <v>37</v>
      </c>
      <c r="C135" s="1067">
        <v>3.9889999999999999</v>
      </c>
    </row>
    <row r="136" spans="1:3" x14ac:dyDescent="0.25">
      <c r="A136" s="1067" t="s">
        <v>255</v>
      </c>
      <c r="B136" s="1067" t="s">
        <v>45</v>
      </c>
      <c r="C136" s="1067">
        <v>3.7989999999999999</v>
      </c>
    </row>
    <row r="137" spans="1:3" x14ac:dyDescent="0.25">
      <c r="A137" s="1067" t="s">
        <v>255</v>
      </c>
      <c r="B137" s="1067" t="s">
        <v>43</v>
      </c>
      <c r="C137" s="1067">
        <v>3.718</v>
      </c>
    </row>
    <row r="138" spans="1:3" x14ac:dyDescent="0.25">
      <c r="A138" s="1067" t="s">
        <v>255</v>
      </c>
      <c r="B138" s="1067" t="s">
        <v>59</v>
      </c>
      <c r="C138" s="1067">
        <v>3.7149999999999999</v>
      </c>
    </row>
    <row r="139" spans="1:3" x14ac:dyDescent="0.25">
      <c r="A139" s="1067" t="s">
        <v>255</v>
      </c>
      <c r="B139" s="1067" t="s">
        <v>34</v>
      </c>
      <c r="C139" s="1067">
        <v>3.508</v>
      </c>
    </row>
    <row r="140" spans="1:3" x14ac:dyDescent="0.25">
      <c r="A140" s="1067" t="s">
        <v>255</v>
      </c>
      <c r="B140" s="1067" t="s">
        <v>51</v>
      </c>
      <c r="C140" s="1067">
        <v>3.36</v>
      </c>
    </row>
    <row r="141" spans="1:3" x14ac:dyDescent="0.25">
      <c r="A141" s="1067" t="s">
        <v>255</v>
      </c>
      <c r="B141" s="1067" t="s">
        <v>41</v>
      </c>
      <c r="C141" s="1067">
        <v>3.2730000000000001</v>
      </c>
    </row>
    <row r="142" spans="1:3" x14ac:dyDescent="0.25">
      <c r="A142" s="1067" t="s">
        <v>255</v>
      </c>
      <c r="B142" s="1067" t="s">
        <v>47</v>
      </c>
      <c r="C142" s="1067">
        <v>3.2</v>
      </c>
    </row>
    <row r="143" spans="1:3" x14ac:dyDescent="0.25">
      <c r="A143" s="1067" t="s">
        <v>255</v>
      </c>
      <c r="B143" s="1067" t="s">
        <v>39</v>
      </c>
      <c r="C143" s="1067">
        <v>3.0259999999999998</v>
      </c>
    </row>
    <row r="144" spans="1:3" x14ac:dyDescent="0.25">
      <c r="A144" s="1067" t="s">
        <v>255</v>
      </c>
      <c r="B144" s="1067" t="s">
        <v>53</v>
      </c>
      <c r="C144" s="1067">
        <v>2.9470000000000001</v>
      </c>
    </row>
    <row r="145" spans="1:3" x14ac:dyDescent="0.25">
      <c r="A145" s="1067" t="s">
        <v>255</v>
      </c>
      <c r="B145" s="1067" t="s">
        <v>55</v>
      </c>
      <c r="C145" s="1067">
        <v>2.907</v>
      </c>
    </row>
    <row r="146" spans="1:3" x14ac:dyDescent="0.25">
      <c r="A146" s="1067" t="s">
        <v>255</v>
      </c>
      <c r="B146" s="1067" t="s">
        <v>33</v>
      </c>
      <c r="C146" s="1067">
        <v>2.8319999999999999</v>
      </c>
    </row>
    <row r="147" spans="1:3" x14ac:dyDescent="0.25">
      <c r="A147" s="1067" t="s">
        <v>255</v>
      </c>
      <c r="B147" s="1067" t="s">
        <v>36</v>
      </c>
      <c r="C147" s="1067">
        <v>2.6120000000000001</v>
      </c>
    </row>
    <row r="148" spans="1:3" x14ac:dyDescent="0.25">
      <c r="A148" s="1067" t="s">
        <v>255</v>
      </c>
      <c r="B148" s="1067" t="s">
        <v>121</v>
      </c>
      <c r="C148" s="1067">
        <v>2.605</v>
      </c>
    </row>
    <row r="149" spans="1:3" x14ac:dyDescent="0.25">
      <c r="A149" s="1067" t="s">
        <v>255</v>
      </c>
      <c r="B149" s="1067" t="s">
        <v>60</v>
      </c>
      <c r="C149" s="1067">
        <v>2.5990000000000002</v>
      </c>
    </row>
    <row r="150" spans="1:3" x14ac:dyDescent="0.25">
      <c r="A150" s="1067" t="s">
        <v>255</v>
      </c>
      <c r="B150" s="1067" t="s">
        <v>49</v>
      </c>
      <c r="C150" s="1067">
        <v>2.556</v>
      </c>
    </row>
    <row r="151" spans="1:3" x14ac:dyDescent="0.25">
      <c r="A151" s="1067" t="s">
        <v>255</v>
      </c>
      <c r="B151" s="1067" t="s">
        <v>46</v>
      </c>
      <c r="C151" s="1067">
        <v>2.4990000000000001</v>
      </c>
    </row>
    <row r="152" spans="1:3" x14ac:dyDescent="0.25">
      <c r="A152" s="1067" t="s">
        <v>255</v>
      </c>
      <c r="B152" s="1067" t="s">
        <v>48</v>
      </c>
      <c r="C152" s="1067">
        <v>2.3719999999999999</v>
      </c>
    </row>
    <row r="153" spans="1:3" x14ac:dyDescent="0.25">
      <c r="A153" s="1067" t="s">
        <v>255</v>
      </c>
      <c r="B153" s="1067" t="s">
        <v>56</v>
      </c>
      <c r="C153" s="1067">
        <v>2.367</v>
      </c>
    </row>
    <row r="154" spans="1:3" x14ac:dyDescent="0.25">
      <c r="A154" s="1067" t="s">
        <v>255</v>
      </c>
      <c r="B154" s="1067" t="s">
        <v>57</v>
      </c>
      <c r="C154" s="1067">
        <v>2.3439999999999999</v>
      </c>
    </row>
    <row r="155" spans="1:3" x14ac:dyDescent="0.25">
      <c r="A155" s="1067" t="s">
        <v>255</v>
      </c>
      <c r="B155" s="1067" t="s">
        <v>58</v>
      </c>
      <c r="C155" s="1067">
        <v>2.327</v>
      </c>
    </row>
    <row r="156" spans="1:3" x14ac:dyDescent="0.25">
      <c r="A156" s="1067" t="s">
        <v>255</v>
      </c>
      <c r="B156" s="1067" t="s">
        <v>35</v>
      </c>
      <c r="C156" s="1067">
        <v>2.3140000000000001</v>
      </c>
    </row>
    <row r="157" spans="1:3" x14ac:dyDescent="0.25">
      <c r="A157" s="1067" t="s">
        <v>255</v>
      </c>
      <c r="B157" s="1067" t="s">
        <v>40</v>
      </c>
      <c r="C157" s="1067">
        <v>2.181</v>
      </c>
    </row>
    <row r="158" spans="1:3" x14ac:dyDescent="0.25">
      <c r="A158" s="1067" t="s">
        <v>255</v>
      </c>
      <c r="B158" s="1067" t="s">
        <v>50</v>
      </c>
      <c r="C158" s="1067">
        <v>2.15</v>
      </c>
    </row>
    <row r="159" spans="1:3" x14ac:dyDescent="0.25">
      <c r="A159" s="1067" t="s">
        <v>255</v>
      </c>
      <c r="B159" s="1067" t="s">
        <v>42</v>
      </c>
      <c r="C159" s="1067">
        <v>2.145</v>
      </c>
    </row>
    <row r="160" spans="1:3" x14ac:dyDescent="0.25">
      <c r="A160" s="1067" t="s">
        <v>255</v>
      </c>
      <c r="B160" s="1067" t="s">
        <v>52</v>
      </c>
      <c r="C160" s="1067">
        <v>2.0859999999999999</v>
      </c>
    </row>
    <row r="161" spans="1:3" x14ac:dyDescent="0.25">
      <c r="A161" s="1067" t="s">
        <v>255</v>
      </c>
      <c r="B161" s="1067" t="s">
        <v>38</v>
      </c>
      <c r="C161" s="1067">
        <v>1.976</v>
      </c>
    </row>
    <row r="162" spans="1:3" x14ac:dyDescent="0.25">
      <c r="A162" s="1067" t="s">
        <v>255</v>
      </c>
      <c r="B162" s="1067" t="s">
        <v>258</v>
      </c>
      <c r="C162" s="1067">
        <v>1.8640000000000001</v>
      </c>
    </row>
    <row r="163" spans="1:3" x14ac:dyDescent="0.25">
      <c r="A163" s="1067" t="s">
        <v>255</v>
      </c>
      <c r="B163" s="1067" t="s">
        <v>31</v>
      </c>
      <c r="C163" s="1067">
        <v>1.8380000000000001</v>
      </c>
    </row>
    <row r="164" spans="1:3" x14ac:dyDescent="0.25">
      <c r="A164" s="1067" t="s">
        <v>255</v>
      </c>
      <c r="B164" s="1067" t="s">
        <v>32</v>
      </c>
      <c r="C164" s="1067">
        <v>1.823</v>
      </c>
    </row>
    <row r="165" spans="1:3" x14ac:dyDescent="0.25">
      <c r="A165" s="1067" t="s">
        <v>254</v>
      </c>
      <c r="B165" s="1067" t="s">
        <v>37</v>
      </c>
      <c r="C165" s="1067">
        <v>4.5540000000000003</v>
      </c>
    </row>
    <row r="166" spans="1:3" x14ac:dyDescent="0.25">
      <c r="A166" s="1067" t="s">
        <v>254</v>
      </c>
      <c r="B166" s="1067" t="s">
        <v>45</v>
      </c>
      <c r="C166" s="1067">
        <v>3.9220000000000002</v>
      </c>
    </row>
    <row r="167" spans="1:3" x14ac:dyDescent="0.25">
      <c r="A167" s="1067" t="s">
        <v>254</v>
      </c>
      <c r="B167" s="1067" t="s">
        <v>47</v>
      </c>
      <c r="C167" s="1067">
        <v>3.6829999999999998</v>
      </c>
    </row>
    <row r="168" spans="1:3" x14ac:dyDescent="0.25">
      <c r="A168" s="1067" t="s">
        <v>254</v>
      </c>
      <c r="B168" s="1067" t="s">
        <v>54</v>
      </c>
      <c r="C168" s="1067">
        <v>3.6419999999999999</v>
      </c>
    </row>
    <row r="169" spans="1:3" x14ac:dyDescent="0.25">
      <c r="A169" s="1067" t="s">
        <v>254</v>
      </c>
      <c r="B169" s="1067" t="s">
        <v>43</v>
      </c>
      <c r="C169" s="1067">
        <v>3.5049999999999999</v>
      </c>
    </row>
    <row r="170" spans="1:3" x14ac:dyDescent="0.25">
      <c r="A170" s="1067" t="s">
        <v>254</v>
      </c>
      <c r="B170" s="1067" t="s">
        <v>59</v>
      </c>
      <c r="C170" s="1067">
        <v>3.4580000000000002</v>
      </c>
    </row>
    <row r="171" spans="1:3" x14ac:dyDescent="0.25">
      <c r="A171" s="1067" t="s">
        <v>254</v>
      </c>
      <c r="B171" s="1067" t="s">
        <v>121</v>
      </c>
      <c r="C171" s="1067">
        <v>3.2280000000000002</v>
      </c>
    </row>
    <row r="172" spans="1:3" x14ac:dyDescent="0.25">
      <c r="A172" s="1067" t="s">
        <v>254</v>
      </c>
      <c r="B172" s="1067" t="s">
        <v>44</v>
      </c>
      <c r="C172" s="1067">
        <v>3.202</v>
      </c>
    </row>
    <row r="173" spans="1:3" x14ac:dyDescent="0.25">
      <c r="A173" s="1067" t="s">
        <v>254</v>
      </c>
      <c r="B173" s="1067" t="s">
        <v>33</v>
      </c>
      <c r="C173" s="1067">
        <v>3.13</v>
      </c>
    </row>
    <row r="174" spans="1:3" x14ac:dyDescent="0.25">
      <c r="A174" s="1067" t="s">
        <v>254</v>
      </c>
      <c r="B174" s="1067" t="s">
        <v>34</v>
      </c>
      <c r="C174" s="1067">
        <v>3.0609999999999999</v>
      </c>
    </row>
    <row r="175" spans="1:3" x14ac:dyDescent="0.25">
      <c r="A175" s="1067" t="s">
        <v>254</v>
      </c>
      <c r="B175" s="1067" t="s">
        <v>60</v>
      </c>
      <c r="C175" s="1067">
        <v>2.907</v>
      </c>
    </row>
    <row r="176" spans="1:3" x14ac:dyDescent="0.25">
      <c r="A176" s="1067" t="s">
        <v>254</v>
      </c>
      <c r="B176" s="1067" t="s">
        <v>41</v>
      </c>
      <c r="C176" s="1067">
        <v>2.8170000000000002</v>
      </c>
    </row>
    <row r="177" spans="1:3" x14ac:dyDescent="0.25">
      <c r="A177" s="1067" t="s">
        <v>254</v>
      </c>
      <c r="B177" s="1067" t="s">
        <v>39</v>
      </c>
      <c r="C177" s="1067">
        <v>2.637</v>
      </c>
    </row>
    <row r="178" spans="1:3" x14ac:dyDescent="0.25">
      <c r="A178" s="1067" t="s">
        <v>254</v>
      </c>
      <c r="B178" s="1067" t="s">
        <v>55</v>
      </c>
      <c r="C178" s="1067">
        <v>2.6259999999999999</v>
      </c>
    </row>
    <row r="179" spans="1:3" x14ac:dyDescent="0.25">
      <c r="A179" s="1067" t="s">
        <v>254</v>
      </c>
      <c r="B179" s="1067" t="s">
        <v>48</v>
      </c>
      <c r="C179" s="1067">
        <v>2.625</v>
      </c>
    </row>
    <row r="180" spans="1:3" x14ac:dyDescent="0.25">
      <c r="A180" s="1067" t="s">
        <v>254</v>
      </c>
      <c r="B180" s="1067" t="s">
        <v>51</v>
      </c>
      <c r="C180" s="1067">
        <v>2.5750000000000002</v>
      </c>
    </row>
    <row r="181" spans="1:3" x14ac:dyDescent="0.25">
      <c r="A181" s="1067" t="s">
        <v>254</v>
      </c>
      <c r="B181" s="1067" t="s">
        <v>42</v>
      </c>
      <c r="C181" s="1067">
        <v>2.484</v>
      </c>
    </row>
    <row r="182" spans="1:3" x14ac:dyDescent="0.25">
      <c r="A182" s="1067" t="s">
        <v>254</v>
      </c>
      <c r="B182" s="1067" t="s">
        <v>46</v>
      </c>
      <c r="C182" s="1067">
        <v>2.4620000000000002</v>
      </c>
    </row>
    <row r="183" spans="1:3" x14ac:dyDescent="0.25">
      <c r="A183" s="1067" t="s">
        <v>254</v>
      </c>
      <c r="B183" s="1067" t="s">
        <v>35</v>
      </c>
      <c r="C183" s="1067">
        <v>2.41</v>
      </c>
    </row>
    <row r="184" spans="1:3" x14ac:dyDescent="0.25">
      <c r="A184" s="1067" t="s">
        <v>254</v>
      </c>
      <c r="B184" s="1067" t="s">
        <v>57</v>
      </c>
      <c r="C184" s="1067">
        <v>2.3420000000000001</v>
      </c>
    </row>
    <row r="185" spans="1:3" x14ac:dyDescent="0.25">
      <c r="A185" s="1067" t="s">
        <v>254</v>
      </c>
      <c r="B185" s="1067" t="s">
        <v>36</v>
      </c>
      <c r="C185" s="1067">
        <v>2.3380000000000001</v>
      </c>
    </row>
    <row r="186" spans="1:3" x14ac:dyDescent="0.25">
      <c r="A186" s="1067" t="s">
        <v>254</v>
      </c>
      <c r="B186" s="1067" t="s">
        <v>31</v>
      </c>
      <c r="C186" s="1067">
        <v>2.3239999999999998</v>
      </c>
    </row>
    <row r="187" spans="1:3" x14ac:dyDescent="0.25">
      <c r="A187" s="1067" t="s">
        <v>254</v>
      </c>
      <c r="B187" s="1067" t="s">
        <v>49</v>
      </c>
      <c r="C187" s="1067">
        <v>2.3180000000000001</v>
      </c>
    </row>
    <row r="188" spans="1:3" x14ac:dyDescent="0.25">
      <c r="A188" s="1067" t="s">
        <v>254</v>
      </c>
      <c r="B188" s="1067" t="s">
        <v>58</v>
      </c>
      <c r="C188" s="1067">
        <v>2.254</v>
      </c>
    </row>
    <row r="189" spans="1:3" x14ac:dyDescent="0.25">
      <c r="A189" s="1067" t="s">
        <v>254</v>
      </c>
      <c r="B189" s="1067" t="s">
        <v>53</v>
      </c>
      <c r="C189" s="1067">
        <v>2.1619999999999999</v>
      </c>
    </row>
    <row r="190" spans="1:3" x14ac:dyDescent="0.25">
      <c r="A190" s="1067" t="s">
        <v>254</v>
      </c>
      <c r="B190" s="1067" t="s">
        <v>50</v>
      </c>
      <c r="C190" s="1067">
        <v>2.1030000000000002</v>
      </c>
    </row>
    <row r="191" spans="1:3" x14ac:dyDescent="0.25">
      <c r="A191" s="1067" t="s">
        <v>254</v>
      </c>
      <c r="B191" s="1067" t="s">
        <v>52</v>
      </c>
      <c r="C191" s="1067">
        <v>2.028</v>
      </c>
    </row>
    <row r="192" spans="1:3" x14ac:dyDescent="0.25">
      <c r="A192" s="1067" t="s">
        <v>254</v>
      </c>
      <c r="B192" s="1067" t="s">
        <v>56</v>
      </c>
      <c r="C192" s="1067">
        <v>2.0259999999999998</v>
      </c>
    </row>
    <row r="193" spans="1:3" x14ac:dyDescent="0.25">
      <c r="A193" s="1067" t="s">
        <v>254</v>
      </c>
      <c r="B193" s="1067" t="s">
        <v>40</v>
      </c>
      <c r="C193" s="1067">
        <v>2.0059999999999998</v>
      </c>
    </row>
    <row r="194" spans="1:3" x14ac:dyDescent="0.25">
      <c r="A194" s="1067" t="s">
        <v>254</v>
      </c>
      <c r="B194" s="1067" t="s">
        <v>38</v>
      </c>
      <c r="C194" s="1067">
        <v>1.843</v>
      </c>
    </row>
    <row r="195" spans="1:3" x14ac:dyDescent="0.25">
      <c r="A195" s="1067" t="s">
        <v>254</v>
      </c>
      <c r="B195" s="1067" t="s">
        <v>258</v>
      </c>
      <c r="C195" s="1067">
        <v>1.7849999999999999</v>
      </c>
    </row>
    <row r="196" spans="1:3" x14ac:dyDescent="0.25">
      <c r="A196" s="1067" t="s">
        <v>254</v>
      </c>
      <c r="B196" s="1067" t="s">
        <v>32</v>
      </c>
      <c r="C196" s="1067">
        <v>1.4970000000000001</v>
      </c>
    </row>
    <row r="197" spans="1:3" x14ac:dyDescent="0.25">
      <c r="A197" s="1067" t="s">
        <v>851</v>
      </c>
      <c r="B197" s="1067" t="s">
        <v>55</v>
      </c>
      <c r="C197" s="1067">
        <v>4.9800000000000004</v>
      </c>
    </row>
    <row r="198" spans="1:3" x14ac:dyDescent="0.25">
      <c r="A198" s="1067" t="s">
        <v>851</v>
      </c>
      <c r="B198" s="1067" t="s">
        <v>54</v>
      </c>
      <c r="C198" s="1067">
        <v>3.8450000000000002</v>
      </c>
    </row>
    <row r="199" spans="1:3" x14ac:dyDescent="0.25">
      <c r="A199" s="1067" t="s">
        <v>851</v>
      </c>
      <c r="B199" s="1067" t="s">
        <v>47</v>
      </c>
      <c r="C199" s="1067">
        <v>3.6989999999999998</v>
      </c>
    </row>
    <row r="200" spans="1:3" x14ac:dyDescent="0.25">
      <c r="A200" s="1067" t="s">
        <v>851</v>
      </c>
      <c r="B200" s="1067" t="s">
        <v>37</v>
      </c>
      <c r="C200" s="1067">
        <v>3.633</v>
      </c>
    </row>
    <row r="201" spans="1:3" x14ac:dyDescent="0.25">
      <c r="A201" s="1067" t="s">
        <v>851</v>
      </c>
      <c r="B201" s="1067" t="s">
        <v>43</v>
      </c>
      <c r="C201" s="1067">
        <v>3.6139999999999999</v>
      </c>
    </row>
    <row r="202" spans="1:3" x14ac:dyDescent="0.25">
      <c r="A202" s="1067" t="s">
        <v>851</v>
      </c>
      <c r="B202" s="1067" t="s">
        <v>45</v>
      </c>
      <c r="C202" s="1067">
        <v>3.6</v>
      </c>
    </row>
    <row r="203" spans="1:3" x14ac:dyDescent="0.25">
      <c r="A203" s="1067" t="s">
        <v>851</v>
      </c>
      <c r="B203" s="1067" t="s">
        <v>51</v>
      </c>
      <c r="C203" s="1067">
        <v>3.1709999999999998</v>
      </c>
    </row>
    <row r="204" spans="1:3" x14ac:dyDescent="0.25">
      <c r="A204" s="1067" t="s">
        <v>851</v>
      </c>
      <c r="B204" s="1067" t="s">
        <v>34</v>
      </c>
      <c r="C204" s="1067">
        <v>3.1640000000000001</v>
      </c>
    </row>
    <row r="205" spans="1:3" x14ac:dyDescent="0.25">
      <c r="A205" s="1067" t="s">
        <v>851</v>
      </c>
      <c r="B205" s="1067" t="s">
        <v>121</v>
      </c>
      <c r="C205" s="1067">
        <v>3.1589999999999998</v>
      </c>
    </row>
    <row r="206" spans="1:3" x14ac:dyDescent="0.25">
      <c r="A206" s="1067" t="s">
        <v>851</v>
      </c>
      <c r="B206" s="1067" t="s">
        <v>33</v>
      </c>
      <c r="C206" s="1067">
        <v>3.1579999999999999</v>
      </c>
    </row>
    <row r="207" spans="1:3" x14ac:dyDescent="0.25">
      <c r="A207" s="1067" t="s">
        <v>851</v>
      </c>
      <c r="B207" s="1067" t="s">
        <v>59</v>
      </c>
      <c r="C207" s="1067">
        <v>3.0840000000000001</v>
      </c>
    </row>
    <row r="208" spans="1:3" x14ac:dyDescent="0.25">
      <c r="A208" s="1067" t="s">
        <v>851</v>
      </c>
      <c r="B208" s="1067" t="s">
        <v>39</v>
      </c>
      <c r="C208" s="1067">
        <v>2.8050000000000002</v>
      </c>
    </row>
    <row r="209" spans="1:3" x14ac:dyDescent="0.25">
      <c r="A209" s="1067" t="s">
        <v>851</v>
      </c>
      <c r="B209" s="1067" t="s">
        <v>35</v>
      </c>
      <c r="C209" s="1067">
        <v>2.7149999999999999</v>
      </c>
    </row>
    <row r="210" spans="1:3" x14ac:dyDescent="0.25">
      <c r="A210" s="1067" t="s">
        <v>851</v>
      </c>
      <c r="B210" s="1067" t="s">
        <v>50</v>
      </c>
      <c r="C210" s="1067">
        <v>2.7080000000000002</v>
      </c>
    </row>
    <row r="211" spans="1:3" x14ac:dyDescent="0.25">
      <c r="A211" s="1067" t="s">
        <v>851</v>
      </c>
      <c r="B211" s="1067" t="s">
        <v>49</v>
      </c>
      <c r="C211" s="1067">
        <v>2.46</v>
      </c>
    </row>
    <row r="212" spans="1:3" x14ac:dyDescent="0.25">
      <c r="A212" s="1067" t="s">
        <v>851</v>
      </c>
      <c r="B212" s="1067" t="s">
        <v>46</v>
      </c>
      <c r="C212" s="1067">
        <v>2.4430000000000001</v>
      </c>
    </row>
    <row r="213" spans="1:3" x14ac:dyDescent="0.25">
      <c r="A213" s="1067" t="s">
        <v>851</v>
      </c>
      <c r="B213" s="1067" t="s">
        <v>41</v>
      </c>
      <c r="C213" s="1067">
        <v>2.4350000000000001</v>
      </c>
    </row>
    <row r="214" spans="1:3" x14ac:dyDescent="0.25">
      <c r="A214" s="1067" t="s">
        <v>851</v>
      </c>
      <c r="B214" s="1067" t="s">
        <v>57</v>
      </c>
      <c r="C214" s="1067">
        <v>2.4239999999999999</v>
      </c>
    </row>
    <row r="215" spans="1:3" x14ac:dyDescent="0.25">
      <c r="A215" s="1067" t="s">
        <v>851</v>
      </c>
      <c r="B215" s="1067" t="s">
        <v>44</v>
      </c>
      <c r="C215" s="1067">
        <v>2.407</v>
      </c>
    </row>
    <row r="216" spans="1:3" x14ac:dyDescent="0.25">
      <c r="A216" s="1067" t="s">
        <v>851</v>
      </c>
      <c r="B216" s="1067" t="s">
        <v>60</v>
      </c>
      <c r="C216" s="1067">
        <v>2.2879999999999998</v>
      </c>
    </row>
    <row r="217" spans="1:3" x14ac:dyDescent="0.25">
      <c r="A217" s="1067" t="s">
        <v>851</v>
      </c>
      <c r="B217" s="1067" t="s">
        <v>36</v>
      </c>
      <c r="C217" s="1067">
        <v>2.2759999999999998</v>
      </c>
    </row>
    <row r="218" spans="1:3" x14ac:dyDescent="0.25">
      <c r="A218" s="1067" t="s">
        <v>851</v>
      </c>
      <c r="B218" s="1067" t="s">
        <v>42</v>
      </c>
      <c r="C218" s="1067">
        <v>2.2400000000000002</v>
      </c>
    </row>
    <row r="219" spans="1:3" x14ac:dyDescent="0.25">
      <c r="A219" s="1067" t="s">
        <v>851</v>
      </c>
      <c r="B219" s="1067" t="s">
        <v>31</v>
      </c>
      <c r="C219" s="1067">
        <v>2.2290000000000001</v>
      </c>
    </row>
    <row r="220" spans="1:3" x14ac:dyDescent="0.25">
      <c r="A220" s="1067" t="s">
        <v>851</v>
      </c>
      <c r="B220" s="1067" t="s">
        <v>58</v>
      </c>
      <c r="C220" s="1067">
        <v>2.161</v>
      </c>
    </row>
    <row r="221" spans="1:3" x14ac:dyDescent="0.25">
      <c r="A221" s="1067" t="s">
        <v>851</v>
      </c>
      <c r="B221" s="1067" t="s">
        <v>52</v>
      </c>
      <c r="C221" s="1067">
        <v>2.121</v>
      </c>
    </row>
    <row r="222" spans="1:3" x14ac:dyDescent="0.25">
      <c r="A222" s="1067" t="s">
        <v>851</v>
      </c>
      <c r="B222" s="1067" t="s">
        <v>48</v>
      </c>
      <c r="C222" s="1067">
        <v>2.0499999999999998</v>
      </c>
    </row>
    <row r="223" spans="1:3" x14ac:dyDescent="0.25">
      <c r="A223" s="1067" t="s">
        <v>851</v>
      </c>
      <c r="B223" s="1067" t="s">
        <v>53</v>
      </c>
      <c r="C223" s="1067">
        <v>2.04</v>
      </c>
    </row>
    <row r="224" spans="1:3" x14ac:dyDescent="0.25">
      <c r="A224" s="1067" t="s">
        <v>851</v>
      </c>
      <c r="B224" s="1067" t="s">
        <v>258</v>
      </c>
      <c r="C224" s="1067">
        <v>1.9550000000000001</v>
      </c>
    </row>
    <row r="225" spans="1:3" x14ac:dyDescent="0.25">
      <c r="A225" s="1067" t="s">
        <v>851</v>
      </c>
      <c r="B225" s="1067" t="s">
        <v>32</v>
      </c>
      <c r="C225" s="1067">
        <v>1.911</v>
      </c>
    </row>
    <row r="226" spans="1:3" x14ac:dyDescent="0.25">
      <c r="A226" s="1067" t="s">
        <v>851</v>
      </c>
      <c r="B226" s="1067" t="s">
        <v>38</v>
      </c>
      <c r="C226" s="1067">
        <v>1.881</v>
      </c>
    </row>
    <row r="227" spans="1:3" x14ac:dyDescent="0.25">
      <c r="A227" s="1067" t="s">
        <v>851</v>
      </c>
      <c r="B227" s="1067" t="s">
        <v>40</v>
      </c>
      <c r="C227" s="1067">
        <v>1.8460000000000001</v>
      </c>
    </row>
    <row r="228" spans="1:3" x14ac:dyDescent="0.25">
      <c r="A228" s="1067" t="s">
        <v>851</v>
      </c>
      <c r="B228" s="1067" t="s">
        <v>56</v>
      </c>
      <c r="C228" s="1067">
        <v>1.798</v>
      </c>
    </row>
  </sheetData>
  <sheetProtection algorithmName="SHA-512" hashValue="3zDwhNSeriIIysYbue5frf2QTlpSYf1IoS+2Hz7s5Y43n8ZQXzFoIyQKvrTD8c/NiepdZdwrYxiknP4/myJiJw==" saltValue="KRT7to7bmLVB7r90bjEnuQ==" spinCount="100000" sheet="1" scenarios="1" formatCells="0" formatColumns="0" formatRows="0" sort="0" autoFilter="0" pivotTables="0"/>
  <pageMargins left="0.7" right="0.7" top="0.75" bottom="0.75" header="0.3" footer="0.3"/>
  <pageSetup paperSize="9" fitToHeight="50" orientation="landscape" r:id="rId1"/>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232"/>
  <sheetViews>
    <sheetView zoomScale="85" zoomScaleNormal="85" workbookViewId="0">
      <pane ySplit="4" topLeftCell="A5" activePane="bottomLeft" state="frozen"/>
      <selection pane="bottomLeft"/>
    </sheetView>
  </sheetViews>
  <sheetFormatPr defaultRowHeight="15" x14ac:dyDescent="0.25"/>
  <sheetData>
    <row r="1" spans="1:13" x14ac:dyDescent="0.25"/>
    <row r="4" spans="1:13" x14ac:dyDescent="0.25">
      <c r="A4" s="1066" t="s">
        <v>329</v>
      </c>
      <c r="B4" s="1066" t="s">
        <v>26</v>
      </c>
      <c r="C4" s="1066" t="s">
        <v>1304</v>
      </c>
      <c r="D4" s="1066" t="s">
        <v>1305</v>
      </c>
      <c r="E4" s="1066" t="s">
        <v>889</v>
      </c>
      <c r="F4" s="1066" t="s">
        <v>1306</v>
      </c>
      <c r="G4" s="1066" t="s">
        <v>1307</v>
      </c>
    </row>
    <row r="5" spans="1:13" x14ac:dyDescent="0.25">
      <c r="A5" s="1067" t="s">
        <v>203</v>
      </c>
      <c r="B5" s="1067">
        <v>11892</v>
      </c>
      <c r="C5" s="1067">
        <v>8206</v>
      </c>
      <c r="D5" s="1067">
        <v>2038</v>
      </c>
      <c r="E5" s="1067"/>
      <c r="F5" s="1067"/>
      <c r="G5" s="1067">
        <v>1648</v>
      </c>
    </row>
    <row r="6" spans="1:13" x14ac:dyDescent="0.25">
      <c r="A6" s="1067" t="s">
        <v>202</v>
      </c>
      <c r="B6" s="1067">
        <v>15708</v>
      </c>
      <c r="C6" s="1067">
        <v>9834</v>
      </c>
      <c r="D6" s="1067">
        <v>3501</v>
      </c>
      <c r="E6" s="1067"/>
      <c r="F6" s="1067"/>
      <c r="G6" s="1067">
        <v>2373</v>
      </c>
    </row>
    <row r="7" spans="1:13" x14ac:dyDescent="0.25">
      <c r="A7" s="1067" t="s">
        <v>273</v>
      </c>
      <c r="B7" s="1067">
        <v>12982</v>
      </c>
      <c r="C7" s="1067">
        <v>8939</v>
      </c>
      <c r="D7" s="1067">
        <v>2582</v>
      </c>
      <c r="E7" s="1067"/>
      <c r="F7" s="1067"/>
      <c r="G7" s="1067">
        <v>1461</v>
      </c>
    </row>
    <row r="8" spans="1:13" x14ac:dyDescent="0.25">
      <c r="A8" s="1067" t="s">
        <v>255</v>
      </c>
      <c r="B8" s="1067">
        <v>13468</v>
      </c>
      <c r="C8" s="1067">
        <v>7635</v>
      </c>
      <c r="D8" s="1067">
        <v>3241</v>
      </c>
      <c r="E8" s="1067"/>
      <c r="F8" s="1067"/>
      <c r="G8" s="1067">
        <v>2592</v>
      </c>
    </row>
    <row r="9" spans="1:13" x14ac:dyDescent="0.25">
      <c r="A9" s="1067" t="s">
        <v>254</v>
      </c>
      <c r="B9" s="1067">
        <v>12591</v>
      </c>
      <c r="C9" s="1067">
        <v>7872</v>
      </c>
      <c r="D9" s="1067">
        <v>2746</v>
      </c>
      <c r="E9" s="1067"/>
      <c r="F9" s="1067"/>
      <c r="G9" s="1067">
        <v>1973</v>
      </c>
    </row>
    <row r="10" spans="1:13" x14ac:dyDescent="0.25">
      <c r="A10" s="1067" t="s">
        <v>851</v>
      </c>
      <c r="B10" s="1067">
        <v>11165</v>
      </c>
      <c r="C10" s="1067">
        <v>7261</v>
      </c>
      <c r="D10" s="1067">
        <v>2460</v>
      </c>
      <c r="E10" s="1067">
        <v>324</v>
      </c>
      <c r="F10" s="1067">
        <v>202</v>
      </c>
      <c r="G10" s="1067">
        <v>918</v>
      </c>
    </row>
    <row r="15" spans="1:13" x14ac:dyDescent="0.25">
      <c r="A15" s="1069" t="s">
        <v>1311</v>
      </c>
      <c r="B15" s="1069" t="s">
        <v>1312</v>
      </c>
      <c r="C15" s="1069" t="s">
        <v>26</v>
      </c>
      <c r="D15" s="1069" t="s">
        <v>1313</v>
      </c>
      <c r="E15" s="1069" t="s">
        <v>1250</v>
      </c>
      <c r="F15" s="1069" t="s">
        <v>325</v>
      </c>
      <c r="G15" s="1069" t="s">
        <v>205</v>
      </c>
      <c r="H15" s="1069" t="s">
        <v>203</v>
      </c>
      <c r="I15" s="1069" t="s">
        <v>202</v>
      </c>
      <c r="J15" s="1069" t="s">
        <v>273</v>
      </c>
      <c r="K15" s="1069" t="s">
        <v>255</v>
      </c>
      <c r="L15" s="1069" t="s">
        <v>254</v>
      </c>
      <c r="M15" s="1069" t="s">
        <v>851</v>
      </c>
    </row>
    <row r="16" spans="1:13" x14ac:dyDescent="0.25">
      <c r="A16" s="1067" t="s">
        <v>1308</v>
      </c>
      <c r="B16" s="1067" t="s">
        <v>1309</v>
      </c>
      <c r="C16" s="1071">
        <v>49747</v>
      </c>
      <c r="D16" s="1067"/>
      <c r="E16" s="1067"/>
      <c r="F16" s="1067"/>
      <c r="G16" s="1067"/>
      <c r="H16" s="1071">
        <v>8206</v>
      </c>
      <c r="I16" s="1071">
        <v>9834</v>
      </c>
      <c r="J16" s="1071">
        <v>8939</v>
      </c>
      <c r="K16" s="1071">
        <v>7635</v>
      </c>
      <c r="L16" s="1071">
        <v>7872</v>
      </c>
      <c r="M16" s="1071">
        <v>7261</v>
      </c>
    </row>
    <row r="17" spans="1:13" x14ac:dyDescent="0.25">
      <c r="A17" s="1067" t="s">
        <v>431</v>
      </c>
      <c r="B17" s="1067" t="s">
        <v>143</v>
      </c>
      <c r="C17" s="1071">
        <v>471</v>
      </c>
      <c r="D17" s="1071">
        <v>136</v>
      </c>
      <c r="E17" s="1071">
        <v>236</v>
      </c>
      <c r="F17" s="1071">
        <v>197</v>
      </c>
      <c r="G17" s="1071">
        <v>217</v>
      </c>
      <c r="H17" s="1071">
        <v>334</v>
      </c>
      <c r="I17" s="1071">
        <v>451</v>
      </c>
      <c r="J17" s="1071">
        <v>396</v>
      </c>
      <c r="K17" s="1071">
        <v>367</v>
      </c>
      <c r="L17" s="1071">
        <v>471</v>
      </c>
      <c r="M17" s="1071">
        <v>298</v>
      </c>
    </row>
    <row r="18" spans="1:13" x14ac:dyDescent="0.25">
      <c r="A18" s="1067" t="s">
        <v>432</v>
      </c>
      <c r="B18" s="1067" t="s">
        <v>144</v>
      </c>
      <c r="C18" s="1071">
        <v>972</v>
      </c>
      <c r="D18" s="1071">
        <v>972</v>
      </c>
      <c r="E18" s="1071">
        <v>1212</v>
      </c>
      <c r="F18" s="1071">
        <v>1286</v>
      </c>
      <c r="G18" s="1071">
        <v>1454</v>
      </c>
      <c r="H18" s="1071">
        <v>1506</v>
      </c>
      <c r="I18" s="1071">
        <v>1760</v>
      </c>
      <c r="J18" s="1071">
        <v>1719</v>
      </c>
      <c r="K18" s="1071">
        <v>1653</v>
      </c>
      <c r="L18" s="1071">
        <v>1775</v>
      </c>
      <c r="M18" s="1071">
        <v>1486</v>
      </c>
    </row>
    <row r="19" spans="1:13" x14ac:dyDescent="0.25">
      <c r="A19" s="1067" t="s">
        <v>433</v>
      </c>
      <c r="B19" s="1067" t="s">
        <v>160</v>
      </c>
      <c r="C19" s="1071">
        <v>3062</v>
      </c>
      <c r="D19" s="1067"/>
      <c r="E19" s="1067"/>
      <c r="F19" s="1067"/>
      <c r="G19" s="1067"/>
      <c r="H19" s="1071">
        <v>1947</v>
      </c>
      <c r="I19" s="1071">
        <v>3062</v>
      </c>
      <c r="J19" s="1071">
        <v>2650</v>
      </c>
      <c r="K19" s="1071">
        <v>2077</v>
      </c>
      <c r="L19" s="1071">
        <v>1862</v>
      </c>
      <c r="M19" s="1071">
        <v>1951</v>
      </c>
    </row>
    <row r="20" spans="1:13" x14ac:dyDescent="0.25">
      <c r="A20" s="1067" t="s">
        <v>434</v>
      </c>
      <c r="B20" s="1067" t="s">
        <v>145</v>
      </c>
      <c r="C20" s="1071">
        <v>88</v>
      </c>
      <c r="D20" s="1071">
        <v>137</v>
      </c>
      <c r="E20" s="1071">
        <v>126</v>
      </c>
      <c r="F20" s="1071">
        <v>138</v>
      </c>
      <c r="G20" s="1071">
        <v>296</v>
      </c>
      <c r="H20" s="1071">
        <v>138</v>
      </c>
      <c r="I20" s="1071">
        <v>119</v>
      </c>
      <c r="J20" s="1071">
        <v>128</v>
      </c>
      <c r="K20" s="1071">
        <v>104</v>
      </c>
      <c r="L20" s="1071">
        <v>88</v>
      </c>
      <c r="M20" s="1071">
        <v>71</v>
      </c>
    </row>
    <row r="21" spans="1:13" x14ac:dyDescent="0.25">
      <c r="A21" s="1067" t="s">
        <v>435</v>
      </c>
      <c r="B21" s="1067" t="s">
        <v>146</v>
      </c>
      <c r="C21" s="1071">
        <v>1761</v>
      </c>
      <c r="D21" s="1071">
        <v>1117</v>
      </c>
      <c r="E21" s="1071">
        <v>1077</v>
      </c>
      <c r="F21" s="1071">
        <v>1081</v>
      </c>
      <c r="G21" s="1071">
        <v>1761</v>
      </c>
      <c r="H21" s="1071">
        <v>1109</v>
      </c>
      <c r="I21" s="1071">
        <v>1263</v>
      </c>
      <c r="J21" s="1071">
        <v>1138</v>
      </c>
      <c r="K21" s="1071">
        <v>1167</v>
      </c>
      <c r="L21" s="1071">
        <v>1030</v>
      </c>
      <c r="M21" s="1071">
        <v>1081</v>
      </c>
    </row>
    <row r="22" spans="1:13" x14ac:dyDescent="0.25">
      <c r="A22" s="1067" t="s">
        <v>436</v>
      </c>
      <c r="B22" s="1067" t="s">
        <v>147</v>
      </c>
      <c r="C22" s="1071">
        <v>470</v>
      </c>
      <c r="D22" s="1071">
        <v>284</v>
      </c>
      <c r="E22" s="1071">
        <v>395</v>
      </c>
      <c r="F22" s="1071">
        <v>430</v>
      </c>
      <c r="G22" s="1071">
        <v>415</v>
      </c>
      <c r="H22" s="1071">
        <v>251</v>
      </c>
      <c r="I22" s="1071">
        <v>351</v>
      </c>
      <c r="J22" s="1071">
        <v>371</v>
      </c>
      <c r="K22" s="1071">
        <v>408</v>
      </c>
      <c r="L22" s="1071">
        <v>323</v>
      </c>
      <c r="M22" s="1071">
        <v>470</v>
      </c>
    </row>
    <row r="23" spans="1:13" x14ac:dyDescent="0.25">
      <c r="A23" s="1067" t="s">
        <v>437</v>
      </c>
      <c r="B23" s="1067" t="s">
        <v>148</v>
      </c>
      <c r="C23" s="1071">
        <v>62</v>
      </c>
      <c r="D23" s="1071">
        <v>48</v>
      </c>
      <c r="E23" s="1071">
        <v>49</v>
      </c>
      <c r="F23" s="1071">
        <v>49</v>
      </c>
      <c r="G23" s="1071">
        <v>62</v>
      </c>
      <c r="H23" s="1071">
        <v>28</v>
      </c>
      <c r="I23" s="1071">
        <v>36</v>
      </c>
      <c r="J23" s="1071">
        <v>21</v>
      </c>
      <c r="K23" s="1071">
        <v>37</v>
      </c>
      <c r="L23" s="1071">
        <v>31</v>
      </c>
      <c r="M23" s="1071">
        <v>25</v>
      </c>
    </row>
    <row r="24" spans="1:13" x14ac:dyDescent="0.25">
      <c r="A24" s="1067" t="s">
        <v>438</v>
      </c>
      <c r="B24" s="1067" t="s">
        <v>149</v>
      </c>
      <c r="C24" s="1071">
        <v>77</v>
      </c>
      <c r="D24" s="1071">
        <v>68</v>
      </c>
      <c r="E24" s="1071">
        <v>74</v>
      </c>
      <c r="F24" s="1071">
        <v>77</v>
      </c>
      <c r="G24" s="1071">
        <v>58</v>
      </c>
      <c r="H24" s="1071">
        <v>68</v>
      </c>
      <c r="I24" s="1071">
        <v>49</v>
      </c>
      <c r="J24" s="1071">
        <v>66</v>
      </c>
      <c r="K24" s="1071">
        <v>59</v>
      </c>
      <c r="L24" s="1071">
        <v>60</v>
      </c>
      <c r="M24" s="1071">
        <v>39</v>
      </c>
    </row>
    <row r="25" spans="1:13" x14ac:dyDescent="0.25">
      <c r="A25" s="1067" t="s">
        <v>439</v>
      </c>
      <c r="B25" s="1067" t="s">
        <v>150</v>
      </c>
      <c r="C25" s="1071">
        <v>794</v>
      </c>
      <c r="D25" s="1071">
        <v>794</v>
      </c>
      <c r="E25" s="1071">
        <v>1016</v>
      </c>
      <c r="F25" s="1071">
        <v>1014</v>
      </c>
      <c r="G25" s="1071">
        <v>670</v>
      </c>
      <c r="H25" s="1071">
        <v>596</v>
      </c>
      <c r="I25" s="1071">
        <v>494</v>
      </c>
      <c r="J25" s="1071">
        <v>482</v>
      </c>
      <c r="K25" s="1071">
        <v>332</v>
      </c>
      <c r="L25" s="1071">
        <v>374</v>
      </c>
      <c r="M25" s="1071">
        <v>289</v>
      </c>
    </row>
    <row r="26" spans="1:13" x14ac:dyDescent="0.25">
      <c r="A26" s="1067" t="s">
        <v>440</v>
      </c>
      <c r="B26" s="1067" t="s">
        <v>151</v>
      </c>
      <c r="C26" s="1071">
        <v>470</v>
      </c>
      <c r="D26" s="1071">
        <v>433</v>
      </c>
      <c r="E26" s="1071">
        <v>264</v>
      </c>
      <c r="F26" s="1071">
        <v>291</v>
      </c>
      <c r="G26" s="1071">
        <v>231</v>
      </c>
      <c r="H26" s="1071">
        <v>260</v>
      </c>
      <c r="I26" s="1071">
        <v>228</v>
      </c>
      <c r="J26" s="1071">
        <v>363</v>
      </c>
      <c r="K26" s="1071">
        <v>268</v>
      </c>
      <c r="L26" s="1071">
        <v>470</v>
      </c>
      <c r="M26" s="1071">
        <v>271</v>
      </c>
    </row>
    <row r="27" spans="1:13" x14ac:dyDescent="0.25">
      <c r="A27" s="1067" t="s">
        <v>441</v>
      </c>
      <c r="B27" s="1067" t="s">
        <v>152</v>
      </c>
      <c r="C27" s="1071">
        <v>683</v>
      </c>
      <c r="D27" s="1071">
        <v>1038</v>
      </c>
      <c r="E27" s="1071">
        <v>1082</v>
      </c>
      <c r="F27" s="1071">
        <v>1619</v>
      </c>
      <c r="G27" s="1071">
        <v>1294</v>
      </c>
      <c r="H27" s="1071">
        <v>683</v>
      </c>
      <c r="I27" s="1071">
        <v>639</v>
      </c>
      <c r="J27" s="1071">
        <v>523</v>
      </c>
      <c r="K27" s="1071">
        <v>362</v>
      </c>
      <c r="L27" s="1071">
        <v>382</v>
      </c>
      <c r="M27" s="1071">
        <v>358</v>
      </c>
    </row>
    <row r="28" spans="1:13" x14ac:dyDescent="0.25">
      <c r="A28" s="1067" t="s">
        <v>442</v>
      </c>
      <c r="B28" s="1067" t="s">
        <v>153</v>
      </c>
      <c r="C28" s="1071">
        <v>399</v>
      </c>
      <c r="D28" s="1071">
        <v>287</v>
      </c>
      <c r="E28" s="1071">
        <v>328</v>
      </c>
      <c r="F28" s="1071">
        <v>260</v>
      </c>
      <c r="G28" s="1071">
        <v>399</v>
      </c>
      <c r="H28" s="1071">
        <v>356</v>
      </c>
      <c r="I28" s="1071">
        <v>320</v>
      </c>
      <c r="J28" s="1071">
        <v>235</v>
      </c>
      <c r="K28" s="1071">
        <v>240</v>
      </c>
      <c r="L28" s="1071">
        <v>283</v>
      </c>
      <c r="M28" s="1071">
        <v>279</v>
      </c>
    </row>
    <row r="29" spans="1:13" x14ac:dyDescent="0.25">
      <c r="A29" s="1067" t="s">
        <v>443</v>
      </c>
      <c r="B29" s="1067" t="s">
        <v>154</v>
      </c>
      <c r="C29" s="1071">
        <v>485</v>
      </c>
      <c r="D29" s="1071">
        <v>282</v>
      </c>
      <c r="E29" s="1071">
        <v>304</v>
      </c>
      <c r="F29" s="1071">
        <v>288</v>
      </c>
      <c r="G29" s="1071">
        <v>408</v>
      </c>
      <c r="H29" s="1071">
        <v>412</v>
      </c>
      <c r="I29" s="1071">
        <v>485</v>
      </c>
      <c r="J29" s="1071">
        <v>329</v>
      </c>
      <c r="K29" s="1071">
        <v>228</v>
      </c>
      <c r="L29" s="1071">
        <v>267</v>
      </c>
      <c r="M29" s="1071">
        <v>241</v>
      </c>
    </row>
    <row r="30" spans="1:13" x14ac:dyDescent="0.25">
      <c r="A30" s="1067" t="s">
        <v>444</v>
      </c>
      <c r="B30" s="1067" t="s">
        <v>155</v>
      </c>
      <c r="C30" s="1071">
        <v>483</v>
      </c>
      <c r="D30" s="1071">
        <v>311</v>
      </c>
      <c r="E30" s="1071">
        <v>405</v>
      </c>
      <c r="F30" s="1071">
        <v>483</v>
      </c>
      <c r="G30" s="1071">
        <v>389</v>
      </c>
      <c r="H30" s="1071">
        <v>344</v>
      </c>
      <c r="I30" s="1071">
        <v>379</v>
      </c>
      <c r="J30" s="1071">
        <v>275</v>
      </c>
      <c r="K30" s="1071">
        <v>220</v>
      </c>
      <c r="L30" s="1071">
        <v>267</v>
      </c>
      <c r="M30" s="1071">
        <v>285</v>
      </c>
    </row>
    <row r="31" spans="1:13" x14ac:dyDescent="0.25">
      <c r="A31" s="1067" t="s">
        <v>445</v>
      </c>
      <c r="B31" s="1067" t="s">
        <v>1310</v>
      </c>
      <c r="C31" s="1071">
        <v>342</v>
      </c>
      <c r="D31" s="1071">
        <v>154</v>
      </c>
      <c r="E31" s="1071">
        <v>176</v>
      </c>
      <c r="F31" s="1071">
        <v>342</v>
      </c>
      <c r="G31" s="1071">
        <v>340</v>
      </c>
      <c r="H31" s="1071">
        <v>174</v>
      </c>
      <c r="I31" s="1071">
        <v>198</v>
      </c>
      <c r="J31" s="1071">
        <v>243</v>
      </c>
      <c r="K31" s="1071">
        <v>113</v>
      </c>
      <c r="L31" s="1071">
        <v>189</v>
      </c>
      <c r="M31" s="1071">
        <v>117</v>
      </c>
    </row>
    <row r="40" spans="1:19" x14ac:dyDescent="0.25">
      <c r="A40" s="1069" t="s">
        <v>329</v>
      </c>
      <c r="B40" s="1069" t="s">
        <v>1298</v>
      </c>
      <c r="C40" s="1069" t="s">
        <v>928</v>
      </c>
      <c r="D40" s="1069" t="s">
        <v>1314</v>
      </c>
      <c r="E40" s="1069" t="s">
        <v>144</v>
      </c>
      <c r="F40" s="1069" t="s">
        <v>154</v>
      </c>
      <c r="G40" s="1069" t="s">
        <v>148</v>
      </c>
      <c r="H40" s="1069" t="s">
        <v>160</v>
      </c>
      <c r="I40" s="1069" t="s">
        <v>143</v>
      </c>
      <c r="J40" s="1069" t="s">
        <v>145</v>
      </c>
      <c r="K40" s="1069" t="s">
        <v>146</v>
      </c>
      <c r="L40" s="1069" t="s">
        <v>150</v>
      </c>
      <c r="M40" s="1069" t="s">
        <v>155</v>
      </c>
      <c r="N40" s="1069" t="s">
        <v>153</v>
      </c>
      <c r="O40" s="1069" t="s">
        <v>147</v>
      </c>
      <c r="P40" s="1069" t="s">
        <v>1310</v>
      </c>
      <c r="Q40" s="1069" t="s">
        <v>149</v>
      </c>
      <c r="R40" s="1069" t="s">
        <v>151</v>
      </c>
      <c r="S40" s="1069" t="s">
        <v>152</v>
      </c>
    </row>
    <row r="41" spans="1:19" x14ac:dyDescent="0.25">
      <c r="A41" s="1067" t="s">
        <v>203</v>
      </c>
      <c r="B41" s="1067" t="s">
        <v>282</v>
      </c>
      <c r="C41" s="1067" t="s">
        <v>35</v>
      </c>
      <c r="D41" s="1067">
        <v>44</v>
      </c>
      <c r="E41" s="1067">
        <v>22</v>
      </c>
      <c r="F41" s="1067">
        <v>1</v>
      </c>
      <c r="G41" s="1067"/>
      <c r="H41" s="1067">
        <v>2</v>
      </c>
      <c r="I41" s="1067"/>
      <c r="J41" s="1067"/>
      <c r="K41" s="1067">
        <v>5</v>
      </c>
      <c r="L41" s="1067">
        <v>1</v>
      </c>
      <c r="M41" s="1067">
        <v>3</v>
      </c>
      <c r="N41" s="1067">
        <v>1</v>
      </c>
      <c r="O41" s="1067">
        <v>4</v>
      </c>
      <c r="P41" s="1067"/>
      <c r="Q41" s="1067"/>
      <c r="R41" s="1067">
        <v>3</v>
      </c>
      <c r="S41" s="1067">
        <v>2</v>
      </c>
    </row>
    <row r="42" spans="1:19" x14ac:dyDescent="0.25">
      <c r="A42" s="1067" t="s">
        <v>203</v>
      </c>
      <c r="B42" s="1067" t="s">
        <v>283</v>
      </c>
      <c r="C42" s="1067" t="s">
        <v>36</v>
      </c>
      <c r="D42" s="1067">
        <v>213</v>
      </c>
      <c r="E42" s="1067">
        <v>38</v>
      </c>
      <c r="F42" s="1067">
        <v>12</v>
      </c>
      <c r="G42" s="1067">
        <v>1</v>
      </c>
      <c r="H42" s="1067">
        <v>29</v>
      </c>
      <c r="I42" s="1067">
        <v>7</v>
      </c>
      <c r="J42" s="1067">
        <v>3</v>
      </c>
      <c r="K42" s="1067">
        <v>58</v>
      </c>
      <c r="L42" s="1067">
        <v>12</v>
      </c>
      <c r="M42" s="1067">
        <v>9</v>
      </c>
      <c r="N42" s="1067">
        <v>17</v>
      </c>
      <c r="O42" s="1067">
        <v>1</v>
      </c>
      <c r="P42" s="1067">
        <v>2</v>
      </c>
      <c r="Q42" s="1067">
        <v>2</v>
      </c>
      <c r="R42" s="1067">
        <v>1</v>
      </c>
      <c r="S42" s="1067">
        <v>21</v>
      </c>
    </row>
    <row r="43" spans="1:19" x14ac:dyDescent="0.25">
      <c r="A43" s="1067" t="s">
        <v>203</v>
      </c>
      <c r="B43" s="1067" t="s">
        <v>284</v>
      </c>
      <c r="C43" s="1067" t="s">
        <v>38</v>
      </c>
      <c r="D43" s="1067">
        <v>153</v>
      </c>
      <c r="E43" s="1067">
        <v>30</v>
      </c>
      <c r="F43" s="1067">
        <v>13</v>
      </c>
      <c r="G43" s="1067"/>
      <c r="H43" s="1067">
        <v>19</v>
      </c>
      <c r="I43" s="1067">
        <v>10</v>
      </c>
      <c r="J43" s="1067"/>
      <c r="K43" s="1067">
        <v>22</v>
      </c>
      <c r="L43" s="1067">
        <v>11</v>
      </c>
      <c r="M43" s="1067">
        <v>7</v>
      </c>
      <c r="N43" s="1067">
        <v>11</v>
      </c>
      <c r="O43" s="1067"/>
      <c r="P43" s="1067">
        <v>4</v>
      </c>
      <c r="Q43" s="1067"/>
      <c r="R43" s="1067">
        <v>5</v>
      </c>
      <c r="S43" s="1067">
        <v>21</v>
      </c>
    </row>
    <row r="44" spans="1:19" x14ac:dyDescent="0.25">
      <c r="A44" s="1067" t="s">
        <v>203</v>
      </c>
      <c r="B44" s="1067" t="s">
        <v>285</v>
      </c>
      <c r="C44" s="1067" t="s">
        <v>40</v>
      </c>
      <c r="D44" s="1067">
        <v>102</v>
      </c>
      <c r="E44" s="1067">
        <v>22</v>
      </c>
      <c r="F44" s="1067">
        <v>3</v>
      </c>
      <c r="G44" s="1067">
        <v>1</v>
      </c>
      <c r="H44" s="1067">
        <v>24</v>
      </c>
      <c r="I44" s="1067">
        <v>8</v>
      </c>
      <c r="J44" s="1067">
        <v>7</v>
      </c>
      <c r="K44" s="1067">
        <v>6</v>
      </c>
      <c r="L44" s="1067">
        <v>4</v>
      </c>
      <c r="M44" s="1067">
        <v>1</v>
      </c>
      <c r="N44" s="1067">
        <v>12</v>
      </c>
      <c r="O44" s="1067">
        <v>2</v>
      </c>
      <c r="P44" s="1067"/>
      <c r="Q44" s="1067">
        <v>1</v>
      </c>
      <c r="R44" s="1067">
        <v>5</v>
      </c>
      <c r="S44" s="1067">
        <v>6</v>
      </c>
    </row>
    <row r="45" spans="1:19" x14ac:dyDescent="0.25">
      <c r="A45" s="1067" t="s">
        <v>203</v>
      </c>
      <c r="B45" s="1067" t="s">
        <v>286</v>
      </c>
      <c r="C45" s="1067" t="s">
        <v>41</v>
      </c>
      <c r="D45" s="1067">
        <v>119</v>
      </c>
      <c r="E45" s="1067">
        <v>14</v>
      </c>
      <c r="F45" s="1067"/>
      <c r="G45" s="1067">
        <v>1</v>
      </c>
      <c r="H45" s="1067">
        <v>14</v>
      </c>
      <c r="I45" s="1067">
        <v>1</v>
      </c>
      <c r="J45" s="1067"/>
      <c r="K45" s="1067">
        <v>7</v>
      </c>
      <c r="L45" s="1067">
        <v>18</v>
      </c>
      <c r="M45" s="1067">
        <v>11</v>
      </c>
      <c r="N45" s="1067">
        <v>8</v>
      </c>
      <c r="O45" s="1067">
        <v>2</v>
      </c>
      <c r="P45" s="1067">
        <v>8</v>
      </c>
      <c r="Q45" s="1067">
        <v>3</v>
      </c>
      <c r="R45" s="1067">
        <v>7</v>
      </c>
      <c r="S45" s="1067">
        <v>25</v>
      </c>
    </row>
    <row r="46" spans="1:19" x14ac:dyDescent="0.25">
      <c r="A46" s="1067" t="s">
        <v>203</v>
      </c>
      <c r="B46" s="1067" t="s">
        <v>287</v>
      </c>
      <c r="C46" s="1067" t="s">
        <v>48</v>
      </c>
      <c r="D46" s="1067">
        <v>19</v>
      </c>
      <c r="E46" s="1067">
        <v>6</v>
      </c>
      <c r="F46" s="1067"/>
      <c r="G46" s="1067"/>
      <c r="H46" s="1067">
        <v>7</v>
      </c>
      <c r="I46" s="1067">
        <v>2</v>
      </c>
      <c r="J46" s="1067"/>
      <c r="K46" s="1067">
        <v>2</v>
      </c>
      <c r="L46" s="1067"/>
      <c r="M46" s="1067">
        <v>1</v>
      </c>
      <c r="N46" s="1067"/>
      <c r="O46" s="1067"/>
      <c r="P46" s="1067"/>
      <c r="Q46" s="1067"/>
      <c r="R46" s="1067">
        <v>1</v>
      </c>
      <c r="S46" s="1067"/>
    </row>
    <row r="47" spans="1:19" x14ac:dyDescent="0.25">
      <c r="A47" s="1067" t="s">
        <v>203</v>
      </c>
      <c r="B47" s="1067" t="s">
        <v>288</v>
      </c>
      <c r="C47" s="1067" t="s">
        <v>42</v>
      </c>
      <c r="D47" s="1067">
        <v>243</v>
      </c>
      <c r="E47" s="1067">
        <v>52</v>
      </c>
      <c r="F47" s="1067">
        <v>30</v>
      </c>
      <c r="G47" s="1067"/>
      <c r="H47" s="1067">
        <v>15</v>
      </c>
      <c r="I47" s="1067">
        <v>12</v>
      </c>
      <c r="J47" s="1067">
        <v>1</v>
      </c>
      <c r="K47" s="1067">
        <v>20</v>
      </c>
      <c r="L47" s="1067">
        <v>27</v>
      </c>
      <c r="M47" s="1067">
        <v>10</v>
      </c>
      <c r="N47" s="1067">
        <v>17</v>
      </c>
      <c r="O47" s="1067">
        <v>2</v>
      </c>
      <c r="P47" s="1067">
        <v>10</v>
      </c>
      <c r="Q47" s="1067">
        <v>7</v>
      </c>
      <c r="R47" s="1067">
        <v>23</v>
      </c>
      <c r="S47" s="1067">
        <v>17</v>
      </c>
    </row>
    <row r="48" spans="1:19" x14ac:dyDescent="0.25">
      <c r="A48" s="1067" t="s">
        <v>203</v>
      </c>
      <c r="B48" s="1067" t="s">
        <v>430</v>
      </c>
      <c r="C48" s="1067" t="s">
        <v>43</v>
      </c>
      <c r="D48" s="1067">
        <v>498</v>
      </c>
      <c r="E48" s="1067">
        <v>118</v>
      </c>
      <c r="F48" s="1067">
        <v>14</v>
      </c>
      <c r="G48" s="1067">
        <v>2</v>
      </c>
      <c r="H48" s="1067">
        <v>222</v>
      </c>
      <c r="I48" s="1067">
        <v>13</v>
      </c>
      <c r="J48" s="1067">
        <v>1</v>
      </c>
      <c r="K48" s="1067">
        <v>57</v>
      </c>
      <c r="L48" s="1067">
        <v>11</v>
      </c>
      <c r="M48" s="1067">
        <v>10</v>
      </c>
      <c r="N48" s="1067">
        <v>22</v>
      </c>
      <c r="O48" s="1067">
        <v>3</v>
      </c>
      <c r="P48" s="1067">
        <v>5</v>
      </c>
      <c r="Q48" s="1067">
        <v>4</v>
      </c>
      <c r="R48" s="1067">
        <v>3</v>
      </c>
      <c r="S48" s="1067">
        <v>13</v>
      </c>
    </row>
    <row r="49" spans="1:19" x14ac:dyDescent="0.25">
      <c r="A49" s="1067" t="s">
        <v>203</v>
      </c>
      <c r="B49" s="1067" t="s">
        <v>289</v>
      </c>
      <c r="C49" s="1067" t="s">
        <v>44</v>
      </c>
      <c r="D49" s="1067">
        <v>276</v>
      </c>
      <c r="E49" s="1067">
        <v>83</v>
      </c>
      <c r="F49" s="1067">
        <v>5</v>
      </c>
      <c r="G49" s="1067"/>
      <c r="H49" s="1067">
        <v>59</v>
      </c>
      <c r="I49" s="1067">
        <v>12</v>
      </c>
      <c r="J49" s="1067">
        <v>10</v>
      </c>
      <c r="K49" s="1067">
        <v>92</v>
      </c>
      <c r="L49" s="1067">
        <v>5</v>
      </c>
      <c r="M49" s="1067"/>
      <c r="N49" s="1067"/>
      <c r="O49" s="1067">
        <v>5</v>
      </c>
      <c r="P49" s="1067">
        <v>2</v>
      </c>
      <c r="Q49" s="1067"/>
      <c r="R49" s="1067"/>
      <c r="S49" s="1067">
        <v>3</v>
      </c>
    </row>
    <row r="50" spans="1:19" x14ac:dyDescent="0.25">
      <c r="A50" s="1067" t="s">
        <v>203</v>
      </c>
      <c r="B50" s="1067" t="s">
        <v>290</v>
      </c>
      <c r="C50" s="1067" t="s">
        <v>45</v>
      </c>
      <c r="D50" s="1067">
        <v>147</v>
      </c>
      <c r="E50" s="1067">
        <v>40</v>
      </c>
      <c r="F50" s="1067">
        <v>7</v>
      </c>
      <c r="G50" s="1067">
        <v>1</v>
      </c>
      <c r="H50" s="1067">
        <v>9</v>
      </c>
      <c r="I50" s="1067">
        <v>2</v>
      </c>
      <c r="J50" s="1067"/>
      <c r="K50" s="1067">
        <v>4</v>
      </c>
      <c r="L50" s="1067">
        <v>7</v>
      </c>
      <c r="M50" s="1067">
        <v>24</v>
      </c>
      <c r="N50" s="1067">
        <v>9</v>
      </c>
      <c r="O50" s="1067"/>
      <c r="P50" s="1067">
        <v>7</v>
      </c>
      <c r="Q50" s="1067">
        <v>3</v>
      </c>
      <c r="R50" s="1067">
        <v>13</v>
      </c>
      <c r="S50" s="1067">
        <v>21</v>
      </c>
    </row>
    <row r="51" spans="1:19" x14ac:dyDescent="0.25">
      <c r="A51" s="1067" t="s">
        <v>203</v>
      </c>
      <c r="B51" s="1067" t="s">
        <v>291</v>
      </c>
      <c r="C51" s="1067" t="s">
        <v>46</v>
      </c>
      <c r="D51" s="1067">
        <v>126</v>
      </c>
      <c r="E51" s="1067">
        <v>18</v>
      </c>
      <c r="F51" s="1067">
        <v>1</v>
      </c>
      <c r="G51" s="1067">
        <v>1</v>
      </c>
      <c r="H51" s="1067">
        <v>35</v>
      </c>
      <c r="I51" s="1067">
        <v>3</v>
      </c>
      <c r="J51" s="1067">
        <v>5</v>
      </c>
      <c r="K51" s="1067">
        <v>2</v>
      </c>
      <c r="L51" s="1067">
        <v>4</v>
      </c>
      <c r="M51" s="1067">
        <v>1</v>
      </c>
      <c r="N51" s="1067"/>
      <c r="O51" s="1067">
        <v>2</v>
      </c>
      <c r="P51" s="1067">
        <v>2</v>
      </c>
      <c r="Q51" s="1067"/>
      <c r="R51" s="1067">
        <v>14</v>
      </c>
      <c r="S51" s="1067">
        <v>38</v>
      </c>
    </row>
    <row r="52" spans="1:19" x14ac:dyDescent="0.25">
      <c r="A52" s="1067" t="s">
        <v>203</v>
      </c>
      <c r="B52" s="1067" t="s">
        <v>292</v>
      </c>
      <c r="C52" s="1067" t="s">
        <v>47</v>
      </c>
      <c r="D52" s="1067">
        <v>114</v>
      </c>
      <c r="E52" s="1067">
        <v>15</v>
      </c>
      <c r="F52" s="1067">
        <v>16</v>
      </c>
      <c r="G52" s="1067"/>
      <c r="H52" s="1067">
        <v>14</v>
      </c>
      <c r="I52" s="1067"/>
      <c r="J52" s="1067"/>
      <c r="K52" s="1067">
        <v>46</v>
      </c>
      <c r="L52" s="1067">
        <v>4</v>
      </c>
      <c r="M52" s="1067">
        <v>3</v>
      </c>
      <c r="N52" s="1067">
        <v>6</v>
      </c>
      <c r="O52" s="1067">
        <v>8</v>
      </c>
      <c r="P52" s="1067"/>
      <c r="Q52" s="1067">
        <v>1</v>
      </c>
      <c r="R52" s="1067"/>
      <c r="S52" s="1067">
        <v>1</v>
      </c>
    </row>
    <row r="53" spans="1:19" x14ac:dyDescent="0.25">
      <c r="A53" s="1067" t="s">
        <v>203</v>
      </c>
      <c r="B53" s="1067" t="s">
        <v>293</v>
      </c>
      <c r="C53" s="1067" t="s">
        <v>49</v>
      </c>
      <c r="D53" s="1067">
        <v>109</v>
      </c>
      <c r="E53" s="1067">
        <v>58</v>
      </c>
      <c r="F53" s="1067">
        <v>1</v>
      </c>
      <c r="G53" s="1067"/>
      <c r="H53" s="1067">
        <v>2</v>
      </c>
      <c r="I53" s="1067">
        <v>7</v>
      </c>
      <c r="J53" s="1067">
        <v>1</v>
      </c>
      <c r="K53" s="1067">
        <v>6</v>
      </c>
      <c r="L53" s="1067">
        <v>1</v>
      </c>
      <c r="M53" s="1067">
        <v>6</v>
      </c>
      <c r="N53" s="1067">
        <v>9</v>
      </c>
      <c r="O53" s="1067">
        <v>1</v>
      </c>
      <c r="P53" s="1067">
        <v>3</v>
      </c>
      <c r="Q53" s="1067">
        <v>1</v>
      </c>
      <c r="R53" s="1067">
        <v>2</v>
      </c>
      <c r="S53" s="1067">
        <v>11</v>
      </c>
    </row>
    <row r="54" spans="1:19" x14ac:dyDescent="0.25">
      <c r="A54" s="1067" t="s">
        <v>203</v>
      </c>
      <c r="B54" s="1067" t="s">
        <v>294</v>
      </c>
      <c r="C54" s="1067" t="s">
        <v>51</v>
      </c>
      <c r="D54" s="1067">
        <v>16</v>
      </c>
      <c r="E54" s="1067">
        <v>10</v>
      </c>
      <c r="F54" s="1067"/>
      <c r="G54" s="1067"/>
      <c r="H54" s="1067">
        <v>1</v>
      </c>
      <c r="I54" s="1067">
        <v>1</v>
      </c>
      <c r="J54" s="1067"/>
      <c r="K54" s="1067">
        <v>4</v>
      </c>
      <c r="L54" s="1067"/>
      <c r="M54" s="1067"/>
      <c r="N54" s="1067"/>
      <c r="O54" s="1067"/>
      <c r="P54" s="1067"/>
      <c r="Q54" s="1067"/>
      <c r="R54" s="1067"/>
      <c r="S54" s="1067"/>
    </row>
    <row r="55" spans="1:19" x14ac:dyDescent="0.25">
      <c r="A55" s="1067" t="s">
        <v>203</v>
      </c>
      <c r="B55" s="1067" t="s">
        <v>295</v>
      </c>
      <c r="C55" s="1067" t="s">
        <v>52</v>
      </c>
      <c r="D55" s="1067">
        <v>247</v>
      </c>
      <c r="E55" s="1067">
        <v>85</v>
      </c>
      <c r="F55" s="1067">
        <v>3</v>
      </c>
      <c r="G55" s="1067"/>
      <c r="H55" s="1067">
        <v>32</v>
      </c>
      <c r="I55" s="1067">
        <v>49</v>
      </c>
      <c r="J55" s="1067">
        <v>1</v>
      </c>
      <c r="K55" s="1067">
        <v>18</v>
      </c>
      <c r="L55" s="1067">
        <v>4</v>
      </c>
      <c r="M55" s="1067">
        <v>11</v>
      </c>
      <c r="N55" s="1067">
        <v>4</v>
      </c>
      <c r="O55" s="1067">
        <v>30</v>
      </c>
      <c r="P55" s="1067">
        <v>1</v>
      </c>
      <c r="Q55" s="1067">
        <v>1</v>
      </c>
      <c r="R55" s="1067">
        <v>3</v>
      </c>
      <c r="S55" s="1067">
        <v>5</v>
      </c>
    </row>
    <row r="56" spans="1:19" x14ac:dyDescent="0.25">
      <c r="A56" s="1067" t="s">
        <v>203</v>
      </c>
      <c r="B56" s="1067" t="s">
        <v>296</v>
      </c>
      <c r="C56" s="1067" t="s">
        <v>54</v>
      </c>
      <c r="D56" s="1067">
        <v>381</v>
      </c>
      <c r="E56" s="1067">
        <v>34</v>
      </c>
      <c r="F56" s="1067">
        <v>7</v>
      </c>
      <c r="G56" s="1067"/>
      <c r="H56" s="1067">
        <v>22</v>
      </c>
      <c r="I56" s="1067">
        <v>17</v>
      </c>
      <c r="J56" s="1067">
        <v>2</v>
      </c>
      <c r="K56" s="1067">
        <v>85</v>
      </c>
      <c r="L56" s="1067">
        <v>21</v>
      </c>
      <c r="M56" s="1067">
        <v>7</v>
      </c>
      <c r="N56" s="1067">
        <v>11</v>
      </c>
      <c r="O56" s="1067">
        <v>41</v>
      </c>
      <c r="P56" s="1067">
        <v>7</v>
      </c>
      <c r="Q56" s="1067">
        <v>2</v>
      </c>
      <c r="R56" s="1067">
        <v>8</v>
      </c>
      <c r="S56" s="1067">
        <v>117</v>
      </c>
    </row>
    <row r="57" spans="1:19" x14ac:dyDescent="0.25">
      <c r="A57" s="1067" t="s">
        <v>203</v>
      </c>
      <c r="B57" s="1067" t="s">
        <v>297</v>
      </c>
      <c r="C57" s="1067" t="s">
        <v>55</v>
      </c>
      <c r="D57" s="1067">
        <v>32</v>
      </c>
      <c r="E57" s="1067">
        <v>14</v>
      </c>
      <c r="F57" s="1067"/>
      <c r="G57" s="1067"/>
      <c r="H57" s="1067">
        <v>6</v>
      </c>
      <c r="I57" s="1067">
        <v>1</v>
      </c>
      <c r="J57" s="1067">
        <v>2</v>
      </c>
      <c r="K57" s="1067">
        <v>8</v>
      </c>
      <c r="L57" s="1067"/>
      <c r="M57" s="1067">
        <v>1</v>
      </c>
      <c r="N57" s="1067"/>
      <c r="O57" s="1067"/>
      <c r="P57" s="1067"/>
      <c r="Q57" s="1067"/>
      <c r="R57" s="1067"/>
      <c r="S57" s="1067"/>
    </row>
    <row r="58" spans="1:19" x14ac:dyDescent="0.25">
      <c r="A58" s="1067" t="s">
        <v>203</v>
      </c>
      <c r="B58" s="1067" t="s">
        <v>298</v>
      </c>
      <c r="C58" s="1067" t="s">
        <v>56</v>
      </c>
      <c r="D58" s="1067">
        <v>247</v>
      </c>
      <c r="E58" s="1067">
        <v>46</v>
      </c>
      <c r="F58" s="1067">
        <v>20</v>
      </c>
      <c r="G58" s="1067">
        <v>1</v>
      </c>
      <c r="H58" s="1067">
        <v>23</v>
      </c>
      <c r="I58" s="1067">
        <v>3</v>
      </c>
      <c r="J58" s="1067">
        <v>5</v>
      </c>
      <c r="K58" s="1067">
        <v>39</v>
      </c>
      <c r="L58" s="1067">
        <v>16</v>
      </c>
      <c r="M58" s="1067">
        <v>15</v>
      </c>
      <c r="N58" s="1067">
        <v>8</v>
      </c>
      <c r="O58" s="1067">
        <v>14</v>
      </c>
      <c r="P58" s="1067">
        <v>10</v>
      </c>
      <c r="Q58" s="1067">
        <v>1</v>
      </c>
      <c r="R58" s="1067">
        <v>10</v>
      </c>
      <c r="S58" s="1067">
        <v>36</v>
      </c>
    </row>
    <row r="59" spans="1:19" x14ac:dyDescent="0.25">
      <c r="A59" s="1067" t="s">
        <v>203</v>
      </c>
      <c r="B59" s="1067" t="s">
        <v>299</v>
      </c>
      <c r="C59" s="1067" t="s">
        <v>57</v>
      </c>
      <c r="D59" s="1067">
        <v>286</v>
      </c>
      <c r="E59" s="1067">
        <v>110</v>
      </c>
      <c r="F59" s="1067">
        <v>5</v>
      </c>
      <c r="G59" s="1067"/>
      <c r="H59" s="1067">
        <v>69</v>
      </c>
      <c r="I59" s="1067">
        <v>10</v>
      </c>
      <c r="J59" s="1067"/>
      <c r="K59" s="1067">
        <v>36</v>
      </c>
      <c r="L59" s="1067">
        <v>12</v>
      </c>
      <c r="M59" s="1067">
        <v>7</v>
      </c>
      <c r="N59" s="1067">
        <v>9</v>
      </c>
      <c r="O59" s="1067">
        <v>3</v>
      </c>
      <c r="P59" s="1067">
        <v>2</v>
      </c>
      <c r="Q59" s="1067">
        <v>1</v>
      </c>
      <c r="R59" s="1067">
        <v>7</v>
      </c>
      <c r="S59" s="1067">
        <v>15</v>
      </c>
    </row>
    <row r="60" spans="1:19" x14ac:dyDescent="0.25">
      <c r="A60" s="1067" t="s">
        <v>203</v>
      </c>
      <c r="B60" s="1067" t="s">
        <v>300</v>
      </c>
      <c r="C60" s="1067" t="s">
        <v>58</v>
      </c>
      <c r="D60" s="1067">
        <v>217</v>
      </c>
      <c r="E60" s="1067">
        <v>39</v>
      </c>
      <c r="F60" s="1067">
        <v>1</v>
      </c>
      <c r="G60" s="1067"/>
      <c r="H60" s="1067">
        <v>105</v>
      </c>
      <c r="I60" s="1067">
        <v>1</v>
      </c>
      <c r="J60" s="1067">
        <v>3</v>
      </c>
      <c r="K60" s="1067">
        <v>43</v>
      </c>
      <c r="L60" s="1067">
        <v>2</v>
      </c>
      <c r="M60" s="1067">
        <v>2</v>
      </c>
      <c r="N60" s="1067"/>
      <c r="O60" s="1067">
        <v>19</v>
      </c>
      <c r="P60" s="1067"/>
      <c r="Q60" s="1067">
        <v>1</v>
      </c>
      <c r="R60" s="1067">
        <v>1</v>
      </c>
      <c r="S60" s="1067"/>
    </row>
    <row r="61" spans="1:19" x14ac:dyDescent="0.25">
      <c r="A61" s="1067" t="s">
        <v>203</v>
      </c>
      <c r="B61" s="1067" t="s">
        <v>301</v>
      </c>
      <c r="C61" s="1067" t="s">
        <v>31</v>
      </c>
      <c r="D61" s="1067">
        <v>369</v>
      </c>
      <c r="E61" s="1067">
        <v>71</v>
      </c>
      <c r="F61" s="1067">
        <v>1</v>
      </c>
      <c r="G61" s="1067">
        <v>4</v>
      </c>
      <c r="H61" s="1067">
        <v>164</v>
      </c>
      <c r="I61" s="1067">
        <v>4</v>
      </c>
      <c r="J61" s="1067">
        <v>2</v>
      </c>
      <c r="K61" s="1067">
        <v>72</v>
      </c>
      <c r="L61" s="1067">
        <v>27</v>
      </c>
      <c r="M61" s="1067">
        <v>2</v>
      </c>
      <c r="N61" s="1067">
        <v>6</v>
      </c>
      <c r="O61" s="1067">
        <v>3</v>
      </c>
      <c r="P61" s="1067">
        <v>6</v>
      </c>
      <c r="Q61" s="1067"/>
      <c r="R61" s="1067">
        <v>1</v>
      </c>
      <c r="S61" s="1067">
        <v>6</v>
      </c>
    </row>
    <row r="62" spans="1:19" x14ac:dyDescent="0.25">
      <c r="A62" s="1067" t="s">
        <v>203</v>
      </c>
      <c r="B62" s="1067" t="s">
        <v>302</v>
      </c>
      <c r="C62" s="1067" t="s">
        <v>32</v>
      </c>
      <c r="D62" s="1067">
        <v>267</v>
      </c>
      <c r="E62" s="1067">
        <v>79</v>
      </c>
      <c r="F62" s="1067">
        <v>2</v>
      </c>
      <c r="G62" s="1067"/>
      <c r="H62" s="1067">
        <v>48</v>
      </c>
      <c r="I62" s="1067">
        <v>11</v>
      </c>
      <c r="J62" s="1067"/>
      <c r="K62" s="1067">
        <v>59</v>
      </c>
      <c r="L62" s="1067">
        <v>14</v>
      </c>
      <c r="M62" s="1067">
        <v>6</v>
      </c>
      <c r="N62" s="1067">
        <v>1</v>
      </c>
      <c r="O62" s="1067">
        <v>28</v>
      </c>
      <c r="P62" s="1067">
        <v>2</v>
      </c>
      <c r="Q62" s="1067"/>
      <c r="R62" s="1067">
        <v>16</v>
      </c>
      <c r="S62" s="1067">
        <v>1</v>
      </c>
    </row>
    <row r="63" spans="1:19" x14ac:dyDescent="0.25">
      <c r="A63" s="1067" t="s">
        <v>203</v>
      </c>
      <c r="B63" s="1067" t="s">
        <v>303</v>
      </c>
      <c r="C63" s="1067" t="s">
        <v>34</v>
      </c>
      <c r="D63" s="1067">
        <v>253</v>
      </c>
      <c r="E63" s="1067">
        <v>27</v>
      </c>
      <c r="F63" s="1067">
        <v>3</v>
      </c>
      <c r="G63" s="1067">
        <v>2</v>
      </c>
      <c r="H63" s="1067">
        <v>2</v>
      </c>
      <c r="I63" s="1067">
        <v>5</v>
      </c>
      <c r="J63" s="1067">
        <v>5</v>
      </c>
      <c r="K63" s="1067">
        <v>101</v>
      </c>
      <c r="L63" s="1067">
        <v>9</v>
      </c>
      <c r="M63" s="1067">
        <v>4</v>
      </c>
      <c r="N63" s="1067">
        <v>2</v>
      </c>
      <c r="O63" s="1067">
        <v>24</v>
      </c>
      <c r="P63" s="1067">
        <v>18</v>
      </c>
      <c r="Q63" s="1067">
        <v>2</v>
      </c>
      <c r="R63" s="1067">
        <v>36</v>
      </c>
      <c r="S63" s="1067">
        <v>13</v>
      </c>
    </row>
    <row r="64" spans="1:19" x14ac:dyDescent="0.25">
      <c r="A64" s="1067" t="s">
        <v>203</v>
      </c>
      <c r="B64" s="1067" t="s">
        <v>304</v>
      </c>
      <c r="C64" s="1067" t="s">
        <v>258</v>
      </c>
      <c r="D64" s="1067">
        <v>956</v>
      </c>
      <c r="E64" s="1067">
        <v>127</v>
      </c>
      <c r="F64" s="1067">
        <v>15</v>
      </c>
      <c r="G64" s="1067">
        <v>3</v>
      </c>
      <c r="H64" s="1067">
        <v>134</v>
      </c>
      <c r="I64" s="1067">
        <v>40</v>
      </c>
      <c r="J64" s="1067">
        <v>69</v>
      </c>
      <c r="K64" s="1067">
        <v>105</v>
      </c>
      <c r="L64" s="1067">
        <v>127</v>
      </c>
      <c r="M64" s="1067">
        <v>43</v>
      </c>
      <c r="N64" s="1067">
        <v>108</v>
      </c>
      <c r="O64" s="1067">
        <v>42</v>
      </c>
      <c r="P64" s="1067">
        <v>19</v>
      </c>
      <c r="Q64" s="1067">
        <v>7</v>
      </c>
      <c r="R64" s="1067">
        <v>28</v>
      </c>
      <c r="S64" s="1067">
        <v>89</v>
      </c>
    </row>
    <row r="65" spans="1:19" x14ac:dyDescent="0.25">
      <c r="A65" s="1067" t="s">
        <v>203</v>
      </c>
      <c r="B65" s="1067" t="s">
        <v>305</v>
      </c>
      <c r="C65" s="1067" t="s">
        <v>53</v>
      </c>
      <c r="D65" s="1067">
        <v>215</v>
      </c>
      <c r="E65" s="1067">
        <v>51</v>
      </c>
      <c r="F65" s="1067">
        <v>10</v>
      </c>
      <c r="G65" s="1067"/>
      <c r="H65" s="1067">
        <v>16</v>
      </c>
      <c r="I65" s="1067">
        <v>1</v>
      </c>
      <c r="J65" s="1067"/>
      <c r="K65" s="1067">
        <v>21</v>
      </c>
      <c r="L65" s="1067">
        <v>31</v>
      </c>
      <c r="M65" s="1067">
        <v>17</v>
      </c>
      <c r="N65" s="1067">
        <v>10</v>
      </c>
      <c r="O65" s="1067"/>
      <c r="P65" s="1067">
        <v>9</v>
      </c>
      <c r="Q65" s="1067"/>
      <c r="R65" s="1067">
        <v>12</v>
      </c>
      <c r="S65" s="1067">
        <v>37</v>
      </c>
    </row>
    <row r="66" spans="1:19" x14ac:dyDescent="0.25">
      <c r="A66" s="1067" t="s">
        <v>203</v>
      </c>
      <c r="B66" s="1067" t="s">
        <v>306</v>
      </c>
      <c r="C66" s="1067" t="s">
        <v>59</v>
      </c>
      <c r="D66" s="1067">
        <v>176</v>
      </c>
      <c r="E66" s="1067">
        <v>15</v>
      </c>
      <c r="F66" s="1067">
        <v>104</v>
      </c>
      <c r="G66" s="1067"/>
      <c r="H66" s="1067">
        <v>9</v>
      </c>
      <c r="I66" s="1067">
        <v>2</v>
      </c>
      <c r="J66" s="1067"/>
      <c r="K66" s="1067">
        <v>17</v>
      </c>
      <c r="L66" s="1067">
        <v>2</v>
      </c>
      <c r="M66" s="1067">
        <v>7</v>
      </c>
      <c r="N66" s="1067">
        <v>5</v>
      </c>
      <c r="O66" s="1067">
        <v>1</v>
      </c>
      <c r="P66" s="1067">
        <v>4</v>
      </c>
      <c r="Q66" s="1067">
        <v>1</v>
      </c>
      <c r="R66" s="1067">
        <v>3</v>
      </c>
      <c r="S66" s="1067">
        <v>6</v>
      </c>
    </row>
    <row r="67" spans="1:19" x14ac:dyDescent="0.25">
      <c r="A67" s="1067" t="s">
        <v>203</v>
      </c>
      <c r="B67" s="1067" t="s">
        <v>307</v>
      </c>
      <c r="C67" s="1067" t="s">
        <v>60</v>
      </c>
      <c r="D67" s="1067">
        <v>238</v>
      </c>
      <c r="E67" s="1067">
        <v>45</v>
      </c>
      <c r="F67" s="1067">
        <v>29</v>
      </c>
      <c r="G67" s="1067"/>
      <c r="H67" s="1067">
        <v>13</v>
      </c>
      <c r="I67" s="1067">
        <v>9</v>
      </c>
      <c r="J67" s="1067">
        <v>4</v>
      </c>
      <c r="K67" s="1067">
        <v>5</v>
      </c>
      <c r="L67" s="1067">
        <v>34</v>
      </c>
      <c r="M67" s="1067">
        <v>13</v>
      </c>
      <c r="N67" s="1067">
        <v>15</v>
      </c>
      <c r="O67" s="1067">
        <v>1</v>
      </c>
      <c r="P67" s="1067">
        <v>3</v>
      </c>
      <c r="Q67" s="1067">
        <v>16</v>
      </c>
      <c r="R67" s="1067">
        <v>21</v>
      </c>
      <c r="S67" s="1067">
        <v>30</v>
      </c>
    </row>
    <row r="68" spans="1:19" x14ac:dyDescent="0.25">
      <c r="A68" s="1067" t="s">
        <v>203</v>
      </c>
      <c r="B68" s="1067" t="s">
        <v>308</v>
      </c>
      <c r="C68" s="1067" t="s">
        <v>33</v>
      </c>
      <c r="D68" s="1067">
        <v>206</v>
      </c>
      <c r="E68" s="1067">
        <v>38</v>
      </c>
      <c r="F68" s="1067">
        <v>25</v>
      </c>
      <c r="G68" s="1067"/>
      <c r="H68" s="1067">
        <v>6</v>
      </c>
      <c r="I68" s="1067">
        <v>13</v>
      </c>
      <c r="J68" s="1067">
        <v>1</v>
      </c>
      <c r="K68" s="1067">
        <v>27</v>
      </c>
      <c r="L68" s="1067">
        <v>34</v>
      </c>
      <c r="M68" s="1067">
        <v>13</v>
      </c>
      <c r="N68" s="1067">
        <v>20</v>
      </c>
      <c r="O68" s="1067">
        <v>9</v>
      </c>
      <c r="P68" s="1067">
        <v>9</v>
      </c>
      <c r="Q68" s="1067">
        <v>2</v>
      </c>
      <c r="R68" s="1067">
        <v>4</v>
      </c>
      <c r="S68" s="1067">
        <v>5</v>
      </c>
    </row>
    <row r="69" spans="1:19" x14ac:dyDescent="0.25">
      <c r="A69" s="1067" t="s">
        <v>203</v>
      </c>
      <c r="B69" s="1067" t="s">
        <v>309</v>
      </c>
      <c r="C69" s="1067" t="s">
        <v>37</v>
      </c>
      <c r="D69" s="1067">
        <v>460</v>
      </c>
      <c r="E69" s="1067">
        <v>40</v>
      </c>
      <c r="F69" s="1067"/>
      <c r="G69" s="1067"/>
      <c r="H69" s="1067">
        <v>315</v>
      </c>
      <c r="I69" s="1067">
        <v>37</v>
      </c>
      <c r="J69" s="1067">
        <v>1</v>
      </c>
      <c r="K69" s="1067">
        <v>34</v>
      </c>
      <c r="L69" s="1067">
        <v>23</v>
      </c>
      <c r="M69" s="1067">
        <v>1</v>
      </c>
      <c r="N69" s="1067">
        <v>3</v>
      </c>
      <c r="O69" s="1067">
        <v>2</v>
      </c>
      <c r="P69" s="1067"/>
      <c r="Q69" s="1067"/>
      <c r="R69" s="1067">
        <v>1</v>
      </c>
      <c r="S69" s="1067">
        <v>3</v>
      </c>
    </row>
    <row r="70" spans="1:19" x14ac:dyDescent="0.25">
      <c r="A70" s="1067" t="s">
        <v>203</v>
      </c>
      <c r="B70" s="1067" t="s">
        <v>310</v>
      </c>
      <c r="C70" s="1067" t="s">
        <v>50</v>
      </c>
      <c r="D70" s="1067">
        <v>301</v>
      </c>
      <c r="E70" s="1067">
        <v>39</v>
      </c>
      <c r="F70" s="1067">
        <v>26</v>
      </c>
      <c r="G70" s="1067"/>
      <c r="H70" s="1067">
        <v>55</v>
      </c>
      <c r="I70" s="1067">
        <v>7</v>
      </c>
      <c r="J70" s="1067"/>
      <c r="K70" s="1067">
        <v>20</v>
      </c>
      <c r="L70" s="1067">
        <v>35</v>
      </c>
      <c r="M70" s="1067">
        <v>42</v>
      </c>
      <c r="N70" s="1067">
        <v>9</v>
      </c>
      <c r="O70" s="1067">
        <v>2</v>
      </c>
      <c r="P70" s="1067">
        <v>16</v>
      </c>
      <c r="Q70" s="1067">
        <v>5</v>
      </c>
      <c r="R70" s="1067">
        <v>3</v>
      </c>
      <c r="S70" s="1067">
        <v>42</v>
      </c>
    </row>
    <row r="71" spans="1:19" x14ac:dyDescent="0.25">
      <c r="A71" s="1067" t="s">
        <v>203</v>
      </c>
      <c r="B71" s="1067" t="s">
        <v>311</v>
      </c>
      <c r="C71" s="1067" t="s">
        <v>39</v>
      </c>
      <c r="D71" s="1067">
        <v>54</v>
      </c>
      <c r="E71" s="1067">
        <v>18</v>
      </c>
      <c r="F71" s="1067">
        <v>4</v>
      </c>
      <c r="G71" s="1067"/>
      <c r="H71" s="1067">
        <v>1</v>
      </c>
      <c r="I71" s="1067">
        <v>5</v>
      </c>
      <c r="J71" s="1067"/>
      <c r="K71" s="1067">
        <v>5</v>
      </c>
      <c r="L71" s="1067">
        <v>2</v>
      </c>
      <c r="M71" s="1067">
        <v>4</v>
      </c>
      <c r="N71" s="1067">
        <v>2</v>
      </c>
      <c r="O71" s="1067">
        <v>1</v>
      </c>
      <c r="P71" s="1067">
        <v>3</v>
      </c>
      <c r="Q71" s="1067">
        <v>1</v>
      </c>
      <c r="R71" s="1067">
        <v>2</v>
      </c>
      <c r="S71" s="1067">
        <v>6</v>
      </c>
    </row>
    <row r="72" spans="1:19" x14ac:dyDescent="0.25">
      <c r="A72" s="1067" t="s">
        <v>203</v>
      </c>
      <c r="B72" s="1067" t="s">
        <v>312</v>
      </c>
      <c r="C72" s="1067" t="s">
        <v>121</v>
      </c>
      <c r="D72" s="1067">
        <v>1122</v>
      </c>
      <c r="E72" s="1067">
        <v>102</v>
      </c>
      <c r="F72" s="1067">
        <v>54</v>
      </c>
      <c r="G72" s="1067">
        <v>11</v>
      </c>
      <c r="H72" s="1067">
        <v>475</v>
      </c>
      <c r="I72" s="1067">
        <v>41</v>
      </c>
      <c r="J72" s="1067">
        <v>15</v>
      </c>
      <c r="K72" s="1067">
        <v>83</v>
      </c>
      <c r="L72" s="1067">
        <v>98</v>
      </c>
      <c r="M72" s="1067">
        <v>63</v>
      </c>
      <c r="N72" s="1067">
        <v>31</v>
      </c>
      <c r="O72" s="1067">
        <v>1</v>
      </c>
      <c r="P72" s="1067">
        <v>22</v>
      </c>
      <c r="Q72" s="1067">
        <v>6</v>
      </c>
      <c r="R72" s="1067">
        <v>27</v>
      </c>
      <c r="S72" s="1067">
        <v>93</v>
      </c>
    </row>
    <row r="73" spans="1:19" x14ac:dyDescent="0.25">
      <c r="A73" s="1067" t="s">
        <v>202</v>
      </c>
      <c r="B73" s="1067" t="s">
        <v>282</v>
      </c>
      <c r="C73" s="1067" t="s">
        <v>35</v>
      </c>
      <c r="D73" s="1067">
        <v>51</v>
      </c>
      <c r="E73" s="1067">
        <v>22</v>
      </c>
      <c r="F73" s="1067">
        <v>2</v>
      </c>
      <c r="G73" s="1067"/>
      <c r="H73" s="1067">
        <v>3</v>
      </c>
      <c r="I73" s="1067">
        <v>12</v>
      </c>
      <c r="J73" s="1067"/>
      <c r="K73" s="1067">
        <v>2</v>
      </c>
      <c r="L73" s="1067"/>
      <c r="M73" s="1067">
        <v>5</v>
      </c>
      <c r="N73" s="1067">
        <v>2</v>
      </c>
      <c r="O73" s="1067">
        <v>2</v>
      </c>
      <c r="P73" s="1067"/>
      <c r="Q73" s="1067">
        <v>1</v>
      </c>
      <c r="R73" s="1067"/>
      <c r="S73" s="1067"/>
    </row>
    <row r="74" spans="1:19" x14ac:dyDescent="0.25">
      <c r="A74" s="1067" t="s">
        <v>202</v>
      </c>
      <c r="B74" s="1067" t="s">
        <v>283</v>
      </c>
      <c r="C74" s="1067" t="s">
        <v>36</v>
      </c>
      <c r="D74" s="1067">
        <v>296</v>
      </c>
      <c r="E74" s="1067">
        <v>91</v>
      </c>
      <c r="F74" s="1067">
        <v>19</v>
      </c>
      <c r="G74" s="1067">
        <v>1</v>
      </c>
      <c r="H74" s="1067">
        <v>27</v>
      </c>
      <c r="I74" s="1067">
        <v>10</v>
      </c>
      <c r="J74" s="1067">
        <v>3</v>
      </c>
      <c r="K74" s="1067">
        <v>82</v>
      </c>
      <c r="L74" s="1067">
        <v>9</v>
      </c>
      <c r="M74" s="1067">
        <v>7</v>
      </c>
      <c r="N74" s="1067">
        <v>15</v>
      </c>
      <c r="O74" s="1067">
        <v>7</v>
      </c>
      <c r="P74" s="1067">
        <v>3</v>
      </c>
      <c r="Q74" s="1067">
        <v>1</v>
      </c>
      <c r="R74" s="1067">
        <v>11</v>
      </c>
      <c r="S74" s="1067">
        <v>10</v>
      </c>
    </row>
    <row r="75" spans="1:19" x14ac:dyDescent="0.25">
      <c r="A75" s="1067" t="s">
        <v>202</v>
      </c>
      <c r="B75" s="1067" t="s">
        <v>284</v>
      </c>
      <c r="C75" s="1067" t="s">
        <v>38</v>
      </c>
      <c r="D75" s="1067">
        <v>143</v>
      </c>
      <c r="E75" s="1067">
        <v>57</v>
      </c>
      <c r="F75" s="1067">
        <v>3</v>
      </c>
      <c r="G75" s="1067"/>
      <c r="H75" s="1067">
        <v>3</v>
      </c>
      <c r="I75" s="1067">
        <v>8</v>
      </c>
      <c r="J75" s="1067"/>
      <c r="K75" s="1067">
        <v>28</v>
      </c>
      <c r="L75" s="1067">
        <v>6</v>
      </c>
      <c r="M75" s="1067">
        <v>12</v>
      </c>
      <c r="N75" s="1067">
        <v>3</v>
      </c>
      <c r="O75" s="1067">
        <v>2</v>
      </c>
      <c r="P75" s="1067">
        <v>1</v>
      </c>
      <c r="Q75" s="1067">
        <v>1</v>
      </c>
      <c r="R75" s="1067">
        <v>3</v>
      </c>
      <c r="S75" s="1067">
        <v>16</v>
      </c>
    </row>
    <row r="76" spans="1:19" x14ac:dyDescent="0.25">
      <c r="A76" s="1067" t="s">
        <v>202</v>
      </c>
      <c r="B76" s="1067" t="s">
        <v>285</v>
      </c>
      <c r="C76" s="1067" t="s">
        <v>40</v>
      </c>
      <c r="D76" s="1067">
        <v>156</v>
      </c>
      <c r="E76" s="1067">
        <v>27</v>
      </c>
      <c r="F76" s="1067">
        <v>3</v>
      </c>
      <c r="G76" s="1067">
        <v>1</v>
      </c>
      <c r="H76" s="1067">
        <v>13</v>
      </c>
      <c r="I76" s="1067">
        <v>8</v>
      </c>
      <c r="J76" s="1067">
        <v>9</v>
      </c>
      <c r="K76" s="1067">
        <v>32</v>
      </c>
      <c r="L76" s="1067">
        <v>8</v>
      </c>
      <c r="M76" s="1067">
        <v>4</v>
      </c>
      <c r="N76" s="1067">
        <v>7</v>
      </c>
      <c r="O76" s="1067">
        <v>22</v>
      </c>
      <c r="P76" s="1067">
        <v>5</v>
      </c>
      <c r="Q76" s="1067">
        <v>5</v>
      </c>
      <c r="R76" s="1067">
        <v>3</v>
      </c>
      <c r="S76" s="1067">
        <v>9</v>
      </c>
    </row>
    <row r="77" spans="1:19" x14ac:dyDescent="0.25">
      <c r="A77" s="1067" t="s">
        <v>202</v>
      </c>
      <c r="B77" s="1067" t="s">
        <v>286</v>
      </c>
      <c r="C77" s="1067" t="s">
        <v>41</v>
      </c>
      <c r="D77" s="1067">
        <v>57</v>
      </c>
      <c r="E77" s="1067">
        <v>10</v>
      </c>
      <c r="F77" s="1067"/>
      <c r="G77" s="1067">
        <v>1</v>
      </c>
      <c r="H77" s="1067"/>
      <c r="I77" s="1067">
        <v>1</v>
      </c>
      <c r="J77" s="1067"/>
      <c r="K77" s="1067">
        <v>5</v>
      </c>
      <c r="L77" s="1067">
        <v>4</v>
      </c>
      <c r="M77" s="1067">
        <v>9</v>
      </c>
      <c r="N77" s="1067">
        <v>1</v>
      </c>
      <c r="O77" s="1067">
        <v>1</v>
      </c>
      <c r="P77" s="1067">
        <v>3</v>
      </c>
      <c r="Q77" s="1067"/>
      <c r="R77" s="1067">
        <v>4</v>
      </c>
      <c r="S77" s="1067">
        <v>18</v>
      </c>
    </row>
    <row r="78" spans="1:19" x14ac:dyDescent="0.25">
      <c r="A78" s="1067" t="s">
        <v>202</v>
      </c>
      <c r="B78" s="1067" t="s">
        <v>287</v>
      </c>
      <c r="C78" s="1067" t="s">
        <v>48</v>
      </c>
      <c r="D78" s="1067">
        <v>9</v>
      </c>
      <c r="E78" s="1067">
        <v>4</v>
      </c>
      <c r="F78" s="1067"/>
      <c r="G78" s="1067"/>
      <c r="H78" s="1067"/>
      <c r="I78" s="1067">
        <v>1</v>
      </c>
      <c r="J78" s="1067">
        <v>2</v>
      </c>
      <c r="K78" s="1067">
        <v>1</v>
      </c>
      <c r="L78" s="1067"/>
      <c r="M78" s="1067"/>
      <c r="N78" s="1067"/>
      <c r="O78" s="1067"/>
      <c r="P78" s="1067"/>
      <c r="Q78" s="1067"/>
      <c r="R78" s="1067"/>
      <c r="S78" s="1067">
        <v>1</v>
      </c>
    </row>
    <row r="79" spans="1:19" x14ac:dyDescent="0.25">
      <c r="A79" s="1067" t="s">
        <v>202</v>
      </c>
      <c r="B79" s="1067" t="s">
        <v>288</v>
      </c>
      <c r="C79" s="1067" t="s">
        <v>42</v>
      </c>
      <c r="D79" s="1067">
        <v>160</v>
      </c>
      <c r="E79" s="1067">
        <v>45</v>
      </c>
      <c r="F79" s="1067">
        <v>10</v>
      </c>
      <c r="G79" s="1067">
        <v>2</v>
      </c>
      <c r="H79" s="1067">
        <v>8</v>
      </c>
      <c r="I79" s="1067">
        <v>10</v>
      </c>
      <c r="J79" s="1067">
        <v>1</v>
      </c>
      <c r="K79" s="1067">
        <v>18</v>
      </c>
      <c r="L79" s="1067">
        <v>17</v>
      </c>
      <c r="M79" s="1067">
        <v>8</v>
      </c>
      <c r="N79" s="1067">
        <v>7</v>
      </c>
      <c r="O79" s="1067">
        <v>5</v>
      </c>
      <c r="P79" s="1067">
        <v>3</v>
      </c>
      <c r="Q79" s="1067">
        <v>4</v>
      </c>
      <c r="R79" s="1067">
        <v>6</v>
      </c>
      <c r="S79" s="1067">
        <v>16</v>
      </c>
    </row>
    <row r="80" spans="1:19" x14ac:dyDescent="0.25">
      <c r="A80" s="1067" t="s">
        <v>202</v>
      </c>
      <c r="B80" s="1067" t="s">
        <v>430</v>
      </c>
      <c r="C80" s="1067" t="s">
        <v>43</v>
      </c>
      <c r="D80" s="1067">
        <v>618</v>
      </c>
      <c r="E80" s="1067">
        <v>137</v>
      </c>
      <c r="F80" s="1067">
        <v>23</v>
      </c>
      <c r="G80" s="1067">
        <v>2</v>
      </c>
      <c r="H80" s="1067">
        <v>272</v>
      </c>
      <c r="I80" s="1067">
        <v>18</v>
      </c>
      <c r="J80" s="1067">
        <v>1</v>
      </c>
      <c r="K80" s="1067">
        <v>61</v>
      </c>
      <c r="L80" s="1067">
        <v>9</v>
      </c>
      <c r="M80" s="1067">
        <v>12</v>
      </c>
      <c r="N80" s="1067">
        <v>18</v>
      </c>
      <c r="O80" s="1067">
        <v>6</v>
      </c>
      <c r="P80" s="1067">
        <v>12</v>
      </c>
      <c r="Q80" s="1067">
        <v>4</v>
      </c>
      <c r="R80" s="1067">
        <v>12</v>
      </c>
      <c r="S80" s="1067">
        <v>31</v>
      </c>
    </row>
    <row r="81" spans="1:19" x14ac:dyDescent="0.25">
      <c r="A81" s="1067" t="s">
        <v>202</v>
      </c>
      <c r="B81" s="1067" t="s">
        <v>289</v>
      </c>
      <c r="C81" s="1067" t="s">
        <v>44</v>
      </c>
      <c r="D81" s="1067">
        <v>336</v>
      </c>
      <c r="E81" s="1067">
        <v>91</v>
      </c>
      <c r="F81" s="1067">
        <v>2</v>
      </c>
      <c r="G81" s="1067">
        <v>2</v>
      </c>
      <c r="H81" s="1067">
        <v>76</v>
      </c>
      <c r="I81" s="1067">
        <v>17</v>
      </c>
      <c r="J81" s="1067">
        <v>6</v>
      </c>
      <c r="K81" s="1067">
        <v>115</v>
      </c>
      <c r="L81" s="1067">
        <v>8</v>
      </c>
      <c r="M81" s="1067">
        <v>1</v>
      </c>
      <c r="N81" s="1067">
        <v>2</v>
      </c>
      <c r="O81" s="1067">
        <v>7</v>
      </c>
      <c r="P81" s="1067">
        <v>3</v>
      </c>
      <c r="Q81" s="1067">
        <v>1</v>
      </c>
      <c r="R81" s="1067"/>
      <c r="S81" s="1067">
        <v>5</v>
      </c>
    </row>
    <row r="82" spans="1:19" x14ac:dyDescent="0.25">
      <c r="A82" s="1067" t="s">
        <v>202</v>
      </c>
      <c r="B82" s="1067" t="s">
        <v>290</v>
      </c>
      <c r="C82" s="1067" t="s">
        <v>45</v>
      </c>
      <c r="D82" s="1067">
        <v>63</v>
      </c>
      <c r="E82" s="1067">
        <v>21</v>
      </c>
      <c r="F82" s="1067">
        <v>2</v>
      </c>
      <c r="G82" s="1067">
        <v>1</v>
      </c>
      <c r="H82" s="1067">
        <v>6</v>
      </c>
      <c r="I82" s="1067">
        <v>6</v>
      </c>
      <c r="J82" s="1067"/>
      <c r="K82" s="1067"/>
      <c r="L82" s="1067">
        <v>1</v>
      </c>
      <c r="M82" s="1067">
        <v>4</v>
      </c>
      <c r="N82" s="1067">
        <v>5</v>
      </c>
      <c r="O82" s="1067">
        <v>2</v>
      </c>
      <c r="P82" s="1067">
        <v>4</v>
      </c>
      <c r="Q82" s="1067"/>
      <c r="R82" s="1067">
        <v>3</v>
      </c>
      <c r="S82" s="1067">
        <v>8</v>
      </c>
    </row>
    <row r="83" spans="1:19" x14ac:dyDescent="0.25">
      <c r="A83" s="1067" t="s">
        <v>202</v>
      </c>
      <c r="B83" s="1067" t="s">
        <v>291</v>
      </c>
      <c r="C83" s="1067" t="s">
        <v>46</v>
      </c>
      <c r="D83" s="1067">
        <v>98</v>
      </c>
      <c r="E83" s="1067">
        <v>16</v>
      </c>
      <c r="F83" s="1067">
        <v>4</v>
      </c>
      <c r="G83" s="1067"/>
      <c r="H83" s="1067">
        <v>23</v>
      </c>
      <c r="I83" s="1067">
        <v>3</v>
      </c>
      <c r="J83" s="1067">
        <v>3</v>
      </c>
      <c r="K83" s="1067">
        <v>6</v>
      </c>
      <c r="L83" s="1067">
        <v>6</v>
      </c>
      <c r="M83" s="1067">
        <v>1</v>
      </c>
      <c r="N83" s="1067">
        <v>4</v>
      </c>
      <c r="O83" s="1067">
        <v>1</v>
      </c>
      <c r="P83" s="1067">
        <v>2</v>
      </c>
      <c r="Q83" s="1067">
        <v>1</v>
      </c>
      <c r="R83" s="1067">
        <v>12</v>
      </c>
      <c r="S83" s="1067">
        <v>16</v>
      </c>
    </row>
    <row r="84" spans="1:19" x14ac:dyDescent="0.25">
      <c r="A84" s="1067" t="s">
        <v>202</v>
      </c>
      <c r="B84" s="1067" t="s">
        <v>292</v>
      </c>
      <c r="C84" s="1067" t="s">
        <v>47</v>
      </c>
      <c r="D84" s="1067">
        <v>193</v>
      </c>
      <c r="E84" s="1067">
        <v>38</v>
      </c>
      <c r="F84" s="1067">
        <v>43</v>
      </c>
      <c r="G84" s="1067"/>
      <c r="H84" s="1067">
        <v>13</v>
      </c>
      <c r="I84" s="1067">
        <v>11</v>
      </c>
      <c r="J84" s="1067">
        <v>4</v>
      </c>
      <c r="K84" s="1067">
        <v>38</v>
      </c>
      <c r="L84" s="1067">
        <v>2</v>
      </c>
      <c r="M84" s="1067">
        <v>7</v>
      </c>
      <c r="N84" s="1067">
        <v>3</v>
      </c>
      <c r="O84" s="1067">
        <v>28</v>
      </c>
      <c r="P84" s="1067"/>
      <c r="Q84" s="1067">
        <v>2</v>
      </c>
      <c r="R84" s="1067">
        <v>2</v>
      </c>
      <c r="S84" s="1067">
        <v>2</v>
      </c>
    </row>
    <row r="85" spans="1:19" x14ac:dyDescent="0.25">
      <c r="A85" s="1067" t="s">
        <v>202</v>
      </c>
      <c r="B85" s="1067" t="s">
        <v>293</v>
      </c>
      <c r="C85" s="1067" t="s">
        <v>49</v>
      </c>
      <c r="D85" s="1067">
        <v>263</v>
      </c>
      <c r="E85" s="1067">
        <v>72</v>
      </c>
      <c r="F85" s="1067">
        <v>34</v>
      </c>
      <c r="G85" s="1067"/>
      <c r="H85" s="1067">
        <v>6</v>
      </c>
      <c r="I85" s="1067">
        <v>5</v>
      </c>
      <c r="J85" s="1067">
        <v>4</v>
      </c>
      <c r="K85" s="1067">
        <v>36</v>
      </c>
      <c r="L85" s="1067">
        <v>4</v>
      </c>
      <c r="M85" s="1067">
        <v>4</v>
      </c>
      <c r="N85" s="1067">
        <v>13</v>
      </c>
      <c r="O85" s="1067">
        <v>30</v>
      </c>
      <c r="P85" s="1067">
        <v>10</v>
      </c>
      <c r="Q85" s="1067">
        <v>1</v>
      </c>
      <c r="R85" s="1067">
        <v>5</v>
      </c>
      <c r="S85" s="1067">
        <v>39</v>
      </c>
    </row>
    <row r="86" spans="1:19" x14ac:dyDescent="0.25">
      <c r="A86" s="1067" t="s">
        <v>202</v>
      </c>
      <c r="B86" s="1067" t="s">
        <v>294</v>
      </c>
      <c r="C86" s="1067" t="s">
        <v>51</v>
      </c>
      <c r="D86" s="1067">
        <v>32</v>
      </c>
      <c r="E86" s="1067">
        <v>14</v>
      </c>
      <c r="F86" s="1067"/>
      <c r="G86" s="1067"/>
      <c r="H86" s="1067">
        <v>6</v>
      </c>
      <c r="I86" s="1067">
        <v>1</v>
      </c>
      <c r="J86" s="1067">
        <v>1</v>
      </c>
      <c r="K86" s="1067">
        <v>9</v>
      </c>
      <c r="L86" s="1067"/>
      <c r="M86" s="1067"/>
      <c r="N86" s="1067"/>
      <c r="O86" s="1067">
        <v>1</v>
      </c>
      <c r="P86" s="1067"/>
      <c r="Q86" s="1067"/>
      <c r="R86" s="1067"/>
      <c r="S86" s="1067"/>
    </row>
    <row r="87" spans="1:19" x14ac:dyDescent="0.25">
      <c r="A87" s="1067" t="s">
        <v>202</v>
      </c>
      <c r="B87" s="1067" t="s">
        <v>295</v>
      </c>
      <c r="C87" s="1067" t="s">
        <v>52</v>
      </c>
      <c r="D87" s="1067">
        <v>270</v>
      </c>
      <c r="E87" s="1067">
        <v>88</v>
      </c>
      <c r="F87" s="1067">
        <v>6</v>
      </c>
      <c r="G87" s="1067"/>
      <c r="H87" s="1067">
        <v>38</v>
      </c>
      <c r="I87" s="1067">
        <v>65</v>
      </c>
      <c r="J87" s="1067"/>
      <c r="K87" s="1067">
        <v>11</v>
      </c>
      <c r="L87" s="1067">
        <v>13</v>
      </c>
      <c r="M87" s="1067">
        <v>3</v>
      </c>
      <c r="N87" s="1067">
        <v>13</v>
      </c>
      <c r="O87" s="1067">
        <v>27</v>
      </c>
      <c r="P87" s="1067">
        <v>3</v>
      </c>
      <c r="Q87" s="1067"/>
      <c r="R87" s="1067">
        <v>2</v>
      </c>
      <c r="S87" s="1067">
        <v>1</v>
      </c>
    </row>
    <row r="88" spans="1:19" x14ac:dyDescent="0.25">
      <c r="A88" s="1067" t="s">
        <v>202</v>
      </c>
      <c r="B88" s="1067" t="s">
        <v>296</v>
      </c>
      <c r="C88" s="1067" t="s">
        <v>54</v>
      </c>
      <c r="D88" s="1067">
        <v>290</v>
      </c>
      <c r="E88" s="1067">
        <v>39</v>
      </c>
      <c r="F88" s="1067">
        <v>10</v>
      </c>
      <c r="G88" s="1067"/>
      <c r="H88" s="1067">
        <v>37</v>
      </c>
      <c r="I88" s="1067">
        <v>16</v>
      </c>
      <c r="J88" s="1067">
        <v>1</v>
      </c>
      <c r="K88" s="1067">
        <v>55</v>
      </c>
      <c r="L88" s="1067">
        <v>20</v>
      </c>
      <c r="M88" s="1067">
        <v>13</v>
      </c>
      <c r="N88" s="1067">
        <v>12</v>
      </c>
      <c r="O88" s="1067">
        <v>35</v>
      </c>
      <c r="P88" s="1067">
        <v>10</v>
      </c>
      <c r="Q88" s="1067">
        <v>6</v>
      </c>
      <c r="R88" s="1067">
        <v>16</v>
      </c>
      <c r="S88" s="1067">
        <v>20</v>
      </c>
    </row>
    <row r="89" spans="1:19" x14ac:dyDescent="0.25">
      <c r="A89" s="1067" t="s">
        <v>202</v>
      </c>
      <c r="B89" s="1067" t="s">
        <v>297</v>
      </c>
      <c r="C89" s="1067" t="s">
        <v>55</v>
      </c>
      <c r="D89" s="1067">
        <v>24</v>
      </c>
      <c r="E89" s="1067">
        <v>10</v>
      </c>
      <c r="F89" s="1067"/>
      <c r="G89" s="1067"/>
      <c r="H89" s="1067">
        <v>6</v>
      </c>
      <c r="I89" s="1067"/>
      <c r="J89" s="1067">
        <v>1</v>
      </c>
      <c r="K89" s="1067">
        <v>4</v>
      </c>
      <c r="L89" s="1067">
        <v>1</v>
      </c>
      <c r="M89" s="1067"/>
      <c r="N89" s="1067">
        <v>1</v>
      </c>
      <c r="O89" s="1067">
        <v>1</v>
      </c>
      <c r="P89" s="1067"/>
      <c r="Q89" s="1067"/>
      <c r="R89" s="1067"/>
      <c r="S89" s="1067"/>
    </row>
    <row r="90" spans="1:19" x14ac:dyDescent="0.25">
      <c r="A90" s="1067" t="s">
        <v>202</v>
      </c>
      <c r="B90" s="1067" t="s">
        <v>298</v>
      </c>
      <c r="C90" s="1067" t="s">
        <v>56</v>
      </c>
      <c r="D90" s="1067">
        <v>288</v>
      </c>
      <c r="E90" s="1067">
        <v>58</v>
      </c>
      <c r="F90" s="1067">
        <v>45</v>
      </c>
      <c r="G90" s="1067"/>
      <c r="H90" s="1067">
        <v>29</v>
      </c>
      <c r="I90" s="1067">
        <v>19</v>
      </c>
      <c r="J90" s="1067">
        <v>3</v>
      </c>
      <c r="K90" s="1067">
        <v>48</v>
      </c>
      <c r="L90" s="1067">
        <v>15</v>
      </c>
      <c r="M90" s="1067">
        <v>9</v>
      </c>
      <c r="N90" s="1067">
        <v>9</v>
      </c>
      <c r="O90" s="1067">
        <v>15</v>
      </c>
      <c r="P90" s="1067">
        <v>8</v>
      </c>
      <c r="Q90" s="1067"/>
      <c r="R90" s="1067">
        <v>4</v>
      </c>
      <c r="S90" s="1067">
        <v>26</v>
      </c>
    </row>
    <row r="91" spans="1:19" x14ac:dyDescent="0.25">
      <c r="A91" s="1067" t="s">
        <v>202</v>
      </c>
      <c r="B91" s="1067" t="s">
        <v>299</v>
      </c>
      <c r="C91" s="1067" t="s">
        <v>57</v>
      </c>
      <c r="D91" s="1067">
        <v>250</v>
      </c>
      <c r="E91" s="1067">
        <v>102</v>
      </c>
      <c r="F91" s="1067">
        <v>4</v>
      </c>
      <c r="G91" s="1067"/>
      <c r="H91" s="1067">
        <v>59</v>
      </c>
      <c r="I91" s="1067">
        <v>15</v>
      </c>
      <c r="J91" s="1067"/>
      <c r="K91" s="1067">
        <v>25</v>
      </c>
      <c r="L91" s="1067">
        <v>6</v>
      </c>
      <c r="M91" s="1067">
        <v>16</v>
      </c>
      <c r="N91" s="1067">
        <v>8</v>
      </c>
      <c r="O91" s="1067">
        <v>3</v>
      </c>
      <c r="P91" s="1067">
        <v>3</v>
      </c>
      <c r="Q91" s="1067">
        <v>1</v>
      </c>
      <c r="R91" s="1067">
        <v>3</v>
      </c>
      <c r="S91" s="1067">
        <v>5</v>
      </c>
    </row>
    <row r="92" spans="1:19" x14ac:dyDescent="0.25">
      <c r="A92" s="1067" t="s">
        <v>202</v>
      </c>
      <c r="B92" s="1067" t="s">
        <v>300</v>
      </c>
      <c r="C92" s="1067" t="s">
        <v>58</v>
      </c>
      <c r="D92" s="1067">
        <v>340</v>
      </c>
      <c r="E92" s="1067">
        <v>40</v>
      </c>
      <c r="F92" s="1067">
        <v>1</v>
      </c>
      <c r="G92" s="1067"/>
      <c r="H92" s="1067">
        <v>249</v>
      </c>
      <c r="I92" s="1067">
        <v>13</v>
      </c>
      <c r="J92" s="1067">
        <v>3</v>
      </c>
      <c r="K92" s="1067">
        <v>16</v>
      </c>
      <c r="L92" s="1067">
        <v>3</v>
      </c>
      <c r="M92" s="1067">
        <v>1</v>
      </c>
      <c r="N92" s="1067">
        <v>4</v>
      </c>
      <c r="O92" s="1067">
        <v>3</v>
      </c>
      <c r="P92" s="1067">
        <v>3</v>
      </c>
      <c r="Q92" s="1067"/>
      <c r="R92" s="1067">
        <v>3</v>
      </c>
      <c r="S92" s="1067">
        <v>1</v>
      </c>
    </row>
    <row r="93" spans="1:19" x14ac:dyDescent="0.25">
      <c r="A93" s="1067" t="s">
        <v>202</v>
      </c>
      <c r="B93" s="1067" t="s">
        <v>301</v>
      </c>
      <c r="C93" s="1067" t="s">
        <v>31</v>
      </c>
      <c r="D93" s="1067">
        <v>315</v>
      </c>
      <c r="E93" s="1067">
        <v>41</v>
      </c>
      <c r="F93" s="1067"/>
      <c r="G93" s="1067">
        <v>5</v>
      </c>
      <c r="H93" s="1067">
        <v>192</v>
      </c>
      <c r="I93" s="1067">
        <v>23</v>
      </c>
      <c r="J93" s="1067">
        <v>2</v>
      </c>
      <c r="K93" s="1067">
        <v>25</v>
      </c>
      <c r="L93" s="1067">
        <v>10</v>
      </c>
      <c r="M93" s="1067">
        <v>1</v>
      </c>
      <c r="N93" s="1067">
        <v>7</v>
      </c>
      <c r="O93" s="1067">
        <v>2</v>
      </c>
      <c r="P93" s="1067">
        <v>5</v>
      </c>
      <c r="Q93" s="1067"/>
      <c r="R93" s="1067">
        <v>1</v>
      </c>
      <c r="S93" s="1067">
        <v>1</v>
      </c>
    </row>
    <row r="94" spans="1:19" x14ac:dyDescent="0.25">
      <c r="A94" s="1067" t="s">
        <v>202</v>
      </c>
      <c r="B94" s="1067" t="s">
        <v>302</v>
      </c>
      <c r="C94" s="1067" t="s">
        <v>32</v>
      </c>
      <c r="D94" s="1067">
        <v>373</v>
      </c>
      <c r="E94" s="1067">
        <v>109</v>
      </c>
      <c r="F94" s="1067">
        <v>15</v>
      </c>
      <c r="G94" s="1067"/>
      <c r="H94" s="1067">
        <v>44</v>
      </c>
      <c r="I94" s="1067">
        <v>13</v>
      </c>
      <c r="J94" s="1067">
        <v>2</v>
      </c>
      <c r="K94" s="1067">
        <v>106</v>
      </c>
      <c r="L94" s="1067">
        <v>24</v>
      </c>
      <c r="M94" s="1067">
        <v>5</v>
      </c>
      <c r="N94" s="1067">
        <v>8</v>
      </c>
      <c r="O94" s="1067">
        <v>38</v>
      </c>
      <c r="P94" s="1067">
        <v>6</v>
      </c>
      <c r="Q94" s="1067"/>
      <c r="R94" s="1067">
        <v>3</v>
      </c>
      <c r="S94" s="1067"/>
    </row>
    <row r="95" spans="1:19" x14ac:dyDescent="0.25">
      <c r="A95" s="1067" t="s">
        <v>202</v>
      </c>
      <c r="B95" s="1067" t="s">
        <v>303</v>
      </c>
      <c r="C95" s="1067" t="s">
        <v>34</v>
      </c>
      <c r="D95" s="1067">
        <v>341</v>
      </c>
      <c r="E95" s="1067">
        <v>32</v>
      </c>
      <c r="F95" s="1067">
        <v>11</v>
      </c>
      <c r="G95" s="1067">
        <v>1</v>
      </c>
      <c r="H95" s="1067">
        <v>19</v>
      </c>
      <c r="I95" s="1067">
        <v>11</v>
      </c>
      <c r="J95" s="1067">
        <v>12</v>
      </c>
      <c r="K95" s="1067">
        <v>176</v>
      </c>
      <c r="L95" s="1067">
        <v>3</v>
      </c>
      <c r="M95" s="1067">
        <v>6</v>
      </c>
      <c r="N95" s="1067">
        <v>6</v>
      </c>
      <c r="O95" s="1067">
        <v>30</v>
      </c>
      <c r="P95" s="1067">
        <v>4</v>
      </c>
      <c r="Q95" s="1067">
        <v>2</v>
      </c>
      <c r="R95" s="1067">
        <v>10</v>
      </c>
      <c r="S95" s="1067">
        <v>18</v>
      </c>
    </row>
    <row r="96" spans="1:19" x14ac:dyDescent="0.25">
      <c r="A96" s="1067" t="s">
        <v>202</v>
      </c>
      <c r="B96" s="1067" t="s">
        <v>304</v>
      </c>
      <c r="C96" s="1067" t="s">
        <v>258</v>
      </c>
      <c r="D96" s="1067">
        <v>857</v>
      </c>
      <c r="E96" s="1067">
        <v>123</v>
      </c>
      <c r="F96" s="1067">
        <v>7</v>
      </c>
      <c r="G96" s="1067">
        <v>4</v>
      </c>
      <c r="H96" s="1067">
        <v>178</v>
      </c>
      <c r="I96" s="1067">
        <v>35</v>
      </c>
      <c r="J96" s="1067">
        <v>33</v>
      </c>
      <c r="K96" s="1067">
        <v>141</v>
      </c>
      <c r="L96" s="1067">
        <v>80</v>
      </c>
      <c r="M96" s="1067">
        <v>52</v>
      </c>
      <c r="N96" s="1067">
        <v>65</v>
      </c>
      <c r="O96" s="1067">
        <v>29</v>
      </c>
      <c r="P96" s="1067">
        <v>11</v>
      </c>
      <c r="Q96" s="1067">
        <v>5</v>
      </c>
      <c r="R96" s="1067">
        <v>20</v>
      </c>
      <c r="S96" s="1067">
        <v>74</v>
      </c>
    </row>
    <row r="97" spans="1:19" x14ac:dyDescent="0.25">
      <c r="A97" s="1067" t="s">
        <v>202</v>
      </c>
      <c r="B97" s="1067" t="s">
        <v>305</v>
      </c>
      <c r="C97" s="1067" t="s">
        <v>53</v>
      </c>
      <c r="D97" s="1067">
        <v>238</v>
      </c>
      <c r="E97" s="1067">
        <v>45</v>
      </c>
      <c r="F97" s="1067">
        <v>23</v>
      </c>
      <c r="G97" s="1067">
        <v>1</v>
      </c>
      <c r="H97" s="1067">
        <v>70</v>
      </c>
      <c r="I97" s="1067">
        <v>1</v>
      </c>
      <c r="J97" s="1067"/>
      <c r="K97" s="1067">
        <v>27</v>
      </c>
      <c r="L97" s="1067">
        <v>10</v>
      </c>
      <c r="M97" s="1067">
        <v>7</v>
      </c>
      <c r="N97" s="1067">
        <v>7</v>
      </c>
      <c r="O97" s="1067"/>
      <c r="P97" s="1067">
        <v>11</v>
      </c>
      <c r="Q97" s="1067"/>
      <c r="R97" s="1067">
        <v>4</v>
      </c>
      <c r="S97" s="1067">
        <v>32</v>
      </c>
    </row>
    <row r="98" spans="1:19" x14ac:dyDescent="0.25">
      <c r="A98" s="1067" t="s">
        <v>202</v>
      </c>
      <c r="B98" s="1067" t="s">
        <v>306</v>
      </c>
      <c r="C98" s="1067" t="s">
        <v>59</v>
      </c>
      <c r="D98" s="1067">
        <v>220</v>
      </c>
      <c r="E98" s="1067">
        <v>26</v>
      </c>
      <c r="F98" s="1067">
        <v>117</v>
      </c>
      <c r="G98" s="1067">
        <v>1</v>
      </c>
      <c r="H98" s="1067">
        <v>19</v>
      </c>
      <c r="I98" s="1067">
        <v>7</v>
      </c>
      <c r="J98" s="1067"/>
      <c r="K98" s="1067">
        <v>17</v>
      </c>
      <c r="L98" s="1067">
        <v>3</v>
      </c>
      <c r="M98" s="1067">
        <v>9</v>
      </c>
      <c r="N98" s="1067">
        <v>7</v>
      </c>
      <c r="O98" s="1067">
        <v>2</v>
      </c>
      <c r="P98" s="1067"/>
      <c r="Q98" s="1067"/>
      <c r="R98" s="1067">
        <v>5</v>
      </c>
      <c r="S98" s="1067">
        <v>7</v>
      </c>
    </row>
    <row r="99" spans="1:19" x14ac:dyDescent="0.25">
      <c r="A99" s="1067" t="s">
        <v>202</v>
      </c>
      <c r="B99" s="1067" t="s">
        <v>307</v>
      </c>
      <c r="C99" s="1067" t="s">
        <v>60</v>
      </c>
      <c r="D99" s="1067">
        <v>176</v>
      </c>
      <c r="E99" s="1067">
        <v>47</v>
      </c>
      <c r="F99" s="1067">
        <v>25</v>
      </c>
      <c r="G99" s="1067"/>
      <c r="H99" s="1067">
        <v>4</v>
      </c>
      <c r="I99" s="1067">
        <v>7</v>
      </c>
      <c r="J99" s="1067">
        <v>1</v>
      </c>
      <c r="K99" s="1067">
        <v>33</v>
      </c>
      <c r="L99" s="1067">
        <v>8</v>
      </c>
      <c r="M99" s="1067">
        <v>15</v>
      </c>
      <c r="N99" s="1067">
        <v>7</v>
      </c>
      <c r="O99" s="1067">
        <v>13</v>
      </c>
      <c r="P99" s="1067">
        <v>2</v>
      </c>
      <c r="Q99" s="1067">
        <v>2</v>
      </c>
      <c r="R99" s="1067">
        <v>6</v>
      </c>
      <c r="S99" s="1067">
        <v>6</v>
      </c>
    </row>
    <row r="100" spans="1:19" x14ac:dyDescent="0.25">
      <c r="A100" s="1067" t="s">
        <v>202</v>
      </c>
      <c r="B100" s="1067" t="s">
        <v>308</v>
      </c>
      <c r="C100" s="1067" t="s">
        <v>33</v>
      </c>
      <c r="D100" s="1067">
        <v>174</v>
      </c>
      <c r="E100" s="1067">
        <v>36</v>
      </c>
      <c r="F100" s="1067">
        <v>8</v>
      </c>
      <c r="G100" s="1067"/>
      <c r="H100" s="1067">
        <v>4</v>
      </c>
      <c r="I100" s="1067">
        <v>8</v>
      </c>
      <c r="J100" s="1067"/>
      <c r="K100" s="1067">
        <v>12</v>
      </c>
      <c r="L100" s="1067">
        <v>39</v>
      </c>
      <c r="M100" s="1067">
        <v>8</v>
      </c>
      <c r="N100" s="1067">
        <v>19</v>
      </c>
      <c r="O100" s="1067">
        <v>27</v>
      </c>
      <c r="P100" s="1067">
        <v>3</v>
      </c>
      <c r="Q100" s="1067"/>
      <c r="R100" s="1067">
        <v>7</v>
      </c>
      <c r="S100" s="1067">
        <v>3</v>
      </c>
    </row>
    <row r="101" spans="1:19" x14ac:dyDescent="0.25">
      <c r="A101" s="1067" t="s">
        <v>202</v>
      </c>
      <c r="B101" s="1067" t="s">
        <v>309</v>
      </c>
      <c r="C101" s="1067" t="s">
        <v>37</v>
      </c>
      <c r="D101" s="1067">
        <v>598</v>
      </c>
      <c r="E101" s="1067">
        <v>38</v>
      </c>
      <c r="F101" s="1067">
        <v>1</v>
      </c>
      <c r="G101" s="1067"/>
      <c r="H101" s="1067">
        <v>489</v>
      </c>
      <c r="I101" s="1067">
        <v>19</v>
      </c>
      <c r="J101" s="1067"/>
      <c r="K101" s="1067">
        <v>3</v>
      </c>
      <c r="L101" s="1067">
        <v>21</v>
      </c>
      <c r="M101" s="1067">
        <v>1</v>
      </c>
      <c r="N101" s="1067">
        <v>13</v>
      </c>
      <c r="O101" s="1067"/>
      <c r="P101" s="1067">
        <v>3</v>
      </c>
      <c r="Q101" s="1067">
        <v>1</v>
      </c>
      <c r="R101" s="1067">
        <v>2</v>
      </c>
      <c r="S101" s="1067">
        <v>7</v>
      </c>
    </row>
    <row r="102" spans="1:19" x14ac:dyDescent="0.25">
      <c r="A102" s="1067" t="s">
        <v>202</v>
      </c>
      <c r="B102" s="1067" t="s">
        <v>310</v>
      </c>
      <c r="C102" s="1067" t="s">
        <v>50</v>
      </c>
      <c r="D102" s="1067">
        <v>554</v>
      </c>
      <c r="E102" s="1067">
        <v>87</v>
      </c>
      <c r="F102" s="1067">
        <v>36</v>
      </c>
      <c r="G102" s="1067">
        <v>2</v>
      </c>
      <c r="H102" s="1067">
        <v>30</v>
      </c>
      <c r="I102" s="1067">
        <v>12</v>
      </c>
      <c r="J102" s="1067"/>
      <c r="K102" s="1067">
        <v>38</v>
      </c>
      <c r="L102" s="1067">
        <v>23</v>
      </c>
      <c r="M102" s="1067">
        <v>113</v>
      </c>
      <c r="N102" s="1067">
        <v>18</v>
      </c>
      <c r="O102" s="1067">
        <v>5</v>
      </c>
      <c r="P102" s="1067">
        <v>51</v>
      </c>
      <c r="Q102" s="1067">
        <v>6</v>
      </c>
      <c r="R102" s="1067">
        <v>15</v>
      </c>
      <c r="S102" s="1067">
        <v>118</v>
      </c>
    </row>
    <row r="103" spans="1:19" x14ac:dyDescent="0.25">
      <c r="A103" s="1067" t="s">
        <v>202</v>
      </c>
      <c r="B103" s="1067" t="s">
        <v>311</v>
      </c>
      <c r="C103" s="1067" t="s">
        <v>39</v>
      </c>
      <c r="D103" s="1067">
        <v>95</v>
      </c>
      <c r="E103" s="1067">
        <v>29</v>
      </c>
      <c r="F103" s="1067">
        <v>7</v>
      </c>
      <c r="G103" s="1067"/>
      <c r="H103" s="1067">
        <v>24</v>
      </c>
      <c r="I103" s="1067">
        <v>7</v>
      </c>
      <c r="J103" s="1067"/>
      <c r="K103" s="1067">
        <v>5</v>
      </c>
      <c r="L103" s="1067">
        <v>2</v>
      </c>
      <c r="M103" s="1067">
        <v>5</v>
      </c>
      <c r="N103" s="1067">
        <v>3</v>
      </c>
      <c r="O103" s="1067">
        <v>1</v>
      </c>
      <c r="P103" s="1067">
        <v>5</v>
      </c>
      <c r="Q103" s="1067"/>
      <c r="R103" s="1067">
        <v>5</v>
      </c>
      <c r="S103" s="1067">
        <v>2</v>
      </c>
    </row>
    <row r="104" spans="1:19" x14ac:dyDescent="0.25">
      <c r="A104" s="1067" t="s">
        <v>202</v>
      </c>
      <c r="B104" s="1067" t="s">
        <v>312</v>
      </c>
      <c r="C104" s="1067" t="s">
        <v>121</v>
      </c>
      <c r="D104" s="1067">
        <v>1956</v>
      </c>
      <c r="E104" s="1067">
        <v>165</v>
      </c>
      <c r="F104" s="1067">
        <v>24</v>
      </c>
      <c r="G104" s="1067">
        <v>12</v>
      </c>
      <c r="H104" s="1067">
        <v>1115</v>
      </c>
      <c r="I104" s="1067">
        <v>69</v>
      </c>
      <c r="J104" s="1067">
        <v>27</v>
      </c>
      <c r="K104" s="1067">
        <v>88</v>
      </c>
      <c r="L104" s="1067">
        <v>139</v>
      </c>
      <c r="M104" s="1067">
        <v>41</v>
      </c>
      <c r="N104" s="1067">
        <v>33</v>
      </c>
      <c r="O104" s="1067">
        <v>6</v>
      </c>
      <c r="P104" s="1067">
        <v>24</v>
      </c>
      <c r="Q104" s="1067">
        <v>5</v>
      </c>
      <c r="R104" s="1067">
        <v>61</v>
      </c>
      <c r="S104" s="1067">
        <v>147</v>
      </c>
    </row>
    <row r="105" spans="1:19" x14ac:dyDescent="0.25">
      <c r="A105" s="1067" t="s">
        <v>273</v>
      </c>
      <c r="B105" s="1067" t="s">
        <v>282</v>
      </c>
      <c r="C105" s="1067" t="s">
        <v>35</v>
      </c>
      <c r="D105" s="1067">
        <v>68</v>
      </c>
      <c r="E105" s="1067">
        <v>19</v>
      </c>
      <c r="F105" s="1067"/>
      <c r="G105" s="1067"/>
      <c r="H105" s="1067">
        <v>2</v>
      </c>
      <c r="I105" s="1067">
        <v>15</v>
      </c>
      <c r="J105" s="1067">
        <v>2</v>
      </c>
      <c r="K105" s="1067">
        <v>2</v>
      </c>
      <c r="L105" s="1067">
        <v>2</v>
      </c>
      <c r="M105" s="1067">
        <v>6</v>
      </c>
      <c r="N105" s="1067">
        <v>3</v>
      </c>
      <c r="O105" s="1067">
        <v>1</v>
      </c>
      <c r="P105" s="1067"/>
      <c r="Q105" s="1067"/>
      <c r="R105" s="1067">
        <v>10</v>
      </c>
      <c r="S105" s="1067">
        <v>6</v>
      </c>
    </row>
    <row r="106" spans="1:19" x14ac:dyDescent="0.25">
      <c r="A106" s="1067" t="s">
        <v>273</v>
      </c>
      <c r="B106" s="1067" t="s">
        <v>283</v>
      </c>
      <c r="C106" s="1067" t="s">
        <v>36</v>
      </c>
      <c r="D106" s="1067">
        <v>363</v>
      </c>
      <c r="E106" s="1067">
        <v>76</v>
      </c>
      <c r="F106" s="1067">
        <v>22</v>
      </c>
      <c r="G106" s="1067">
        <v>2</v>
      </c>
      <c r="H106" s="1067">
        <v>44</v>
      </c>
      <c r="I106" s="1067">
        <v>11</v>
      </c>
      <c r="J106" s="1067">
        <v>6</v>
      </c>
      <c r="K106" s="1067">
        <v>110</v>
      </c>
      <c r="L106" s="1067">
        <v>5</v>
      </c>
      <c r="M106" s="1067">
        <v>19</v>
      </c>
      <c r="N106" s="1067">
        <v>8</v>
      </c>
      <c r="O106" s="1067">
        <v>10</v>
      </c>
      <c r="P106" s="1067">
        <v>7</v>
      </c>
      <c r="Q106" s="1067">
        <v>7</v>
      </c>
      <c r="R106" s="1067">
        <v>18</v>
      </c>
      <c r="S106" s="1067">
        <v>18</v>
      </c>
    </row>
    <row r="107" spans="1:19" x14ac:dyDescent="0.25">
      <c r="A107" s="1067" t="s">
        <v>273</v>
      </c>
      <c r="B107" s="1067" t="s">
        <v>284</v>
      </c>
      <c r="C107" s="1067" t="s">
        <v>38</v>
      </c>
      <c r="D107" s="1067">
        <v>164</v>
      </c>
      <c r="E107" s="1067">
        <v>46</v>
      </c>
      <c r="F107" s="1067">
        <v>22</v>
      </c>
      <c r="G107" s="1067"/>
      <c r="H107" s="1067">
        <v>9</v>
      </c>
      <c r="I107" s="1067">
        <v>6</v>
      </c>
      <c r="J107" s="1067"/>
      <c r="K107" s="1067">
        <v>24</v>
      </c>
      <c r="L107" s="1067">
        <v>4</v>
      </c>
      <c r="M107" s="1067">
        <v>6</v>
      </c>
      <c r="N107" s="1067">
        <v>7</v>
      </c>
      <c r="O107" s="1067">
        <v>9</v>
      </c>
      <c r="P107" s="1067">
        <v>4</v>
      </c>
      <c r="Q107" s="1067">
        <v>2</v>
      </c>
      <c r="R107" s="1067">
        <v>2</v>
      </c>
      <c r="S107" s="1067">
        <v>23</v>
      </c>
    </row>
    <row r="108" spans="1:19" x14ac:dyDescent="0.25">
      <c r="A108" s="1067" t="s">
        <v>273</v>
      </c>
      <c r="B108" s="1067" t="s">
        <v>285</v>
      </c>
      <c r="C108" s="1067" t="s">
        <v>40</v>
      </c>
      <c r="D108" s="1067">
        <v>139</v>
      </c>
      <c r="E108" s="1067">
        <v>27</v>
      </c>
      <c r="F108" s="1067">
        <v>3</v>
      </c>
      <c r="G108" s="1067"/>
      <c r="H108" s="1067">
        <v>12</v>
      </c>
      <c r="I108" s="1067">
        <v>8</v>
      </c>
      <c r="J108" s="1067">
        <v>9</v>
      </c>
      <c r="K108" s="1067">
        <v>13</v>
      </c>
      <c r="L108" s="1067">
        <v>9</v>
      </c>
      <c r="M108" s="1067">
        <v>8</v>
      </c>
      <c r="N108" s="1067">
        <v>11</v>
      </c>
      <c r="O108" s="1067">
        <v>5</v>
      </c>
      <c r="P108" s="1067">
        <v>5</v>
      </c>
      <c r="Q108" s="1067">
        <v>1</v>
      </c>
      <c r="R108" s="1067">
        <v>20</v>
      </c>
      <c r="S108" s="1067">
        <v>8</v>
      </c>
    </row>
    <row r="109" spans="1:19" x14ac:dyDescent="0.25">
      <c r="A109" s="1067" t="s">
        <v>273</v>
      </c>
      <c r="B109" s="1067" t="s">
        <v>286</v>
      </c>
      <c r="C109" s="1067" t="s">
        <v>41</v>
      </c>
      <c r="D109" s="1067">
        <v>80</v>
      </c>
      <c r="E109" s="1067">
        <v>20</v>
      </c>
      <c r="F109" s="1067"/>
      <c r="G109" s="1067"/>
      <c r="H109" s="1067">
        <v>9</v>
      </c>
      <c r="I109" s="1067">
        <v>1</v>
      </c>
      <c r="J109" s="1067"/>
      <c r="K109" s="1067">
        <v>8</v>
      </c>
      <c r="L109" s="1067">
        <v>4</v>
      </c>
      <c r="M109" s="1067">
        <v>14</v>
      </c>
      <c r="N109" s="1067">
        <v>2</v>
      </c>
      <c r="O109" s="1067">
        <v>4</v>
      </c>
      <c r="P109" s="1067">
        <v>4</v>
      </c>
      <c r="Q109" s="1067">
        <v>2</v>
      </c>
      <c r="R109" s="1067">
        <v>2</v>
      </c>
      <c r="S109" s="1067">
        <v>10</v>
      </c>
    </row>
    <row r="110" spans="1:19" x14ac:dyDescent="0.25">
      <c r="A110" s="1067" t="s">
        <v>273</v>
      </c>
      <c r="B110" s="1067" t="s">
        <v>287</v>
      </c>
      <c r="C110" s="1067" t="s">
        <v>48</v>
      </c>
      <c r="D110" s="1067">
        <v>21</v>
      </c>
      <c r="E110" s="1067">
        <v>7</v>
      </c>
      <c r="F110" s="1067"/>
      <c r="G110" s="1067"/>
      <c r="H110" s="1067">
        <v>2</v>
      </c>
      <c r="I110" s="1067">
        <v>2</v>
      </c>
      <c r="J110" s="1067">
        <v>1</v>
      </c>
      <c r="K110" s="1067">
        <v>8</v>
      </c>
      <c r="L110" s="1067"/>
      <c r="M110" s="1067"/>
      <c r="N110" s="1067"/>
      <c r="O110" s="1067">
        <v>1</v>
      </c>
      <c r="P110" s="1067"/>
      <c r="Q110" s="1067"/>
      <c r="R110" s="1067"/>
      <c r="S110" s="1067"/>
    </row>
    <row r="111" spans="1:19" x14ac:dyDescent="0.25">
      <c r="A111" s="1067" t="s">
        <v>273</v>
      </c>
      <c r="B111" s="1067" t="s">
        <v>288</v>
      </c>
      <c r="C111" s="1067" t="s">
        <v>42</v>
      </c>
      <c r="D111" s="1067">
        <v>160</v>
      </c>
      <c r="E111" s="1067">
        <v>47</v>
      </c>
      <c r="F111" s="1067">
        <v>16</v>
      </c>
      <c r="G111" s="1067">
        <v>1</v>
      </c>
      <c r="H111" s="1067">
        <v>9</v>
      </c>
      <c r="I111" s="1067">
        <v>8</v>
      </c>
      <c r="J111" s="1067">
        <v>1</v>
      </c>
      <c r="K111" s="1067">
        <v>13</v>
      </c>
      <c r="L111" s="1067">
        <v>9</v>
      </c>
      <c r="M111" s="1067">
        <v>12</v>
      </c>
      <c r="N111" s="1067">
        <v>2</v>
      </c>
      <c r="O111" s="1067">
        <v>2</v>
      </c>
      <c r="P111" s="1067"/>
      <c r="Q111" s="1067">
        <v>5</v>
      </c>
      <c r="R111" s="1067">
        <v>22</v>
      </c>
      <c r="S111" s="1067">
        <v>13</v>
      </c>
    </row>
    <row r="112" spans="1:19" x14ac:dyDescent="0.25">
      <c r="A112" s="1067" t="s">
        <v>273</v>
      </c>
      <c r="B112" s="1067" t="s">
        <v>430</v>
      </c>
      <c r="C112" s="1067" t="s">
        <v>43</v>
      </c>
      <c r="D112" s="1067">
        <v>482</v>
      </c>
      <c r="E112" s="1067">
        <v>132</v>
      </c>
      <c r="F112" s="1067">
        <v>11</v>
      </c>
      <c r="G112" s="1067">
        <v>6</v>
      </c>
      <c r="H112" s="1067">
        <v>202</v>
      </c>
      <c r="I112" s="1067">
        <v>24</v>
      </c>
      <c r="J112" s="1067"/>
      <c r="K112" s="1067">
        <v>31</v>
      </c>
      <c r="L112" s="1067">
        <v>14</v>
      </c>
      <c r="M112" s="1067">
        <v>9</v>
      </c>
      <c r="N112" s="1067">
        <v>17</v>
      </c>
      <c r="O112" s="1067">
        <v>5</v>
      </c>
      <c r="P112" s="1067">
        <v>7</v>
      </c>
      <c r="Q112" s="1067">
        <v>2</v>
      </c>
      <c r="R112" s="1067">
        <v>7</v>
      </c>
      <c r="S112" s="1067">
        <v>15</v>
      </c>
    </row>
    <row r="113" spans="1:19" x14ac:dyDescent="0.25">
      <c r="A113" s="1067" t="s">
        <v>273</v>
      </c>
      <c r="B113" s="1067" t="s">
        <v>289</v>
      </c>
      <c r="C113" s="1067" t="s">
        <v>44</v>
      </c>
      <c r="D113" s="1067">
        <v>268</v>
      </c>
      <c r="E113" s="1067">
        <v>93</v>
      </c>
      <c r="F113" s="1067">
        <v>4</v>
      </c>
      <c r="G113" s="1067"/>
      <c r="H113" s="1067">
        <v>47</v>
      </c>
      <c r="I113" s="1067">
        <v>18</v>
      </c>
      <c r="J113" s="1067">
        <v>10</v>
      </c>
      <c r="K113" s="1067">
        <v>67</v>
      </c>
      <c r="L113" s="1067">
        <v>8</v>
      </c>
      <c r="M113" s="1067">
        <v>1</v>
      </c>
      <c r="N113" s="1067">
        <v>1</v>
      </c>
      <c r="O113" s="1067">
        <v>9</v>
      </c>
      <c r="P113" s="1067">
        <v>1</v>
      </c>
      <c r="Q113" s="1067"/>
      <c r="R113" s="1067">
        <v>1</v>
      </c>
      <c r="S113" s="1067">
        <v>8</v>
      </c>
    </row>
    <row r="114" spans="1:19" x14ac:dyDescent="0.25">
      <c r="A114" s="1067" t="s">
        <v>273</v>
      </c>
      <c r="B114" s="1067" t="s">
        <v>290</v>
      </c>
      <c r="C114" s="1067" t="s">
        <v>45</v>
      </c>
      <c r="D114" s="1067">
        <v>115</v>
      </c>
      <c r="E114" s="1067">
        <v>37</v>
      </c>
      <c r="F114" s="1067">
        <v>9</v>
      </c>
      <c r="G114" s="1067"/>
      <c r="H114" s="1067">
        <v>7</v>
      </c>
      <c r="I114" s="1067">
        <v>1</v>
      </c>
      <c r="J114" s="1067"/>
      <c r="K114" s="1067">
        <v>3</v>
      </c>
      <c r="L114" s="1067">
        <v>11</v>
      </c>
      <c r="M114" s="1067">
        <v>4</v>
      </c>
      <c r="N114" s="1067">
        <v>4</v>
      </c>
      <c r="O114" s="1067">
        <v>2</v>
      </c>
      <c r="P114" s="1067">
        <v>4</v>
      </c>
      <c r="Q114" s="1067">
        <v>3</v>
      </c>
      <c r="R114" s="1067">
        <v>3</v>
      </c>
      <c r="S114" s="1067">
        <v>27</v>
      </c>
    </row>
    <row r="115" spans="1:19" x14ac:dyDescent="0.25">
      <c r="A115" s="1067" t="s">
        <v>273</v>
      </c>
      <c r="B115" s="1067" t="s">
        <v>291</v>
      </c>
      <c r="C115" s="1067" t="s">
        <v>46</v>
      </c>
      <c r="D115" s="1067">
        <v>97</v>
      </c>
      <c r="E115" s="1067">
        <v>19</v>
      </c>
      <c r="F115" s="1067">
        <v>3</v>
      </c>
      <c r="G115" s="1067"/>
      <c r="H115" s="1067">
        <v>21</v>
      </c>
      <c r="I115" s="1067">
        <v>3</v>
      </c>
      <c r="J115" s="1067">
        <v>3</v>
      </c>
      <c r="K115" s="1067">
        <v>10</v>
      </c>
      <c r="L115" s="1067">
        <v>3</v>
      </c>
      <c r="M115" s="1067"/>
      <c r="N115" s="1067"/>
      <c r="O115" s="1067"/>
      <c r="P115" s="1067">
        <v>1</v>
      </c>
      <c r="Q115" s="1067"/>
      <c r="R115" s="1067">
        <v>31</v>
      </c>
      <c r="S115" s="1067">
        <v>3</v>
      </c>
    </row>
    <row r="116" spans="1:19" x14ac:dyDescent="0.25">
      <c r="A116" s="1067" t="s">
        <v>273</v>
      </c>
      <c r="B116" s="1067" t="s">
        <v>292</v>
      </c>
      <c r="C116" s="1067" t="s">
        <v>47</v>
      </c>
      <c r="D116" s="1067">
        <v>142</v>
      </c>
      <c r="E116" s="1067">
        <v>31</v>
      </c>
      <c r="F116" s="1067">
        <v>19</v>
      </c>
      <c r="G116" s="1067"/>
      <c r="H116" s="1067">
        <v>4</v>
      </c>
      <c r="I116" s="1067">
        <v>8</v>
      </c>
      <c r="J116" s="1067">
        <v>1</v>
      </c>
      <c r="K116" s="1067">
        <v>28</v>
      </c>
      <c r="L116" s="1067">
        <v>7</v>
      </c>
      <c r="M116" s="1067">
        <v>2</v>
      </c>
      <c r="N116" s="1067">
        <v>3</v>
      </c>
      <c r="O116" s="1067">
        <v>15</v>
      </c>
      <c r="P116" s="1067"/>
      <c r="Q116" s="1067">
        <v>1</v>
      </c>
      <c r="R116" s="1067">
        <v>20</v>
      </c>
      <c r="S116" s="1067">
        <v>3</v>
      </c>
    </row>
    <row r="117" spans="1:19" x14ac:dyDescent="0.25">
      <c r="A117" s="1067" t="s">
        <v>273</v>
      </c>
      <c r="B117" s="1067" t="s">
        <v>293</v>
      </c>
      <c r="C117" s="1067" t="s">
        <v>49</v>
      </c>
      <c r="D117" s="1067">
        <v>230</v>
      </c>
      <c r="E117" s="1067">
        <v>72</v>
      </c>
      <c r="F117" s="1067">
        <v>22</v>
      </c>
      <c r="G117" s="1067"/>
      <c r="H117" s="1067">
        <v>6</v>
      </c>
      <c r="I117" s="1067">
        <v>5</v>
      </c>
      <c r="J117" s="1067">
        <v>3</v>
      </c>
      <c r="K117" s="1067">
        <v>20</v>
      </c>
      <c r="L117" s="1067">
        <v>9</v>
      </c>
      <c r="M117" s="1067">
        <v>5</v>
      </c>
      <c r="N117" s="1067">
        <v>16</v>
      </c>
      <c r="O117" s="1067">
        <v>47</v>
      </c>
      <c r="P117" s="1067">
        <v>4</v>
      </c>
      <c r="Q117" s="1067">
        <v>1</v>
      </c>
      <c r="R117" s="1067">
        <v>9</v>
      </c>
      <c r="S117" s="1067">
        <v>11</v>
      </c>
    </row>
    <row r="118" spans="1:19" x14ac:dyDescent="0.25">
      <c r="A118" s="1067" t="s">
        <v>273</v>
      </c>
      <c r="B118" s="1067" t="s">
        <v>294</v>
      </c>
      <c r="C118" s="1067" t="s">
        <v>51</v>
      </c>
      <c r="D118" s="1067">
        <v>29</v>
      </c>
      <c r="E118" s="1067">
        <v>9</v>
      </c>
      <c r="F118" s="1067"/>
      <c r="G118" s="1067"/>
      <c r="H118" s="1067">
        <v>2</v>
      </c>
      <c r="I118" s="1067">
        <v>1</v>
      </c>
      <c r="J118" s="1067">
        <v>6</v>
      </c>
      <c r="K118" s="1067">
        <v>10</v>
      </c>
      <c r="L118" s="1067"/>
      <c r="M118" s="1067"/>
      <c r="N118" s="1067"/>
      <c r="O118" s="1067">
        <v>1</v>
      </c>
      <c r="P118" s="1067"/>
      <c r="Q118" s="1067"/>
      <c r="R118" s="1067"/>
      <c r="S118" s="1067"/>
    </row>
    <row r="119" spans="1:19" x14ac:dyDescent="0.25">
      <c r="A119" s="1067" t="s">
        <v>273</v>
      </c>
      <c r="B119" s="1067" t="s">
        <v>295</v>
      </c>
      <c r="C119" s="1067" t="s">
        <v>52</v>
      </c>
      <c r="D119" s="1067">
        <v>287</v>
      </c>
      <c r="E119" s="1067">
        <v>81</v>
      </c>
      <c r="F119" s="1067">
        <v>2</v>
      </c>
      <c r="G119" s="1067"/>
      <c r="H119" s="1067">
        <v>30</v>
      </c>
      <c r="I119" s="1067">
        <v>57</v>
      </c>
      <c r="J119" s="1067">
        <v>4</v>
      </c>
      <c r="K119" s="1067">
        <v>34</v>
      </c>
      <c r="L119" s="1067">
        <v>15</v>
      </c>
      <c r="M119" s="1067">
        <v>5</v>
      </c>
      <c r="N119" s="1067">
        <v>8</v>
      </c>
      <c r="O119" s="1067">
        <v>39</v>
      </c>
      <c r="P119" s="1067">
        <v>3</v>
      </c>
      <c r="Q119" s="1067">
        <v>2</v>
      </c>
      <c r="R119" s="1067">
        <v>4</v>
      </c>
      <c r="S119" s="1067">
        <v>3</v>
      </c>
    </row>
    <row r="120" spans="1:19" x14ac:dyDescent="0.25">
      <c r="A120" s="1067" t="s">
        <v>273</v>
      </c>
      <c r="B120" s="1067" t="s">
        <v>296</v>
      </c>
      <c r="C120" s="1067" t="s">
        <v>54</v>
      </c>
      <c r="D120" s="1067">
        <v>285</v>
      </c>
      <c r="E120" s="1067">
        <v>32</v>
      </c>
      <c r="F120" s="1067">
        <v>9</v>
      </c>
      <c r="G120" s="1067">
        <v>1</v>
      </c>
      <c r="H120" s="1067">
        <v>39</v>
      </c>
      <c r="I120" s="1067">
        <v>18</v>
      </c>
      <c r="J120" s="1067"/>
      <c r="K120" s="1067">
        <v>53</v>
      </c>
      <c r="L120" s="1067">
        <v>29</v>
      </c>
      <c r="M120" s="1067">
        <v>11</v>
      </c>
      <c r="N120" s="1067">
        <v>8</v>
      </c>
      <c r="O120" s="1067">
        <v>26</v>
      </c>
      <c r="P120" s="1067">
        <v>3</v>
      </c>
      <c r="Q120" s="1067">
        <v>6</v>
      </c>
      <c r="R120" s="1067">
        <v>19</v>
      </c>
      <c r="S120" s="1067">
        <v>31</v>
      </c>
    </row>
    <row r="121" spans="1:19" x14ac:dyDescent="0.25">
      <c r="A121" s="1067" t="s">
        <v>273</v>
      </c>
      <c r="B121" s="1067" t="s">
        <v>297</v>
      </c>
      <c r="C121" s="1067" t="s">
        <v>55</v>
      </c>
      <c r="D121" s="1067">
        <v>16</v>
      </c>
      <c r="E121" s="1067">
        <v>11</v>
      </c>
      <c r="F121" s="1067"/>
      <c r="G121" s="1067"/>
      <c r="H121" s="1067"/>
      <c r="I121" s="1067">
        <v>1</v>
      </c>
      <c r="J121" s="1067">
        <v>1</v>
      </c>
      <c r="K121" s="1067">
        <v>3</v>
      </c>
      <c r="L121" s="1067"/>
      <c r="M121" s="1067"/>
      <c r="N121" s="1067"/>
      <c r="O121" s="1067"/>
      <c r="P121" s="1067"/>
      <c r="Q121" s="1067"/>
      <c r="R121" s="1067"/>
      <c r="S121" s="1067"/>
    </row>
    <row r="122" spans="1:19" x14ac:dyDescent="0.25">
      <c r="A122" s="1067" t="s">
        <v>273</v>
      </c>
      <c r="B122" s="1067" t="s">
        <v>298</v>
      </c>
      <c r="C122" s="1067" t="s">
        <v>56</v>
      </c>
      <c r="D122" s="1067">
        <v>310</v>
      </c>
      <c r="E122" s="1067">
        <v>51</v>
      </c>
      <c r="F122" s="1067">
        <v>9</v>
      </c>
      <c r="G122" s="1067"/>
      <c r="H122" s="1067">
        <v>32</v>
      </c>
      <c r="I122" s="1067">
        <v>19</v>
      </c>
      <c r="J122" s="1067">
        <v>6</v>
      </c>
      <c r="K122" s="1067">
        <v>59</v>
      </c>
      <c r="L122" s="1067">
        <v>15</v>
      </c>
      <c r="M122" s="1067">
        <v>9</v>
      </c>
      <c r="N122" s="1067">
        <v>12</v>
      </c>
      <c r="O122" s="1067">
        <v>34</v>
      </c>
      <c r="P122" s="1067">
        <v>34</v>
      </c>
      <c r="Q122" s="1067">
        <v>4</v>
      </c>
      <c r="R122" s="1067">
        <v>4</v>
      </c>
      <c r="S122" s="1067">
        <v>22</v>
      </c>
    </row>
    <row r="123" spans="1:19" x14ac:dyDescent="0.25">
      <c r="A123" s="1067" t="s">
        <v>273</v>
      </c>
      <c r="B123" s="1067" t="s">
        <v>299</v>
      </c>
      <c r="C123" s="1067" t="s">
        <v>57</v>
      </c>
      <c r="D123" s="1067">
        <v>251</v>
      </c>
      <c r="E123" s="1067">
        <v>102</v>
      </c>
      <c r="F123" s="1067">
        <v>12</v>
      </c>
      <c r="G123" s="1067">
        <v>1</v>
      </c>
      <c r="H123" s="1067">
        <v>36</v>
      </c>
      <c r="I123" s="1067">
        <v>12</v>
      </c>
      <c r="J123" s="1067">
        <v>1</v>
      </c>
      <c r="K123" s="1067">
        <v>26</v>
      </c>
      <c r="L123" s="1067">
        <v>4</v>
      </c>
      <c r="M123" s="1067">
        <v>6</v>
      </c>
      <c r="N123" s="1067">
        <v>9</v>
      </c>
      <c r="O123" s="1067">
        <v>2</v>
      </c>
      <c r="P123" s="1067">
        <v>9</v>
      </c>
      <c r="Q123" s="1067">
        <v>5</v>
      </c>
      <c r="R123" s="1067">
        <v>4</v>
      </c>
      <c r="S123" s="1067">
        <v>22</v>
      </c>
    </row>
    <row r="124" spans="1:19" x14ac:dyDescent="0.25">
      <c r="A124" s="1067" t="s">
        <v>273</v>
      </c>
      <c r="B124" s="1067" t="s">
        <v>300</v>
      </c>
      <c r="C124" s="1067" t="s">
        <v>58</v>
      </c>
      <c r="D124" s="1067">
        <v>160</v>
      </c>
      <c r="E124" s="1067">
        <v>46</v>
      </c>
      <c r="F124" s="1067">
        <v>3</v>
      </c>
      <c r="G124" s="1067"/>
      <c r="H124" s="1067">
        <v>33</v>
      </c>
      <c r="I124" s="1067">
        <v>16</v>
      </c>
      <c r="J124" s="1067">
        <v>4</v>
      </c>
      <c r="K124" s="1067">
        <v>22</v>
      </c>
      <c r="L124" s="1067">
        <v>5</v>
      </c>
      <c r="M124" s="1067">
        <v>4</v>
      </c>
      <c r="N124" s="1067">
        <v>3</v>
      </c>
      <c r="O124" s="1067">
        <v>10</v>
      </c>
      <c r="P124" s="1067">
        <v>5</v>
      </c>
      <c r="Q124" s="1067"/>
      <c r="R124" s="1067">
        <v>3</v>
      </c>
      <c r="S124" s="1067">
        <v>6</v>
      </c>
    </row>
    <row r="125" spans="1:19" x14ac:dyDescent="0.25">
      <c r="A125" s="1067" t="s">
        <v>273</v>
      </c>
      <c r="B125" s="1067" t="s">
        <v>301</v>
      </c>
      <c r="C125" s="1067" t="s">
        <v>31</v>
      </c>
      <c r="D125" s="1067">
        <v>435</v>
      </c>
      <c r="E125" s="1067">
        <v>103</v>
      </c>
      <c r="F125" s="1067">
        <v>2</v>
      </c>
      <c r="G125" s="1067"/>
      <c r="H125" s="1067">
        <v>219</v>
      </c>
      <c r="I125" s="1067">
        <v>21</v>
      </c>
      <c r="J125" s="1067">
        <v>2</v>
      </c>
      <c r="K125" s="1067">
        <v>50</v>
      </c>
      <c r="L125" s="1067">
        <v>10</v>
      </c>
      <c r="M125" s="1067">
        <v>5</v>
      </c>
      <c r="N125" s="1067">
        <v>6</v>
      </c>
      <c r="O125" s="1067">
        <v>4</v>
      </c>
      <c r="P125" s="1067">
        <v>2</v>
      </c>
      <c r="Q125" s="1067">
        <v>1</v>
      </c>
      <c r="R125" s="1067">
        <v>4</v>
      </c>
      <c r="S125" s="1067">
        <v>6</v>
      </c>
    </row>
    <row r="126" spans="1:19" x14ac:dyDescent="0.25">
      <c r="A126" s="1067" t="s">
        <v>273</v>
      </c>
      <c r="B126" s="1067" t="s">
        <v>302</v>
      </c>
      <c r="C126" s="1067" t="s">
        <v>32</v>
      </c>
      <c r="D126" s="1067">
        <v>362</v>
      </c>
      <c r="E126" s="1067">
        <v>89</v>
      </c>
      <c r="F126" s="1067">
        <v>8</v>
      </c>
      <c r="G126" s="1067"/>
      <c r="H126" s="1067">
        <v>41</v>
      </c>
      <c r="I126" s="1067">
        <v>25</v>
      </c>
      <c r="J126" s="1067">
        <v>2</v>
      </c>
      <c r="K126" s="1067">
        <v>59</v>
      </c>
      <c r="L126" s="1067">
        <v>12</v>
      </c>
      <c r="M126" s="1067">
        <v>2</v>
      </c>
      <c r="N126" s="1067">
        <v>3</v>
      </c>
      <c r="O126" s="1067">
        <v>54</v>
      </c>
      <c r="P126" s="1067">
        <v>3</v>
      </c>
      <c r="Q126" s="1067"/>
      <c r="R126" s="1067">
        <v>62</v>
      </c>
      <c r="S126" s="1067">
        <v>2</v>
      </c>
    </row>
    <row r="127" spans="1:19" x14ac:dyDescent="0.25">
      <c r="A127" s="1067" t="s">
        <v>273</v>
      </c>
      <c r="B127" s="1067" t="s">
        <v>303</v>
      </c>
      <c r="C127" s="1067" t="s">
        <v>34</v>
      </c>
      <c r="D127" s="1067">
        <v>331</v>
      </c>
      <c r="E127" s="1067">
        <v>29</v>
      </c>
      <c r="F127" s="1067">
        <v>8</v>
      </c>
      <c r="G127" s="1067"/>
      <c r="H127" s="1067">
        <v>32</v>
      </c>
      <c r="I127" s="1067">
        <v>6</v>
      </c>
      <c r="J127" s="1067">
        <v>15</v>
      </c>
      <c r="K127" s="1067">
        <v>146</v>
      </c>
      <c r="L127" s="1067">
        <v>11</v>
      </c>
      <c r="M127" s="1067">
        <v>9</v>
      </c>
      <c r="N127" s="1067">
        <v>6</v>
      </c>
      <c r="O127" s="1067">
        <v>41</v>
      </c>
      <c r="P127" s="1067">
        <v>3</v>
      </c>
      <c r="Q127" s="1067">
        <v>4</v>
      </c>
      <c r="R127" s="1067">
        <v>6</v>
      </c>
      <c r="S127" s="1067">
        <v>15</v>
      </c>
    </row>
    <row r="128" spans="1:19" x14ac:dyDescent="0.25">
      <c r="A128" s="1067" t="s">
        <v>273</v>
      </c>
      <c r="B128" s="1067" t="s">
        <v>304</v>
      </c>
      <c r="C128" s="1067" t="s">
        <v>258</v>
      </c>
      <c r="D128" s="1067">
        <v>783</v>
      </c>
      <c r="E128" s="1067">
        <v>110</v>
      </c>
      <c r="F128" s="1067">
        <v>1</v>
      </c>
      <c r="G128" s="1067">
        <v>2</v>
      </c>
      <c r="H128" s="1067">
        <v>211</v>
      </c>
      <c r="I128" s="1067">
        <v>27</v>
      </c>
      <c r="J128" s="1067">
        <v>30</v>
      </c>
      <c r="K128" s="1067">
        <v>110</v>
      </c>
      <c r="L128" s="1067">
        <v>109</v>
      </c>
      <c r="M128" s="1067">
        <v>22</v>
      </c>
      <c r="N128" s="1067">
        <v>27</v>
      </c>
      <c r="O128" s="1067">
        <v>22</v>
      </c>
      <c r="P128" s="1067">
        <v>4</v>
      </c>
      <c r="Q128" s="1067">
        <v>5</v>
      </c>
      <c r="R128" s="1067">
        <v>24</v>
      </c>
      <c r="S128" s="1067">
        <v>79</v>
      </c>
    </row>
    <row r="129" spans="1:19" x14ac:dyDescent="0.25">
      <c r="A129" s="1067" t="s">
        <v>273</v>
      </c>
      <c r="B129" s="1067" t="s">
        <v>305</v>
      </c>
      <c r="C129" s="1067" t="s">
        <v>53</v>
      </c>
      <c r="D129" s="1067">
        <v>169</v>
      </c>
      <c r="E129" s="1067">
        <v>56</v>
      </c>
      <c r="F129" s="1067">
        <v>13</v>
      </c>
      <c r="G129" s="1067"/>
      <c r="H129" s="1067">
        <v>8</v>
      </c>
      <c r="I129" s="1067">
        <v>1</v>
      </c>
      <c r="J129" s="1067"/>
      <c r="K129" s="1067">
        <v>22</v>
      </c>
      <c r="L129" s="1067">
        <v>16</v>
      </c>
      <c r="M129" s="1067">
        <v>9</v>
      </c>
      <c r="N129" s="1067">
        <v>6</v>
      </c>
      <c r="O129" s="1067"/>
      <c r="P129" s="1067">
        <v>9</v>
      </c>
      <c r="Q129" s="1067">
        <v>2</v>
      </c>
      <c r="R129" s="1067">
        <v>2</v>
      </c>
      <c r="S129" s="1067">
        <v>25</v>
      </c>
    </row>
    <row r="130" spans="1:19" x14ac:dyDescent="0.25">
      <c r="A130" s="1067" t="s">
        <v>273</v>
      </c>
      <c r="B130" s="1067" t="s">
        <v>306</v>
      </c>
      <c r="C130" s="1067" t="s">
        <v>59</v>
      </c>
      <c r="D130" s="1067">
        <v>121</v>
      </c>
      <c r="E130" s="1067">
        <v>24</v>
      </c>
      <c r="F130" s="1067">
        <v>31</v>
      </c>
      <c r="G130" s="1067"/>
      <c r="H130" s="1067">
        <v>13</v>
      </c>
      <c r="I130" s="1067">
        <v>4</v>
      </c>
      <c r="J130" s="1067"/>
      <c r="K130" s="1067">
        <v>17</v>
      </c>
      <c r="L130" s="1067">
        <v>3</v>
      </c>
      <c r="M130" s="1067">
        <v>5</v>
      </c>
      <c r="N130" s="1067">
        <v>3</v>
      </c>
      <c r="O130" s="1067">
        <v>6</v>
      </c>
      <c r="P130" s="1067">
        <v>2</v>
      </c>
      <c r="Q130" s="1067">
        <v>2</v>
      </c>
      <c r="R130" s="1067">
        <v>3</v>
      </c>
      <c r="S130" s="1067">
        <v>8</v>
      </c>
    </row>
    <row r="131" spans="1:19" x14ac:dyDescent="0.25">
      <c r="A131" s="1067" t="s">
        <v>273</v>
      </c>
      <c r="B131" s="1067" t="s">
        <v>307</v>
      </c>
      <c r="C131" s="1067" t="s">
        <v>60</v>
      </c>
      <c r="D131" s="1067">
        <v>177</v>
      </c>
      <c r="E131" s="1067">
        <v>47</v>
      </c>
      <c r="F131" s="1067">
        <v>18</v>
      </c>
      <c r="G131" s="1067">
        <v>2</v>
      </c>
      <c r="H131" s="1067">
        <v>2</v>
      </c>
      <c r="I131" s="1067">
        <v>10</v>
      </c>
      <c r="J131" s="1067">
        <v>1</v>
      </c>
      <c r="K131" s="1067">
        <v>16</v>
      </c>
      <c r="L131" s="1067">
        <v>22</v>
      </c>
      <c r="M131" s="1067">
        <v>11</v>
      </c>
      <c r="N131" s="1067">
        <v>11</v>
      </c>
      <c r="O131" s="1067">
        <v>1</v>
      </c>
      <c r="P131" s="1067">
        <v>5</v>
      </c>
      <c r="Q131" s="1067">
        <v>4</v>
      </c>
      <c r="R131" s="1067">
        <v>15</v>
      </c>
      <c r="S131" s="1067">
        <v>12</v>
      </c>
    </row>
    <row r="132" spans="1:19" x14ac:dyDescent="0.25">
      <c r="A132" s="1067" t="s">
        <v>273</v>
      </c>
      <c r="B132" s="1067" t="s">
        <v>308</v>
      </c>
      <c r="C132" s="1067" t="s">
        <v>33</v>
      </c>
      <c r="D132" s="1067">
        <v>99</v>
      </c>
      <c r="E132" s="1067">
        <v>35</v>
      </c>
      <c r="F132" s="1067">
        <v>2</v>
      </c>
      <c r="G132" s="1067"/>
      <c r="H132" s="1067">
        <v>9</v>
      </c>
      <c r="I132" s="1067">
        <v>1</v>
      </c>
      <c r="J132" s="1067"/>
      <c r="K132" s="1067">
        <v>12</v>
      </c>
      <c r="L132" s="1067">
        <v>8</v>
      </c>
      <c r="M132" s="1067">
        <v>2</v>
      </c>
      <c r="N132" s="1067">
        <v>7</v>
      </c>
      <c r="O132" s="1067">
        <v>11</v>
      </c>
      <c r="P132" s="1067">
        <v>5</v>
      </c>
      <c r="Q132" s="1067"/>
      <c r="R132" s="1067">
        <v>1</v>
      </c>
      <c r="S132" s="1067">
        <v>6</v>
      </c>
    </row>
    <row r="133" spans="1:19" x14ac:dyDescent="0.25">
      <c r="A133" s="1067" t="s">
        <v>273</v>
      </c>
      <c r="B133" s="1067" t="s">
        <v>309</v>
      </c>
      <c r="C133" s="1067" t="s">
        <v>37</v>
      </c>
      <c r="D133" s="1067">
        <v>656</v>
      </c>
      <c r="E133" s="1067">
        <v>37</v>
      </c>
      <c r="F133" s="1067">
        <v>3</v>
      </c>
      <c r="G133" s="1067">
        <v>1</v>
      </c>
      <c r="H133" s="1067">
        <v>570</v>
      </c>
      <c r="I133" s="1067">
        <v>3</v>
      </c>
      <c r="J133" s="1067">
        <v>1</v>
      </c>
      <c r="K133" s="1067">
        <v>28</v>
      </c>
      <c r="L133" s="1067">
        <v>5</v>
      </c>
      <c r="M133" s="1067"/>
      <c r="N133" s="1067">
        <v>4</v>
      </c>
      <c r="O133" s="1067"/>
      <c r="P133" s="1067"/>
      <c r="Q133" s="1067"/>
      <c r="R133" s="1067">
        <v>2</v>
      </c>
      <c r="S133" s="1067">
        <v>2</v>
      </c>
    </row>
    <row r="134" spans="1:19" x14ac:dyDescent="0.25">
      <c r="A134" s="1067" t="s">
        <v>273</v>
      </c>
      <c r="B134" s="1067" t="s">
        <v>310</v>
      </c>
      <c r="C134" s="1067" t="s">
        <v>50</v>
      </c>
      <c r="D134" s="1067">
        <v>496</v>
      </c>
      <c r="E134" s="1067">
        <v>55</v>
      </c>
      <c r="F134" s="1067">
        <v>58</v>
      </c>
      <c r="G134" s="1067">
        <v>2</v>
      </c>
      <c r="H134" s="1067">
        <v>22</v>
      </c>
      <c r="I134" s="1067">
        <v>6</v>
      </c>
      <c r="J134" s="1067"/>
      <c r="K134" s="1067">
        <v>29</v>
      </c>
      <c r="L134" s="1067">
        <v>48</v>
      </c>
      <c r="M134" s="1067">
        <v>61</v>
      </c>
      <c r="N134" s="1067">
        <v>22</v>
      </c>
      <c r="O134" s="1067">
        <v>2</v>
      </c>
      <c r="P134" s="1067">
        <v>89</v>
      </c>
      <c r="Q134" s="1067"/>
      <c r="R134" s="1067">
        <v>16</v>
      </c>
      <c r="S134" s="1067">
        <v>86</v>
      </c>
    </row>
    <row r="135" spans="1:19" x14ac:dyDescent="0.25">
      <c r="A135" s="1067" t="s">
        <v>273</v>
      </c>
      <c r="B135" s="1067" t="s">
        <v>311</v>
      </c>
      <c r="C135" s="1067" t="s">
        <v>39</v>
      </c>
      <c r="D135" s="1067">
        <v>81</v>
      </c>
      <c r="E135" s="1067">
        <v>28</v>
      </c>
      <c r="F135" s="1067">
        <v>1</v>
      </c>
      <c r="G135" s="1067"/>
      <c r="H135" s="1067">
        <v>19</v>
      </c>
      <c r="I135" s="1067">
        <v>11</v>
      </c>
      <c r="J135" s="1067"/>
      <c r="K135" s="1067">
        <v>6</v>
      </c>
      <c r="L135" s="1067">
        <v>1</v>
      </c>
      <c r="M135" s="1067">
        <v>1</v>
      </c>
      <c r="N135" s="1067">
        <v>2</v>
      </c>
      <c r="O135" s="1067">
        <v>2</v>
      </c>
      <c r="P135" s="1067">
        <v>5</v>
      </c>
      <c r="Q135" s="1067"/>
      <c r="R135" s="1067">
        <v>4</v>
      </c>
      <c r="S135" s="1067">
        <v>1</v>
      </c>
    </row>
    <row r="136" spans="1:19" x14ac:dyDescent="0.25">
      <c r="A136" s="1067" t="s">
        <v>273</v>
      </c>
      <c r="B136" s="1067" t="s">
        <v>312</v>
      </c>
      <c r="C136" s="1067" t="s">
        <v>121</v>
      </c>
      <c r="D136" s="1067">
        <v>1562</v>
      </c>
      <c r="E136" s="1067">
        <v>148</v>
      </c>
      <c r="F136" s="1067">
        <v>18</v>
      </c>
      <c r="G136" s="1067">
        <v>3</v>
      </c>
      <c r="H136" s="1067">
        <v>958</v>
      </c>
      <c r="I136" s="1067">
        <v>47</v>
      </c>
      <c r="J136" s="1067">
        <v>19</v>
      </c>
      <c r="K136" s="1067">
        <v>99</v>
      </c>
      <c r="L136" s="1067">
        <v>84</v>
      </c>
      <c r="M136" s="1067">
        <v>27</v>
      </c>
      <c r="N136" s="1067">
        <v>24</v>
      </c>
      <c r="O136" s="1067">
        <v>6</v>
      </c>
      <c r="P136" s="1067">
        <v>25</v>
      </c>
      <c r="Q136" s="1067">
        <v>7</v>
      </c>
      <c r="R136" s="1067">
        <v>45</v>
      </c>
      <c r="S136" s="1067">
        <v>52</v>
      </c>
    </row>
    <row r="137" spans="1:19" x14ac:dyDescent="0.25">
      <c r="A137" s="1067" t="s">
        <v>255</v>
      </c>
      <c r="B137" s="1067" t="s">
        <v>282</v>
      </c>
      <c r="C137" s="1067" t="s">
        <v>35</v>
      </c>
      <c r="D137" s="1067">
        <v>64</v>
      </c>
      <c r="E137" s="1067">
        <v>19</v>
      </c>
      <c r="F137" s="1067">
        <v>3</v>
      </c>
      <c r="G137" s="1067">
        <v>1</v>
      </c>
      <c r="H137" s="1067">
        <v>5</v>
      </c>
      <c r="I137" s="1067">
        <v>1</v>
      </c>
      <c r="J137" s="1067"/>
      <c r="K137" s="1067">
        <v>6</v>
      </c>
      <c r="L137" s="1067">
        <v>1</v>
      </c>
      <c r="M137" s="1067">
        <v>2</v>
      </c>
      <c r="N137" s="1067">
        <v>1</v>
      </c>
      <c r="O137" s="1067">
        <v>1</v>
      </c>
      <c r="P137" s="1067"/>
      <c r="Q137" s="1067"/>
      <c r="R137" s="1067">
        <v>23</v>
      </c>
      <c r="S137" s="1067">
        <v>1</v>
      </c>
    </row>
    <row r="138" spans="1:19" x14ac:dyDescent="0.25">
      <c r="A138" s="1067" t="s">
        <v>255</v>
      </c>
      <c r="B138" s="1067" t="s">
        <v>283</v>
      </c>
      <c r="C138" s="1067" t="s">
        <v>36</v>
      </c>
      <c r="D138" s="1067">
        <v>379</v>
      </c>
      <c r="E138" s="1067">
        <v>88</v>
      </c>
      <c r="F138" s="1067">
        <v>30</v>
      </c>
      <c r="G138" s="1067"/>
      <c r="H138" s="1067">
        <v>39</v>
      </c>
      <c r="I138" s="1067">
        <v>18</v>
      </c>
      <c r="J138" s="1067">
        <v>8</v>
      </c>
      <c r="K138" s="1067">
        <v>86</v>
      </c>
      <c r="L138" s="1067">
        <v>15</v>
      </c>
      <c r="M138" s="1067">
        <v>9</v>
      </c>
      <c r="N138" s="1067">
        <v>15</v>
      </c>
      <c r="O138" s="1067">
        <v>7</v>
      </c>
      <c r="P138" s="1067">
        <v>7</v>
      </c>
      <c r="Q138" s="1067">
        <v>12</v>
      </c>
      <c r="R138" s="1067">
        <v>10</v>
      </c>
      <c r="S138" s="1067">
        <v>35</v>
      </c>
    </row>
    <row r="139" spans="1:19" x14ac:dyDescent="0.25">
      <c r="A139" s="1067" t="s">
        <v>255</v>
      </c>
      <c r="B139" s="1067" t="s">
        <v>284</v>
      </c>
      <c r="C139" s="1067" t="s">
        <v>38</v>
      </c>
      <c r="D139" s="1067">
        <v>165</v>
      </c>
      <c r="E139" s="1067">
        <v>59</v>
      </c>
      <c r="F139" s="1067">
        <v>10</v>
      </c>
      <c r="G139" s="1067">
        <v>2</v>
      </c>
      <c r="H139" s="1067">
        <v>8</v>
      </c>
      <c r="I139" s="1067">
        <v>5</v>
      </c>
      <c r="J139" s="1067"/>
      <c r="K139" s="1067">
        <v>25</v>
      </c>
      <c r="L139" s="1067">
        <v>4</v>
      </c>
      <c r="M139" s="1067">
        <v>12</v>
      </c>
      <c r="N139" s="1067">
        <v>7</v>
      </c>
      <c r="O139" s="1067">
        <v>7</v>
      </c>
      <c r="P139" s="1067">
        <v>2</v>
      </c>
      <c r="Q139" s="1067"/>
      <c r="R139" s="1067">
        <v>15</v>
      </c>
      <c r="S139" s="1067">
        <v>9</v>
      </c>
    </row>
    <row r="140" spans="1:19" x14ac:dyDescent="0.25">
      <c r="A140" s="1067" t="s">
        <v>255</v>
      </c>
      <c r="B140" s="1067" t="s">
        <v>285</v>
      </c>
      <c r="C140" s="1067" t="s">
        <v>40</v>
      </c>
      <c r="D140" s="1067">
        <v>144</v>
      </c>
      <c r="E140" s="1067">
        <v>28</v>
      </c>
      <c r="F140" s="1067">
        <v>10</v>
      </c>
      <c r="G140" s="1067"/>
      <c r="H140" s="1067">
        <v>12</v>
      </c>
      <c r="I140" s="1067">
        <v>5</v>
      </c>
      <c r="J140" s="1067">
        <v>2</v>
      </c>
      <c r="K140" s="1067">
        <v>11</v>
      </c>
      <c r="L140" s="1067">
        <v>11</v>
      </c>
      <c r="M140" s="1067">
        <v>8</v>
      </c>
      <c r="N140" s="1067">
        <v>16</v>
      </c>
      <c r="O140" s="1067">
        <v>21</v>
      </c>
      <c r="P140" s="1067">
        <v>4</v>
      </c>
      <c r="Q140" s="1067">
        <v>1</v>
      </c>
      <c r="R140" s="1067">
        <v>13</v>
      </c>
      <c r="S140" s="1067">
        <v>2</v>
      </c>
    </row>
    <row r="141" spans="1:19" x14ac:dyDescent="0.25">
      <c r="A141" s="1067" t="s">
        <v>255</v>
      </c>
      <c r="B141" s="1067" t="s">
        <v>286</v>
      </c>
      <c r="C141" s="1067" t="s">
        <v>41</v>
      </c>
      <c r="D141" s="1067">
        <v>30</v>
      </c>
      <c r="E141" s="1067">
        <v>16</v>
      </c>
      <c r="F141" s="1067">
        <v>1</v>
      </c>
      <c r="G141" s="1067"/>
      <c r="H141" s="1067">
        <v>2</v>
      </c>
      <c r="I141" s="1067">
        <v>1</v>
      </c>
      <c r="J141" s="1067"/>
      <c r="K141" s="1067">
        <v>8</v>
      </c>
      <c r="L141" s="1067"/>
      <c r="M141" s="1067"/>
      <c r="N141" s="1067"/>
      <c r="O141" s="1067"/>
      <c r="P141" s="1067"/>
      <c r="Q141" s="1067"/>
      <c r="R141" s="1067">
        <v>1</v>
      </c>
      <c r="S141" s="1067">
        <v>1</v>
      </c>
    </row>
    <row r="142" spans="1:19" x14ac:dyDescent="0.25">
      <c r="A142" s="1067" t="s">
        <v>255</v>
      </c>
      <c r="B142" s="1067" t="s">
        <v>287</v>
      </c>
      <c r="C142" s="1067" t="s">
        <v>48</v>
      </c>
      <c r="D142" s="1067">
        <v>23</v>
      </c>
      <c r="E142" s="1067">
        <v>11</v>
      </c>
      <c r="F142" s="1067"/>
      <c r="G142" s="1067"/>
      <c r="H142" s="1067"/>
      <c r="I142" s="1067">
        <v>4</v>
      </c>
      <c r="J142" s="1067"/>
      <c r="K142" s="1067">
        <v>5</v>
      </c>
      <c r="L142" s="1067"/>
      <c r="M142" s="1067"/>
      <c r="N142" s="1067"/>
      <c r="O142" s="1067">
        <v>2</v>
      </c>
      <c r="P142" s="1067"/>
      <c r="Q142" s="1067"/>
      <c r="R142" s="1067"/>
      <c r="S142" s="1067">
        <v>1</v>
      </c>
    </row>
    <row r="143" spans="1:19" x14ac:dyDescent="0.25">
      <c r="A143" s="1067" t="s">
        <v>255</v>
      </c>
      <c r="B143" s="1067" t="s">
        <v>288</v>
      </c>
      <c r="C143" s="1067" t="s">
        <v>42</v>
      </c>
      <c r="D143" s="1067">
        <v>159</v>
      </c>
      <c r="E143" s="1067">
        <v>41</v>
      </c>
      <c r="F143" s="1067">
        <v>18</v>
      </c>
      <c r="G143" s="1067"/>
      <c r="H143" s="1067">
        <v>5</v>
      </c>
      <c r="I143" s="1067">
        <v>14</v>
      </c>
      <c r="J143" s="1067">
        <v>1</v>
      </c>
      <c r="K143" s="1067">
        <v>13</v>
      </c>
      <c r="L143" s="1067">
        <v>11</v>
      </c>
      <c r="M143" s="1067">
        <v>6</v>
      </c>
      <c r="N143" s="1067">
        <v>7</v>
      </c>
      <c r="O143" s="1067"/>
      <c r="P143" s="1067">
        <v>3</v>
      </c>
      <c r="Q143" s="1067">
        <v>4</v>
      </c>
      <c r="R143" s="1067">
        <v>25</v>
      </c>
      <c r="S143" s="1067">
        <v>11</v>
      </c>
    </row>
    <row r="144" spans="1:19" x14ac:dyDescent="0.25">
      <c r="A144" s="1067" t="s">
        <v>255</v>
      </c>
      <c r="B144" s="1067" t="s">
        <v>430</v>
      </c>
      <c r="C144" s="1067" t="s">
        <v>43</v>
      </c>
      <c r="D144" s="1067">
        <v>464</v>
      </c>
      <c r="E144" s="1067">
        <v>138</v>
      </c>
      <c r="F144" s="1067">
        <v>10</v>
      </c>
      <c r="G144" s="1067"/>
      <c r="H144" s="1067">
        <v>175</v>
      </c>
      <c r="I144" s="1067">
        <v>13</v>
      </c>
      <c r="J144" s="1067">
        <v>2</v>
      </c>
      <c r="K144" s="1067">
        <v>69</v>
      </c>
      <c r="L144" s="1067">
        <v>8</v>
      </c>
      <c r="M144" s="1067">
        <v>10</v>
      </c>
      <c r="N144" s="1067">
        <v>9</v>
      </c>
      <c r="O144" s="1067">
        <v>7</v>
      </c>
      <c r="P144" s="1067">
        <v>5</v>
      </c>
      <c r="Q144" s="1067">
        <v>2</v>
      </c>
      <c r="R144" s="1067">
        <v>5</v>
      </c>
      <c r="S144" s="1067">
        <v>11</v>
      </c>
    </row>
    <row r="145" spans="1:19" x14ac:dyDescent="0.25">
      <c r="A145" s="1067" t="s">
        <v>255</v>
      </c>
      <c r="B145" s="1067" t="s">
        <v>289</v>
      </c>
      <c r="C145" s="1067" t="s">
        <v>44</v>
      </c>
      <c r="D145" s="1067">
        <v>286</v>
      </c>
      <c r="E145" s="1067">
        <v>79</v>
      </c>
      <c r="F145" s="1067">
        <v>2</v>
      </c>
      <c r="G145" s="1067"/>
      <c r="H145" s="1067">
        <v>60</v>
      </c>
      <c r="I145" s="1067">
        <v>12</v>
      </c>
      <c r="J145" s="1067">
        <v>27</v>
      </c>
      <c r="K145" s="1067">
        <v>82</v>
      </c>
      <c r="L145" s="1067">
        <v>4</v>
      </c>
      <c r="M145" s="1067"/>
      <c r="N145" s="1067">
        <v>4</v>
      </c>
      <c r="O145" s="1067">
        <v>10</v>
      </c>
      <c r="P145" s="1067">
        <v>2</v>
      </c>
      <c r="Q145" s="1067">
        <v>1</v>
      </c>
      <c r="R145" s="1067">
        <v>2</v>
      </c>
      <c r="S145" s="1067">
        <v>1</v>
      </c>
    </row>
    <row r="146" spans="1:19" x14ac:dyDescent="0.25">
      <c r="A146" s="1067" t="s">
        <v>255</v>
      </c>
      <c r="B146" s="1067" t="s">
        <v>290</v>
      </c>
      <c r="C146" s="1067" t="s">
        <v>45</v>
      </c>
      <c r="D146" s="1067">
        <v>65</v>
      </c>
      <c r="E146" s="1067">
        <v>35</v>
      </c>
      <c r="F146" s="1067">
        <v>3</v>
      </c>
      <c r="G146" s="1067">
        <v>1</v>
      </c>
      <c r="H146" s="1067">
        <v>10</v>
      </c>
      <c r="I146" s="1067"/>
      <c r="J146" s="1067"/>
      <c r="K146" s="1067">
        <v>6</v>
      </c>
      <c r="L146" s="1067">
        <v>3</v>
      </c>
      <c r="M146" s="1067">
        <v>1</v>
      </c>
      <c r="N146" s="1067">
        <v>1</v>
      </c>
      <c r="O146" s="1067">
        <v>1</v>
      </c>
      <c r="P146" s="1067">
        <v>1</v>
      </c>
      <c r="Q146" s="1067">
        <v>1</v>
      </c>
      <c r="R146" s="1067">
        <v>1</v>
      </c>
      <c r="S146" s="1067">
        <v>1</v>
      </c>
    </row>
    <row r="147" spans="1:19" x14ac:dyDescent="0.25">
      <c r="A147" s="1067" t="s">
        <v>255</v>
      </c>
      <c r="B147" s="1067" t="s">
        <v>291</v>
      </c>
      <c r="C147" s="1067" t="s">
        <v>46</v>
      </c>
      <c r="D147" s="1067">
        <v>95</v>
      </c>
      <c r="E147" s="1067">
        <v>16</v>
      </c>
      <c r="F147" s="1067">
        <v>4</v>
      </c>
      <c r="G147" s="1067">
        <v>2</v>
      </c>
      <c r="H147" s="1067">
        <v>32</v>
      </c>
      <c r="I147" s="1067">
        <v>3</v>
      </c>
      <c r="J147" s="1067">
        <v>3</v>
      </c>
      <c r="K147" s="1067">
        <v>5</v>
      </c>
      <c r="L147" s="1067">
        <v>11</v>
      </c>
      <c r="M147" s="1067">
        <v>2</v>
      </c>
      <c r="N147" s="1067">
        <v>3</v>
      </c>
      <c r="O147" s="1067">
        <v>1</v>
      </c>
      <c r="P147" s="1067">
        <v>4</v>
      </c>
      <c r="Q147" s="1067">
        <v>3</v>
      </c>
      <c r="R147" s="1067">
        <v>2</v>
      </c>
      <c r="S147" s="1067">
        <v>4</v>
      </c>
    </row>
    <row r="148" spans="1:19" x14ac:dyDescent="0.25">
      <c r="A148" s="1067" t="s">
        <v>255</v>
      </c>
      <c r="B148" s="1067" t="s">
        <v>292</v>
      </c>
      <c r="C148" s="1067" t="s">
        <v>47</v>
      </c>
      <c r="D148" s="1067">
        <v>216</v>
      </c>
      <c r="E148" s="1067">
        <v>42</v>
      </c>
      <c r="F148" s="1067">
        <v>14</v>
      </c>
      <c r="G148" s="1067">
        <v>2</v>
      </c>
      <c r="H148" s="1067">
        <v>15</v>
      </c>
      <c r="I148" s="1067">
        <v>10</v>
      </c>
      <c r="J148" s="1067">
        <v>2</v>
      </c>
      <c r="K148" s="1067">
        <v>45</v>
      </c>
      <c r="L148" s="1067">
        <v>3</v>
      </c>
      <c r="M148" s="1067">
        <v>9</v>
      </c>
      <c r="N148" s="1067">
        <v>3</v>
      </c>
      <c r="O148" s="1067">
        <v>44</v>
      </c>
      <c r="P148" s="1067">
        <v>1</v>
      </c>
      <c r="Q148" s="1067"/>
      <c r="R148" s="1067">
        <v>21</v>
      </c>
      <c r="S148" s="1067">
        <v>5</v>
      </c>
    </row>
    <row r="149" spans="1:19" x14ac:dyDescent="0.25">
      <c r="A149" s="1067" t="s">
        <v>255</v>
      </c>
      <c r="B149" s="1067" t="s">
        <v>293</v>
      </c>
      <c r="C149" s="1067" t="s">
        <v>49</v>
      </c>
      <c r="D149" s="1067">
        <v>102</v>
      </c>
      <c r="E149" s="1067">
        <v>40</v>
      </c>
      <c r="F149" s="1067">
        <v>1</v>
      </c>
      <c r="G149" s="1067">
        <v>1</v>
      </c>
      <c r="H149" s="1067">
        <v>3</v>
      </c>
      <c r="I149" s="1067">
        <v>2</v>
      </c>
      <c r="J149" s="1067"/>
      <c r="K149" s="1067">
        <v>29</v>
      </c>
      <c r="L149" s="1067">
        <v>7</v>
      </c>
      <c r="M149" s="1067">
        <v>3</v>
      </c>
      <c r="N149" s="1067">
        <v>2</v>
      </c>
      <c r="O149" s="1067">
        <v>4</v>
      </c>
      <c r="P149" s="1067">
        <v>1</v>
      </c>
      <c r="Q149" s="1067"/>
      <c r="R149" s="1067">
        <v>1</v>
      </c>
      <c r="S149" s="1067">
        <v>8</v>
      </c>
    </row>
    <row r="150" spans="1:19" x14ac:dyDescent="0.25">
      <c r="A150" s="1067" t="s">
        <v>255</v>
      </c>
      <c r="B150" s="1067" t="s">
        <v>294</v>
      </c>
      <c r="C150" s="1067" t="s">
        <v>51</v>
      </c>
      <c r="D150" s="1067">
        <v>13</v>
      </c>
      <c r="E150" s="1067">
        <v>9</v>
      </c>
      <c r="F150" s="1067">
        <v>1</v>
      </c>
      <c r="G150" s="1067"/>
      <c r="H150" s="1067"/>
      <c r="I150" s="1067"/>
      <c r="J150" s="1067"/>
      <c r="K150" s="1067">
        <v>3</v>
      </c>
      <c r="L150" s="1067"/>
      <c r="M150" s="1067"/>
      <c r="N150" s="1067"/>
      <c r="O150" s="1067"/>
      <c r="P150" s="1067"/>
      <c r="Q150" s="1067"/>
      <c r="R150" s="1067"/>
      <c r="S150" s="1067"/>
    </row>
    <row r="151" spans="1:19" x14ac:dyDescent="0.25">
      <c r="A151" s="1067" t="s">
        <v>255</v>
      </c>
      <c r="B151" s="1067" t="s">
        <v>295</v>
      </c>
      <c r="C151" s="1067" t="s">
        <v>52</v>
      </c>
      <c r="D151" s="1067">
        <v>293</v>
      </c>
      <c r="E151" s="1067">
        <v>80</v>
      </c>
      <c r="F151" s="1067">
        <v>3</v>
      </c>
      <c r="G151" s="1067"/>
      <c r="H151" s="1067">
        <v>6</v>
      </c>
      <c r="I151" s="1067">
        <v>58</v>
      </c>
      <c r="J151" s="1067">
        <v>9</v>
      </c>
      <c r="K151" s="1067">
        <v>70</v>
      </c>
      <c r="L151" s="1067">
        <v>4</v>
      </c>
      <c r="M151" s="1067">
        <v>4</v>
      </c>
      <c r="N151" s="1067">
        <v>14</v>
      </c>
      <c r="O151" s="1067">
        <v>36</v>
      </c>
      <c r="P151" s="1067">
        <v>1</v>
      </c>
      <c r="Q151" s="1067">
        <v>1</v>
      </c>
      <c r="R151" s="1067">
        <v>2</v>
      </c>
      <c r="S151" s="1067">
        <v>5</v>
      </c>
    </row>
    <row r="152" spans="1:19" x14ac:dyDescent="0.25">
      <c r="A152" s="1067" t="s">
        <v>255</v>
      </c>
      <c r="B152" s="1067" t="s">
        <v>296</v>
      </c>
      <c r="C152" s="1067" t="s">
        <v>54</v>
      </c>
      <c r="D152" s="1067">
        <v>231</v>
      </c>
      <c r="E152" s="1067">
        <v>36</v>
      </c>
      <c r="F152" s="1067">
        <v>9</v>
      </c>
      <c r="G152" s="1067">
        <v>3</v>
      </c>
      <c r="H152" s="1067">
        <v>17</v>
      </c>
      <c r="I152" s="1067">
        <v>17</v>
      </c>
      <c r="J152" s="1067"/>
      <c r="K152" s="1067">
        <v>60</v>
      </c>
      <c r="L152" s="1067">
        <v>20</v>
      </c>
      <c r="M152" s="1067">
        <v>9</v>
      </c>
      <c r="N152" s="1067">
        <v>5</v>
      </c>
      <c r="O152" s="1067">
        <v>13</v>
      </c>
      <c r="P152" s="1067">
        <v>4</v>
      </c>
      <c r="Q152" s="1067">
        <v>2</v>
      </c>
      <c r="R152" s="1067">
        <v>15</v>
      </c>
      <c r="S152" s="1067">
        <v>21</v>
      </c>
    </row>
    <row r="153" spans="1:19" x14ac:dyDescent="0.25">
      <c r="A153" s="1067" t="s">
        <v>255</v>
      </c>
      <c r="B153" s="1067" t="s">
        <v>297</v>
      </c>
      <c r="C153" s="1067" t="s">
        <v>55</v>
      </c>
      <c r="D153" s="1067">
        <v>23</v>
      </c>
      <c r="E153" s="1067">
        <v>16</v>
      </c>
      <c r="F153" s="1067"/>
      <c r="G153" s="1067"/>
      <c r="H153" s="1067">
        <v>3</v>
      </c>
      <c r="I153" s="1067">
        <v>1</v>
      </c>
      <c r="J153" s="1067"/>
      <c r="K153" s="1067"/>
      <c r="L153" s="1067">
        <v>1</v>
      </c>
      <c r="M153" s="1067"/>
      <c r="N153" s="1067"/>
      <c r="O153" s="1067"/>
      <c r="P153" s="1067"/>
      <c r="Q153" s="1067"/>
      <c r="R153" s="1067">
        <v>1</v>
      </c>
      <c r="S153" s="1067">
        <v>1</v>
      </c>
    </row>
    <row r="154" spans="1:19" x14ac:dyDescent="0.25">
      <c r="A154" s="1067" t="s">
        <v>255</v>
      </c>
      <c r="B154" s="1067" t="s">
        <v>298</v>
      </c>
      <c r="C154" s="1067" t="s">
        <v>56</v>
      </c>
      <c r="D154" s="1067">
        <v>319</v>
      </c>
      <c r="E154" s="1067">
        <v>45</v>
      </c>
      <c r="F154" s="1067">
        <v>3</v>
      </c>
      <c r="G154" s="1067">
        <v>1</v>
      </c>
      <c r="H154" s="1067">
        <v>32</v>
      </c>
      <c r="I154" s="1067">
        <v>11</v>
      </c>
      <c r="J154" s="1067">
        <v>2</v>
      </c>
      <c r="K154" s="1067">
        <v>67</v>
      </c>
      <c r="L154" s="1067">
        <v>30</v>
      </c>
      <c r="M154" s="1067">
        <v>19</v>
      </c>
      <c r="N154" s="1067">
        <v>14</v>
      </c>
      <c r="O154" s="1067">
        <v>38</v>
      </c>
      <c r="P154" s="1067">
        <v>9</v>
      </c>
      <c r="Q154" s="1067"/>
      <c r="R154" s="1067">
        <v>28</v>
      </c>
      <c r="S154" s="1067">
        <v>20</v>
      </c>
    </row>
    <row r="155" spans="1:19" x14ac:dyDescent="0.25">
      <c r="A155" s="1067" t="s">
        <v>255</v>
      </c>
      <c r="B155" s="1067" t="s">
        <v>299</v>
      </c>
      <c r="C155" s="1067" t="s">
        <v>57</v>
      </c>
      <c r="D155" s="1067">
        <v>333</v>
      </c>
      <c r="E155" s="1067">
        <v>115</v>
      </c>
      <c r="F155" s="1067">
        <v>16</v>
      </c>
      <c r="G155" s="1067">
        <v>2</v>
      </c>
      <c r="H155" s="1067">
        <v>74</v>
      </c>
      <c r="I155" s="1067">
        <v>24</v>
      </c>
      <c r="J155" s="1067">
        <v>3</v>
      </c>
      <c r="K155" s="1067">
        <v>37</v>
      </c>
      <c r="L155" s="1067">
        <v>14</v>
      </c>
      <c r="M155" s="1067">
        <v>7</v>
      </c>
      <c r="N155" s="1067">
        <v>8</v>
      </c>
      <c r="O155" s="1067">
        <v>4</v>
      </c>
      <c r="P155" s="1067">
        <v>5</v>
      </c>
      <c r="Q155" s="1067">
        <v>1</v>
      </c>
      <c r="R155" s="1067">
        <v>9</v>
      </c>
      <c r="S155" s="1067">
        <v>14</v>
      </c>
    </row>
    <row r="156" spans="1:19" x14ac:dyDescent="0.25">
      <c r="A156" s="1067" t="s">
        <v>255</v>
      </c>
      <c r="B156" s="1067" t="s">
        <v>300</v>
      </c>
      <c r="C156" s="1067" t="s">
        <v>58</v>
      </c>
      <c r="D156" s="1067">
        <v>224</v>
      </c>
      <c r="E156" s="1067">
        <v>45</v>
      </c>
      <c r="F156" s="1067">
        <v>2</v>
      </c>
      <c r="G156" s="1067">
        <v>2</v>
      </c>
      <c r="H156" s="1067">
        <v>56</v>
      </c>
      <c r="I156" s="1067">
        <v>2</v>
      </c>
      <c r="J156" s="1067">
        <v>5</v>
      </c>
      <c r="K156" s="1067">
        <v>41</v>
      </c>
      <c r="L156" s="1067">
        <v>11</v>
      </c>
      <c r="M156" s="1067">
        <v>2</v>
      </c>
      <c r="N156" s="1067">
        <v>7</v>
      </c>
      <c r="O156" s="1067">
        <v>31</v>
      </c>
      <c r="P156" s="1067">
        <v>1</v>
      </c>
      <c r="Q156" s="1067">
        <v>2</v>
      </c>
      <c r="R156" s="1067">
        <v>15</v>
      </c>
      <c r="S156" s="1067">
        <v>2</v>
      </c>
    </row>
    <row r="157" spans="1:19" x14ac:dyDescent="0.25">
      <c r="A157" s="1067" t="s">
        <v>255</v>
      </c>
      <c r="B157" s="1067" t="s">
        <v>301</v>
      </c>
      <c r="C157" s="1067" t="s">
        <v>31</v>
      </c>
      <c r="D157" s="1067">
        <v>315</v>
      </c>
      <c r="E157" s="1067">
        <v>46</v>
      </c>
      <c r="F157" s="1067">
        <v>6</v>
      </c>
      <c r="G157" s="1067">
        <v>3</v>
      </c>
      <c r="H157" s="1067">
        <v>170</v>
      </c>
      <c r="I157" s="1067">
        <v>13</v>
      </c>
      <c r="J157" s="1067">
        <v>1</v>
      </c>
      <c r="K157" s="1067">
        <v>35</v>
      </c>
      <c r="L157" s="1067">
        <v>9</v>
      </c>
      <c r="M157" s="1067">
        <v>5</v>
      </c>
      <c r="N157" s="1067">
        <v>6</v>
      </c>
      <c r="O157" s="1067">
        <v>1</v>
      </c>
      <c r="P157" s="1067">
        <v>4</v>
      </c>
      <c r="Q157" s="1067">
        <v>1</v>
      </c>
      <c r="R157" s="1067">
        <v>3</v>
      </c>
      <c r="S157" s="1067">
        <v>12</v>
      </c>
    </row>
    <row r="158" spans="1:19" x14ac:dyDescent="0.25">
      <c r="A158" s="1067" t="s">
        <v>255</v>
      </c>
      <c r="B158" s="1067" t="s">
        <v>302</v>
      </c>
      <c r="C158" s="1067" t="s">
        <v>32</v>
      </c>
      <c r="D158" s="1067">
        <v>344</v>
      </c>
      <c r="E158" s="1067">
        <v>92</v>
      </c>
      <c r="F158" s="1067">
        <v>15</v>
      </c>
      <c r="G158" s="1067">
        <v>1</v>
      </c>
      <c r="H158" s="1067">
        <v>39</v>
      </c>
      <c r="I158" s="1067">
        <v>15</v>
      </c>
      <c r="J158" s="1067"/>
      <c r="K158" s="1067">
        <v>72</v>
      </c>
      <c r="L158" s="1067">
        <v>10</v>
      </c>
      <c r="M158" s="1067">
        <v>11</v>
      </c>
      <c r="N158" s="1067">
        <v>8</v>
      </c>
      <c r="O158" s="1067">
        <v>52</v>
      </c>
      <c r="P158" s="1067">
        <v>5</v>
      </c>
      <c r="Q158" s="1067">
        <v>6</v>
      </c>
      <c r="R158" s="1067">
        <v>8</v>
      </c>
      <c r="S158" s="1067">
        <v>10</v>
      </c>
    </row>
    <row r="159" spans="1:19" x14ac:dyDescent="0.25">
      <c r="A159" s="1067" t="s">
        <v>255</v>
      </c>
      <c r="B159" s="1067" t="s">
        <v>303</v>
      </c>
      <c r="C159" s="1067" t="s">
        <v>34</v>
      </c>
      <c r="D159" s="1067">
        <v>185</v>
      </c>
      <c r="E159" s="1067">
        <v>22</v>
      </c>
      <c r="F159" s="1067">
        <v>3</v>
      </c>
      <c r="G159" s="1067"/>
      <c r="H159" s="1067">
        <v>25</v>
      </c>
      <c r="I159" s="1067">
        <v>5</v>
      </c>
      <c r="J159" s="1067">
        <v>4</v>
      </c>
      <c r="K159" s="1067">
        <v>62</v>
      </c>
      <c r="L159" s="1067">
        <v>4</v>
      </c>
      <c r="M159" s="1067">
        <v>3</v>
      </c>
      <c r="N159" s="1067">
        <v>5</v>
      </c>
      <c r="O159" s="1067">
        <v>38</v>
      </c>
      <c r="P159" s="1067">
        <v>5</v>
      </c>
      <c r="Q159" s="1067"/>
      <c r="R159" s="1067">
        <v>4</v>
      </c>
      <c r="S159" s="1067">
        <v>5</v>
      </c>
    </row>
    <row r="160" spans="1:19" x14ac:dyDescent="0.25">
      <c r="A160" s="1067" t="s">
        <v>255</v>
      </c>
      <c r="B160" s="1067" t="s">
        <v>304</v>
      </c>
      <c r="C160" s="1067" t="s">
        <v>258</v>
      </c>
      <c r="D160" s="1067">
        <v>744</v>
      </c>
      <c r="E160" s="1067">
        <v>134</v>
      </c>
      <c r="F160" s="1067">
        <v>4</v>
      </c>
      <c r="G160" s="1067">
        <v>6</v>
      </c>
      <c r="H160" s="1067">
        <v>183</v>
      </c>
      <c r="I160" s="1067">
        <v>45</v>
      </c>
      <c r="J160" s="1067">
        <v>17</v>
      </c>
      <c r="K160" s="1067">
        <v>115</v>
      </c>
      <c r="L160" s="1067">
        <v>55</v>
      </c>
      <c r="M160" s="1067">
        <v>22</v>
      </c>
      <c r="N160" s="1067">
        <v>47</v>
      </c>
      <c r="O160" s="1067">
        <v>58</v>
      </c>
      <c r="P160" s="1067">
        <v>10</v>
      </c>
      <c r="Q160" s="1067">
        <v>3</v>
      </c>
      <c r="R160" s="1067">
        <v>18</v>
      </c>
      <c r="S160" s="1067">
        <v>27</v>
      </c>
    </row>
    <row r="161" spans="1:19" x14ac:dyDescent="0.25">
      <c r="A161" s="1067" t="s">
        <v>255</v>
      </c>
      <c r="B161" s="1067" t="s">
        <v>305</v>
      </c>
      <c r="C161" s="1067" t="s">
        <v>53</v>
      </c>
      <c r="D161" s="1067">
        <v>91</v>
      </c>
      <c r="E161" s="1067">
        <v>56</v>
      </c>
      <c r="F161" s="1067">
        <v>1</v>
      </c>
      <c r="G161" s="1067">
        <v>2</v>
      </c>
      <c r="H161" s="1067">
        <v>6</v>
      </c>
      <c r="I161" s="1067">
        <v>3</v>
      </c>
      <c r="J161" s="1067"/>
      <c r="K161" s="1067">
        <v>16</v>
      </c>
      <c r="L161" s="1067">
        <v>4</v>
      </c>
      <c r="M161" s="1067">
        <v>1</v>
      </c>
      <c r="N161" s="1067"/>
      <c r="O161" s="1067"/>
      <c r="P161" s="1067"/>
      <c r="Q161" s="1067"/>
      <c r="R161" s="1067">
        <v>1</v>
      </c>
      <c r="S161" s="1067">
        <v>1</v>
      </c>
    </row>
    <row r="162" spans="1:19" x14ac:dyDescent="0.25">
      <c r="A162" s="1067" t="s">
        <v>255</v>
      </c>
      <c r="B162" s="1067" t="s">
        <v>306</v>
      </c>
      <c r="C162" s="1067" t="s">
        <v>59</v>
      </c>
      <c r="D162" s="1067">
        <v>109</v>
      </c>
      <c r="E162" s="1067">
        <v>18</v>
      </c>
      <c r="F162" s="1067">
        <v>10</v>
      </c>
      <c r="G162" s="1067"/>
      <c r="H162" s="1067">
        <v>21</v>
      </c>
      <c r="I162" s="1067">
        <v>4</v>
      </c>
      <c r="J162" s="1067"/>
      <c r="K162" s="1067">
        <v>16</v>
      </c>
      <c r="L162" s="1067">
        <v>6</v>
      </c>
      <c r="M162" s="1067">
        <v>11</v>
      </c>
      <c r="N162" s="1067">
        <v>2</v>
      </c>
      <c r="O162" s="1067">
        <v>2</v>
      </c>
      <c r="P162" s="1067">
        <v>1</v>
      </c>
      <c r="Q162" s="1067">
        <v>1</v>
      </c>
      <c r="R162" s="1067">
        <v>7</v>
      </c>
      <c r="S162" s="1067">
        <v>10</v>
      </c>
    </row>
    <row r="163" spans="1:19" x14ac:dyDescent="0.25">
      <c r="A163" s="1067" t="s">
        <v>255</v>
      </c>
      <c r="B163" s="1067" t="s">
        <v>307</v>
      </c>
      <c r="C163" s="1067" t="s">
        <v>60</v>
      </c>
      <c r="D163" s="1067">
        <v>164</v>
      </c>
      <c r="E163" s="1067">
        <v>56</v>
      </c>
      <c r="F163" s="1067">
        <v>14</v>
      </c>
      <c r="G163" s="1067"/>
      <c r="H163" s="1067">
        <v>3</v>
      </c>
      <c r="I163" s="1067">
        <v>5</v>
      </c>
      <c r="J163" s="1067">
        <v>1</v>
      </c>
      <c r="K163" s="1067">
        <v>8</v>
      </c>
      <c r="L163" s="1067">
        <v>14</v>
      </c>
      <c r="M163" s="1067">
        <v>5</v>
      </c>
      <c r="N163" s="1067">
        <v>15</v>
      </c>
      <c r="O163" s="1067"/>
      <c r="P163" s="1067">
        <v>3</v>
      </c>
      <c r="Q163" s="1067">
        <v>3</v>
      </c>
      <c r="R163" s="1067">
        <v>16</v>
      </c>
      <c r="S163" s="1067">
        <v>21</v>
      </c>
    </row>
    <row r="164" spans="1:19" x14ac:dyDescent="0.25">
      <c r="A164" s="1067" t="s">
        <v>255</v>
      </c>
      <c r="B164" s="1067" t="s">
        <v>308</v>
      </c>
      <c r="C164" s="1067" t="s">
        <v>33</v>
      </c>
      <c r="D164" s="1067">
        <v>119</v>
      </c>
      <c r="E164" s="1067">
        <v>35</v>
      </c>
      <c r="F164" s="1067">
        <v>3</v>
      </c>
      <c r="G164" s="1067"/>
      <c r="H164" s="1067">
        <v>4</v>
      </c>
      <c r="I164" s="1067">
        <v>15</v>
      </c>
      <c r="J164" s="1067">
        <v>1</v>
      </c>
      <c r="K164" s="1067">
        <v>19</v>
      </c>
      <c r="L164" s="1067">
        <v>12</v>
      </c>
      <c r="M164" s="1067"/>
      <c r="N164" s="1067">
        <v>7</v>
      </c>
      <c r="O164" s="1067">
        <v>16</v>
      </c>
      <c r="P164" s="1067">
        <v>2</v>
      </c>
      <c r="Q164" s="1067">
        <v>2</v>
      </c>
      <c r="R164" s="1067"/>
      <c r="S164" s="1067">
        <v>3</v>
      </c>
    </row>
    <row r="165" spans="1:19" x14ac:dyDescent="0.25">
      <c r="A165" s="1067" t="s">
        <v>255</v>
      </c>
      <c r="B165" s="1067" t="s">
        <v>309</v>
      </c>
      <c r="C165" s="1067" t="s">
        <v>37</v>
      </c>
      <c r="D165" s="1067">
        <v>306</v>
      </c>
      <c r="E165" s="1067">
        <v>36</v>
      </c>
      <c r="F165" s="1067">
        <v>2</v>
      </c>
      <c r="G165" s="1067">
        <v>2</v>
      </c>
      <c r="H165" s="1067">
        <v>195</v>
      </c>
      <c r="I165" s="1067">
        <v>9</v>
      </c>
      <c r="J165" s="1067">
        <v>1</v>
      </c>
      <c r="K165" s="1067">
        <v>41</v>
      </c>
      <c r="L165" s="1067">
        <v>5</v>
      </c>
      <c r="M165" s="1067">
        <v>2</v>
      </c>
      <c r="N165" s="1067">
        <v>2</v>
      </c>
      <c r="O165" s="1067">
        <v>4</v>
      </c>
      <c r="P165" s="1067"/>
      <c r="Q165" s="1067">
        <v>1</v>
      </c>
      <c r="R165" s="1067">
        <v>1</v>
      </c>
      <c r="S165" s="1067">
        <v>5</v>
      </c>
    </row>
    <row r="166" spans="1:19" x14ac:dyDescent="0.25">
      <c r="A166" s="1067" t="s">
        <v>255</v>
      </c>
      <c r="B166" s="1067" t="s">
        <v>310</v>
      </c>
      <c r="C166" s="1067" t="s">
        <v>50</v>
      </c>
      <c r="D166" s="1067">
        <v>351</v>
      </c>
      <c r="E166" s="1067">
        <v>59</v>
      </c>
      <c r="F166" s="1067">
        <v>24</v>
      </c>
      <c r="G166" s="1067"/>
      <c r="H166" s="1067">
        <v>24</v>
      </c>
      <c r="I166" s="1067">
        <v>10</v>
      </c>
      <c r="J166" s="1067"/>
      <c r="K166" s="1067">
        <v>27</v>
      </c>
      <c r="L166" s="1067">
        <v>26</v>
      </c>
      <c r="M166" s="1067">
        <v>40</v>
      </c>
      <c r="N166" s="1067">
        <v>18</v>
      </c>
      <c r="O166" s="1067">
        <v>5</v>
      </c>
      <c r="P166" s="1067">
        <v>27</v>
      </c>
      <c r="Q166" s="1067">
        <v>4</v>
      </c>
      <c r="R166" s="1067">
        <v>6</v>
      </c>
      <c r="S166" s="1067">
        <v>81</v>
      </c>
    </row>
    <row r="167" spans="1:19" x14ac:dyDescent="0.25">
      <c r="A167" s="1067" t="s">
        <v>255</v>
      </c>
      <c r="B167" s="1067" t="s">
        <v>311</v>
      </c>
      <c r="C167" s="1067" t="s">
        <v>39</v>
      </c>
      <c r="D167" s="1067">
        <v>92</v>
      </c>
      <c r="E167" s="1067">
        <v>32</v>
      </c>
      <c r="F167" s="1067">
        <v>1</v>
      </c>
      <c r="G167" s="1067"/>
      <c r="H167" s="1067">
        <v>22</v>
      </c>
      <c r="I167" s="1067">
        <v>1</v>
      </c>
      <c r="J167" s="1067"/>
      <c r="K167" s="1067">
        <v>7</v>
      </c>
      <c r="L167" s="1067">
        <v>4</v>
      </c>
      <c r="M167" s="1067">
        <v>3</v>
      </c>
      <c r="N167" s="1067">
        <v>5</v>
      </c>
      <c r="O167" s="1067">
        <v>1</v>
      </c>
      <c r="P167" s="1067">
        <v>3</v>
      </c>
      <c r="Q167" s="1067">
        <v>3</v>
      </c>
      <c r="R167" s="1067">
        <v>4</v>
      </c>
      <c r="S167" s="1067">
        <v>6</v>
      </c>
    </row>
    <row r="168" spans="1:19" x14ac:dyDescent="0.25">
      <c r="A168" s="1067" t="s">
        <v>255</v>
      </c>
      <c r="B168" s="1067" t="s">
        <v>312</v>
      </c>
      <c r="C168" s="1067" t="s">
        <v>121</v>
      </c>
      <c r="D168" s="1067">
        <v>1187</v>
      </c>
      <c r="E168" s="1067">
        <v>109</v>
      </c>
      <c r="F168" s="1067">
        <v>5</v>
      </c>
      <c r="G168" s="1067">
        <v>6</v>
      </c>
      <c r="H168" s="1067">
        <v>831</v>
      </c>
      <c r="I168" s="1067">
        <v>41</v>
      </c>
      <c r="J168" s="1067">
        <v>15</v>
      </c>
      <c r="K168" s="1067">
        <v>81</v>
      </c>
      <c r="L168" s="1067">
        <v>25</v>
      </c>
      <c r="M168" s="1067">
        <v>14</v>
      </c>
      <c r="N168" s="1067">
        <v>9</v>
      </c>
      <c r="O168" s="1067">
        <v>4</v>
      </c>
      <c r="P168" s="1067">
        <v>3</v>
      </c>
      <c r="Q168" s="1067">
        <v>5</v>
      </c>
      <c r="R168" s="1067">
        <v>11</v>
      </c>
      <c r="S168" s="1067">
        <v>28</v>
      </c>
    </row>
    <row r="169" spans="1:19" x14ac:dyDescent="0.25">
      <c r="A169" s="1067" t="s">
        <v>254</v>
      </c>
      <c r="B169" s="1067" t="s">
        <v>282</v>
      </c>
      <c r="C169" s="1067" t="s">
        <v>35</v>
      </c>
      <c r="D169" s="1067">
        <v>70</v>
      </c>
      <c r="E169" s="1067">
        <v>22</v>
      </c>
      <c r="F169" s="1067">
        <v>7</v>
      </c>
      <c r="G169" s="1067"/>
      <c r="H169" s="1067">
        <v>8</v>
      </c>
      <c r="I169" s="1067">
        <v>5</v>
      </c>
      <c r="J169" s="1067">
        <v>2</v>
      </c>
      <c r="K169" s="1067">
        <v>3</v>
      </c>
      <c r="L169" s="1067">
        <v>1</v>
      </c>
      <c r="M169" s="1067">
        <v>2</v>
      </c>
      <c r="N169" s="1067">
        <v>1</v>
      </c>
      <c r="O169" s="1067">
        <v>2</v>
      </c>
      <c r="P169" s="1067"/>
      <c r="Q169" s="1067"/>
      <c r="R169" s="1067">
        <v>17</v>
      </c>
      <c r="S169" s="1067"/>
    </row>
    <row r="170" spans="1:19" x14ac:dyDescent="0.25">
      <c r="A170" s="1067" t="s">
        <v>254</v>
      </c>
      <c r="B170" s="1067" t="s">
        <v>283</v>
      </c>
      <c r="C170" s="1067" t="s">
        <v>36</v>
      </c>
      <c r="D170" s="1067">
        <v>440</v>
      </c>
      <c r="E170" s="1067">
        <v>77</v>
      </c>
      <c r="F170" s="1067">
        <v>17</v>
      </c>
      <c r="G170" s="1067">
        <v>5</v>
      </c>
      <c r="H170" s="1067">
        <v>32</v>
      </c>
      <c r="I170" s="1067">
        <v>12</v>
      </c>
      <c r="J170" s="1067">
        <v>7</v>
      </c>
      <c r="K170" s="1067">
        <v>86</v>
      </c>
      <c r="L170" s="1067">
        <v>17</v>
      </c>
      <c r="M170" s="1067">
        <v>34</v>
      </c>
      <c r="N170" s="1067">
        <v>29</v>
      </c>
      <c r="O170" s="1067">
        <v>16</v>
      </c>
      <c r="P170" s="1067">
        <v>13</v>
      </c>
      <c r="Q170" s="1067">
        <v>10</v>
      </c>
      <c r="R170" s="1067">
        <v>55</v>
      </c>
      <c r="S170" s="1067">
        <v>30</v>
      </c>
    </row>
    <row r="171" spans="1:19" x14ac:dyDescent="0.25">
      <c r="A171" s="1067" t="s">
        <v>254</v>
      </c>
      <c r="B171" s="1067" t="s">
        <v>284</v>
      </c>
      <c r="C171" s="1067" t="s">
        <v>38</v>
      </c>
      <c r="D171" s="1067">
        <v>145</v>
      </c>
      <c r="E171" s="1067">
        <v>57</v>
      </c>
      <c r="F171" s="1067">
        <v>7</v>
      </c>
      <c r="G171" s="1067"/>
      <c r="H171" s="1067">
        <v>7</v>
      </c>
      <c r="I171" s="1067">
        <v>3</v>
      </c>
      <c r="J171" s="1067"/>
      <c r="K171" s="1067">
        <v>24</v>
      </c>
      <c r="L171" s="1067">
        <v>9</v>
      </c>
      <c r="M171" s="1067">
        <v>3</v>
      </c>
      <c r="N171" s="1067">
        <v>6</v>
      </c>
      <c r="O171" s="1067">
        <v>8</v>
      </c>
      <c r="P171" s="1067">
        <v>2</v>
      </c>
      <c r="Q171" s="1067"/>
      <c r="R171" s="1067">
        <v>8</v>
      </c>
      <c r="S171" s="1067">
        <v>11</v>
      </c>
    </row>
    <row r="172" spans="1:19" x14ac:dyDescent="0.25">
      <c r="A172" s="1067" t="s">
        <v>254</v>
      </c>
      <c r="B172" s="1067" t="s">
        <v>285</v>
      </c>
      <c r="C172" s="1067" t="s">
        <v>40</v>
      </c>
      <c r="D172" s="1067">
        <v>149</v>
      </c>
      <c r="E172" s="1067">
        <v>29</v>
      </c>
      <c r="F172" s="1067">
        <v>5</v>
      </c>
      <c r="G172" s="1067"/>
      <c r="H172" s="1067">
        <v>6</v>
      </c>
      <c r="I172" s="1067">
        <v>7</v>
      </c>
      <c r="J172" s="1067">
        <v>9</v>
      </c>
      <c r="K172" s="1067">
        <v>30</v>
      </c>
      <c r="L172" s="1067">
        <v>7</v>
      </c>
      <c r="M172" s="1067">
        <v>9</v>
      </c>
      <c r="N172" s="1067">
        <v>13</v>
      </c>
      <c r="O172" s="1067">
        <v>11</v>
      </c>
      <c r="P172" s="1067">
        <v>2</v>
      </c>
      <c r="Q172" s="1067">
        <v>1</v>
      </c>
      <c r="R172" s="1067">
        <v>16</v>
      </c>
      <c r="S172" s="1067">
        <v>4</v>
      </c>
    </row>
    <row r="173" spans="1:19" x14ac:dyDescent="0.25">
      <c r="A173" s="1067" t="s">
        <v>254</v>
      </c>
      <c r="B173" s="1067" t="s">
        <v>286</v>
      </c>
      <c r="C173" s="1067" t="s">
        <v>41</v>
      </c>
      <c r="D173" s="1067">
        <v>36</v>
      </c>
      <c r="E173" s="1067">
        <v>15</v>
      </c>
      <c r="F173" s="1067">
        <v>2</v>
      </c>
      <c r="G173" s="1067">
        <v>1</v>
      </c>
      <c r="H173" s="1067"/>
      <c r="I173" s="1067">
        <v>1</v>
      </c>
      <c r="J173" s="1067"/>
      <c r="K173" s="1067">
        <v>6</v>
      </c>
      <c r="L173" s="1067">
        <v>2</v>
      </c>
      <c r="M173" s="1067"/>
      <c r="N173" s="1067">
        <v>3</v>
      </c>
      <c r="O173" s="1067">
        <v>1</v>
      </c>
      <c r="P173" s="1067">
        <v>1</v>
      </c>
      <c r="Q173" s="1067">
        <v>1</v>
      </c>
      <c r="R173" s="1067">
        <v>2</v>
      </c>
      <c r="S173" s="1067">
        <v>1</v>
      </c>
    </row>
    <row r="174" spans="1:19" x14ac:dyDescent="0.25">
      <c r="A174" s="1067" t="s">
        <v>254</v>
      </c>
      <c r="B174" s="1067" t="s">
        <v>287</v>
      </c>
      <c r="C174" s="1067" t="s">
        <v>48</v>
      </c>
      <c r="D174" s="1067">
        <v>21</v>
      </c>
      <c r="E174" s="1067">
        <v>6</v>
      </c>
      <c r="F174" s="1067">
        <v>2</v>
      </c>
      <c r="G174" s="1067"/>
      <c r="H174" s="1067"/>
      <c r="I174" s="1067">
        <v>2</v>
      </c>
      <c r="J174" s="1067"/>
      <c r="K174" s="1067">
        <v>8</v>
      </c>
      <c r="L174" s="1067">
        <v>1</v>
      </c>
      <c r="M174" s="1067">
        <v>1</v>
      </c>
      <c r="N174" s="1067"/>
      <c r="O174" s="1067"/>
      <c r="P174" s="1067"/>
      <c r="Q174" s="1067"/>
      <c r="R174" s="1067">
        <v>1</v>
      </c>
      <c r="S174" s="1067"/>
    </row>
    <row r="175" spans="1:19" x14ac:dyDescent="0.25">
      <c r="A175" s="1067" t="s">
        <v>254</v>
      </c>
      <c r="B175" s="1067" t="s">
        <v>288</v>
      </c>
      <c r="C175" s="1067" t="s">
        <v>42</v>
      </c>
      <c r="D175" s="1067">
        <v>201</v>
      </c>
      <c r="E175" s="1067">
        <v>46</v>
      </c>
      <c r="F175" s="1067">
        <v>13</v>
      </c>
      <c r="G175" s="1067"/>
      <c r="H175" s="1067">
        <v>5</v>
      </c>
      <c r="I175" s="1067">
        <v>24</v>
      </c>
      <c r="J175" s="1067">
        <v>1</v>
      </c>
      <c r="K175" s="1067">
        <v>11</v>
      </c>
      <c r="L175" s="1067">
        <v>19</v>
      </c>
      <c r="M175" s="1067">
        <v>10</v>
      </c>
      <c r="N175" s="1067">
        <v>9</v>
      </c>
      <c r="O175" s="1067">
        <v>18</v>
      </c>
      <c r="P175" s="1067">
        <v>5</v>
      </c>
      <c r="Q175" s="1067">
        <v>6</v>
      </c>
      <c r="R175" s="1067">
        <v>26</v>
      </c>
      <c r="S175" s="1067">
        <v>8</v>
      </c>
    </row>
    <row r="176" spans="1:19" x14ac:dyDescent="0.25">
      <c r="A176" s="1067" t="s">
        <v>254</v>
      </c>
      <c r="B176" s="1067" t="s">
        <v>430</v>
      </c>
      <c r="C176" s="1067" t="s">
        <v>43</v>
      </c>
      <c r="D176" s="1067">
        <v>657</v>
      </c>
      <c r="E176" s="1067">
        <v>135</v>
      </c>
      <c r="F176" s="1067">
        <v>10</v>
      </c>
      <c r="G176" s="1067"/>
      <c r="H176" s="1067">
        <v>214</v>
      </c>
      <c r="I176" s="1067">
        <v>29</v>
      </c>
      <c r="J176" s="1067"/>
      <c r="K176" s="1067">
        <v>85</v>
      </c>
      <c r="L176" s="1067">
        <v>12</v>
      </c>
      <c r="M176" s="1067">
        <v>5</v>
      </c>
      <c r="N176" s="1067">
        <v>12</v>
      </c>
      <c r="O176" s="1067">
        <v>10</v>
      </c>
      <c r="P176" s="1067">
        <v>10</v>
      </c>
      <c r="Q176" s="1067">
        <v>4</v>
      </c>
      <c r="R176" s="1067">
        <v>122</v>
      </c>
      <c r="S176" s="1067">
        <v>9</v>
      </c>
    </row>
    <row r="177" spans="1:19" x14ac:dyDescent="0.25">
      <c r="A177" s="1067" t="s">
        <v>254</v>
      </c>
      <c r="B177" s="1067" t="s">
        <v>289</v>
      </c>
      <c r="C177" s="1067" t="s">
        <v>44</v>
      </c>
      <c r="D177" s="1067">
        <v>196</v>
      </c>
      <c r="E177" s="1067">
        <v>81</v>
      </c>
      <c r="F177" s="1067">
        <v>4</v>
      </c>
      <c r="G177" s="1067"/>
      <c r="H177" s="1067">
        <v>45</v>
      </c>
      <c r="I177" s="1067">
        <v>15</v>
      </c>
      <c r="J177" s="1067">
        <v>2</v>
      </c>
      <c r="K177" s="1067">
        <v>25</v>
      </c>
      <c r="L177" s="1067">
        <v>5</v>
      </c>
      <c r="M177" s="1067">
        <v>3</v>
      </c>
      <c r="N177" s="1067">
        <v>3</v>
      </c>
      <c r="O177" s="1067">
        <v>3</v>
      </c>
      <c r="P177" s="1067">
        <v>1</v>
      </c>
      <c r="Q177" s="1067">
        <v>1</v>
      </c>
      <c r="R177" s="1067">
        <v>4</v>
      </c>
      <c r="S177" s="1067">
        <v>4</v>
      </c>
    </row>
    <row r="178" spans="1:19" x14ac:dyDescent="0.25">
      <c r="A178" s="1067" t="s">
        <v>254</v>
      </c>
      <c r="B178" s="1067" t="s">
        <v>290</v>
      </c>
      <c r="C178" s="1067" t="s">
        <v>45</v>
      </c>
      <c r="D178" s="1067">
        <v>78</v>
      </c>
      <c r="E178" s="1067">
        <v>35</v>
      </c>
      <c r="F178" s="1067">
        <v>2</v>
      </c>
      <c r="G178" s="1067">
        <v>1</v>
      </c>
      <c r="H178" s="1067">
        <v>7</v>
      </c>
      <c r="I178" s="1067">
        <v>2</v>
      </c>
      <c r="J178" s="1067"/>
      <c r="K178" s="1067">
        <v>6</v>
      </c>
      <c r="L178" s="1067">
        <v>3</v>
      </c>
      <c r="M178" s="1067">
        <v>2</v>
      </c>
      <c r="N178" s="1067">
        <v>3</v>
      </c>
      <c r="O178" s="1067"/>
      <c r="P178" s="1067">
        <v>4</v>
      </c>
      <c r="Q178" s="1067"/>
      <c r="R178" s="1067">
        <v>10</v>
      </c>
      <c r="S178" s="1067">
        <v>3</v>
      </c>
    </row>
    <row r="179" spans="1:19" x14ac:dyDescent="0.25">
      <c r="A179" s="1067" t="s">
        <v>254</v>
      </c>
      <c r="B179" s="1067" t="s">
        <v>291</v>
      </c>
      <c r="C179" s="1067" t="s">
        <v>46</v>
      </c>
      <c r="D179" s="1067">
        <v>138</v>
      </c>
      <c r="E179" s="1067">
        <v>19</v>
      </c>
      <c r="F179" s="1067">
        <v>6</v>
      </c>
      <c r="G179" s="1067">
        <v>2</v>
      </c>
      <c r="H179" s="1067">
        <v>17</v>
      </c>
      <c r="I179" s="1067">
        <v>3</v>
      </c>
      <c r="J179" s="1067">
        <v>2</v>
      </c>
      <c r="K179" s="1067">
        <v>13</v>
      </c>
      <c r="L179" s="1067">
        <v>20</v>
      </c>
      <c r="M179" s="1067">
        <v>4</v>
      </c>
      <c r="N179" s="1067">
        <v>3</v>
      </c>
      <c r="O179" s="1067">
        <v>2</v>
      </c>
      <c r="P179" s="1067">
        <v>11</v>
      </c>
      <c r="Q179" s="1067">
        <v>2</v>
      </c>
      <c r="R179" s="1067">
        <v>12</v>
      </c>
      <c r="S179" s="1067">
        <v>22</v>
      </c>
    </row>
    <row r="180" spans="1:19" x14ac:dyDescent="0.25">
      <c r="A180" s="1067" t="s">
        <v>254</v>
      </c>
      <c r="B180" s="1067" t="s">
        <v>292</v>
      </c>
      <c r="C180" s="1067" t="s">
        <v>47</v>
      </c>
      <c r="D180" s="1067">
        <v>130</v>
      </c>
      <c r="E180" s="1067">
        <v>31</v>
      </c>
      <c r="F180" s="1067">
        <v>7</v>
      </c>
      <c r="G180" s="1067"/>
      <c r="H180" s="1067">
        <v>9</v>
      </c>
      <c r="I180" s="1067">
        <v>8</v>
      </c>
      <c r="J180" s="1067">
        <v>1</v>
      </c>
      <c r="K180" s="1067">
        <v>11</v>
      </c>
      <c r="L180" s="1067">
        <v>4</v>
      </c>
      <c r="M180" s="1067">
        <v>8</v>
      </c>
      <c r="N180" s="1067">
        <v>2</v>
      </c>
      <c r="O180" s="1067">
        <v>28</v>
      </c>
      <c r="P180" s="1067">
        <v>3</v>
      </c>
      <c r="Q180" s="1067">
        <v>1</v>
      </c>
      <c r="R180" s="1067">
        <v>3</v>
      </c>
      <c r="S180" s="1067">
        <v>14</v>
      </c>
    </row>
    <row r="181" spans="1:19" x14ac:dyDescent="0.25">
      <c r="A181" s="1067" t="s">
        <v>254</v>
      </c>
      <c r="B181" s="1067" t="s">
        <v>293</v>
      </c>
      <c r="C181" s="1067" t="s">
        <v>49</v>
      </c>
      <c r="D181" s="1067">
        <v>244</v>
      </c>
      <c r="E181" s="1067">
        <v>100</v>
      </c>
      <c r="F181" s="1067">
        <v>27</v>
      </c>
      <c r="G181" s="1067">
        <v>1</v>
      </c>
      <c r="H181" s="1067">
        <v>9</v>
      </c>
      <c r="I181" s="1067">
        <v>2</v>
      </c>
      <c r="J181" s="1067">
        <v>2</v>
      </c>
      <c r="K181" s="1067">
        <v>31</v>
      </c>
      <c r="L181" s="1067">
        <v>3</v>
      </c>
      <c r="M181" s="1067">
        <v>7</v>
      </c>
      <c r="N181" s="1067">
        <v>3</v>
      </c>
      <c r="O181" s="1067">
        <v>19</v>
      </c>
      <c r="P181" s="1067">
        <v>13</v>
      </c>
      <c r="Q181" s="1067"/>
      <c r="R181" s="1067">
        <v>4</v>
      </c>
      <c r="S181" s="1067">
        <v>23</v>
      </c>
    </row>
    <row r="182" spans="1:19" x14ac:dyDescent="0.25">
      <c r="A182" s="1067" t="s">
        <v>254</v>
      </c>
      <c r="B182" s="1067" t="s">
        <v>294</v>
      </c>
      <c r="C182" s="1067" t="s">
        <v>51</v>
      </c>
      <c r="D182" s="1067">
        <v>9</v>
      </c>
      <c r="E182" s="1067">
        <v>3</v>
      </c>
      <c r="F182" s="1067"/>
      <c r="G182" s="1067"/>
      <c r="H182" s="1067"/>
      <c r="I182" s="1067"/>
      <c r="J182" s="1067"/>
      <c r="K182" s="1067">
        <v>5</v>
      </c>
      <c r="L182" s="1067"/>
      <c r="M182" s="1067"/>
      <c r="N182" s="1067"/>
      <c r="O182" s="1067"/>
      <c r="P182" s="1067">
        <v>1</v>
      </c>
      <c r="Q182" s="1067"/>
      <c r="R182" s="1067"/>
      <c r="S182" s="1067"/>
    </row>
    <row r="183" spans="1:19" x14ac:dyDescent="0.25">
      <c r="A183" s="1067" t="s">
        <v>254</v>
      </c>
      <c r="B183" s="1067" t="s">
        <v>295</v>
      </c>
      <c r="C183" s="1067" t="s">
        <v>52</v>
      </c>
      <c r="D183" s="1067">
        <v>293</v>
      </c>
      <c r="E183" s="1067">
        <v>86</v>
      </c>
      <c r="F183" s="1067">
        <v>7</v>
      </c>
      <c r="G183" s="1067"/>
      <c r="H183" s="1067">
        <v>18</v>
      </c>
      <c r="I183" s="1067">
        <v>69</v>
      </c>
      <c r="J183" s="1067">
        <v>7</v>
      </c>
      <c r="K183" s="1067">
        <v>48</v>
      </c>
      <c r="L183" s="1067">
        <v>5</v>
      </c>
      <c r="M183" s="1067">
        <v>3</v>
      </c>
      <c r="N183" s="1067">
        <v>5</v>
      </c>
      <c r="O183" s="1067">
        <v>30</v>
      </c>
      <c r="P183" s="1067">
        <v>4</v>
      </c>
      <c r="Q183" s="1067">
        <v>1</v>
      </c>
      <c r="R183" s="1067">
        <v>2</v>
      </c>
      <c r="S183" s="1067">
        <v>8</v>
      </c>
    </row>
    <row r="184" spans="1:19" x14ac:dyDescent="0.25">
      <c r="A184" s="1067" t="s">
        <v>254</v>
      </c>
      <c r="B184" s="1067" t="s">
        <v>296</v>
      </c>
      <c r="C184" s="1067" t="s">
        <v>54</v>
      </c>
      <c r="D184" s="1067">
        <v>219</v>
      </c>
      <c r="E184" s="1067">
        <v>36</v>
      </c>
      <c r="F184" s="1067">
        <v>9</v>
      </c>
      <c r="G184" s="1067"/>
      <c r="H184" s="1067">
        <v>31</v>
      </c>
      <c r="I184" s="1067">
        <v>15</v>
      </c>
      <c r="J184" s="1067">
        <v>1</v>
      </c>
      <c r="K184" s="1067">
        <v>44</v>
      </c>
      <c r="L184" s="1067">
        <v>11</v>
      </c>
      <c r="M184" s="1067">
        <v>3</v>
      </c>
      <c r="N184" s="1067">
        <v>16</v>
      </c>
      <c r="O184" s="1067">
        <v>23</v>
      </c>
      <c r="P184" s="1067">
        <v>4</v>
      </c>
      <c r="Q184" s="1067"/>
      <c r="R184" s="1067">
        <v>15</v>
      </c>
      <c r="S184" s="1067">
        <v>11</v>
      </c>
    </row>
    <row r="185" spans="1:19" x14ac:dyDescent="0.25">
      <c r="A185" s="1067" t="s">
        <v>254</v>
      </c>
      <c r="B185" s="1067" t="s">
        <v>297</v>
      </c>
      <c r="C185" s="1067" t="s">
        <v>55</v>
      </c>
      <c r="D185" s="1067">
        <v>16</v>
      </c>
      <c r="E185" s="1067">
        <v>8</v>
      </c>
      <c r="F185" s="1067"/>
      <c r="G185" s="1067"/>
      <c r="H185" s="1067">
        <v>3</v>
      </c>
      <c r="I185" s="1067"/>
      <c r="J185" s="1067"/>
      <c r="K185" s="1067">
        <v>2</v>
      </c>
      <c r="L185" s="1067">
        <v>1</v>
      </c>
      <c r="M185" s="1067"/>
      <c r="N185" s="1067"/>
      <c r="O185" s="1067"/>
      <c r="P185" s="1067">
        <v>1</v>
      </c>
      <c r="Q185" s="1067">
        <v>1</v>
      </c>
      <c r="R185" s="1067"/>
      <c r="S185" s="1067"/>
    </row>
    <row r="186" spans="1:19" x14ac:dyDescent="0.25">
      <c r="A186" s="1067" t="s">
        <v>254</v>
      </c>
      <c r="B186" s="1067" t="s">
        <v>298</v>
      </c>
      <c r="C186" s="1067" t="s">
        <v>56</v>
      </c>
      <c r="D186" s="1067">
        <v>229</v>
      </c>
      <c r="E186" s="1067">
        <v>56</v>
      </c>
      <c r="F186" s="1067">
        <v>17</v>
      </c>
      <c r="G186" s="1067"/>
      <c r="H186" s="1067">
        <v>28</v>
      </c>
      <c r="I186" s="1067">
        <v>8</v>
      </c>
      <c r="J186" s="1067">
        <v>3</v>
      </c>
      <c r="K186" s="1067">
        <v>38</v>
      </c>
      <c r="L186" s="1067">
        <v>11</v>
      </c>
      <c r="M186" s="1067">
        <v>11</v>
      </c>
      <c r="N186" s="1067">
        <v>6</v>
      </c>
      <c r="O186" s="1067">
        <v>7</v>
      </c>
      <c r="P186" s="1067">
        <v>10</v>
      </c>
      <c r="Q186" s="1067">
        <v>2</v>
      </c>
      <c r="R186" s="1067">
        <v>19</v>
      </c>
      <c r="S186" s="1067">
        <v>13</v>
      </c>
    </row>
    <row r="187" spans="1:19" x14ac:dyDescent="0.25">
      <c r="A187" s="1067" t="s">
        <v>254</v>
      </c>
      <c r="B187" s="1067" t="s">
        <v>299</v>
      </c>
      <c r="C187" s="1067" t="s">
        <v>57</v>
      </c>
      <c r="D187" s="1067">
        <v>252</v>
      </c>
      <c r="E187" s="1067">
        <v>98</v>
      </c>
      <c r="F187" s="1067">
        <v>6</v>
      </c>
      <c r="G187" s="1067"/>
      <c r="H187" s="1067">
        <v>52</v>
      </c>
      <c r="I187" s="1067">
        <v>26</v>
      </c>
      <c r="J187" s="1067"/>
      <c r="K187" s="1067">
        <v>31</v>
      </c>
      <c r="L187" s="1067">
        <v>5</v>
      </c>
      <c r="M187" s="1067">
        <v>9</v>
      </c>
      <c r="N187" s="1067">
        <v>10</v>
      </c>
      <c r="O187" s="1067">
        <v>2</v>
      </c>
      <c r="P187" s="1067">
        <v>4</v>
      </c>
      <c r="Q187" s="1067"/>
      <c r="R187" s="1067">
        <v>1</v>
      </c>
      <c r="S187" s="1067">
        <v>8</v>
      </c>
    </row>
    <row r="188" spans="1:19" x14ac:dyDescent="0.25">
      <c r="A188" s="1067" t="s">
        <v>254</v>
      </c>
      <c r="B188" s="1067" t="s">
        <v>300</v>
      </c>
      <c r="C188" s="1067" t="s">
        <v>58</v>
      </c>
      <c r="D188" s="1067">
        <v>193</v>
      </c>
      <c r="E188" s="1067">
        <v>56</v>
      </c>
      <c r="F188" s="1067">
        <v>3</v>
      </c>
      <c r="G188" s="1067"/>
      <c r="H188" s="1067">
        <v>37</v>
      </c>
      <c r="I188" s="1067">
        <v>7</v>
      </c>
      <c r="J188" s="1067">
        <v>2</v>
      </c>
      <c r="K188" s="1067">
        <v>33</v>
      </c>
      <c r="L188" s="1067">
        <v>1</v>
      </c>
      <c r="M188" s="1067">
        <v>2</v>
      </c>
      <c r="N188" s="1067">
        <v>4</v>
      </c>
      <c r="O188" s="1067">
        <v>4</v>
      </c>
      <c r="P188" s="1067">
        <v>3</v>
      </c>
      <c r="Q188" s="1067">
        <v>1</v>
      </c>
      <c r="R188" s="1067">
        <v>36</v>
      </c>
      <c r="S188" s="1067">
        <v>4</v>
      </c>
    </row>
    <row r="189" spans="1:19" x14ac:dyDescent="0.25">
      <c r="A189" s="1067" t="s">
        <v>254</v>
      </c>
      <c r="B189" s="1067" t="s">
        <v>301</v>
      </c>
      <c r="C189" s="1067" t="s">
        <v>31</v>
      </c>
      <c r="D189" s="1067">
        <v>364</v>
      </c>
      <c r="E189" s="1067">
        <v>113</v>
      </c>
      <c r="F189" s="1067">
        <v>7</v>
      </c>
      <c r="G189" s="1067">
        <v>5</v>
      </c>
      <c r="H189" s="1067">
        <v>136</v>
      </c>
      <c r="I189" s="1067">
        <v>22</v>
      </c>
      <c r="J189" s="1067">
        <v>2</v>
      </c>
      <c r="K189" s="1067">
        <v>32</v>
      </c>
      <c r="L189" s="1067">
        <v>5</v>
      </c>
      <c r="M189" s="1067">
        <v>6</v>
      </c>
      <c r="N189" s="1067">
        <v>6</v>
      </c>
      <c r="O189" s="1067">
        <v>1</v>
      </c>
      <c r="P189" s="1067">
        <v>8</v>
      </c>
      <c r="Q189" s="1067">
        <v>2</v>
      </c>
      <c r="R189" s="1067">
        <v>9</v>
      </c>
      <c r="S189" s="1067">
        <v>10</v>
      </c>
    </row>
    <row r="190" spans="1:19" x14ac:dyDescent="0.25">
      <c r="A190" s="1067" t="s">
        <v>254</v>
      </c>
      <c r="B190" s="1067" t="s">
        <v>302</v>
      </c>
      <c r="C190" s="1067" t="s">
        <v>32</v>
      </c>
      <c r="D190" s="1067">
        <v>373</v>
      </c>
      <c r="E190" s="1067">
        <v>88</v>
      </c>
      <c r="F190" s="1067">
        <v>21</v>
      </c>
      <c r="G190" s="1067">
        <v>3</v>
      </c>
      <c r="H190" s="1067">
        <v>48</v>
      </c>
      <c r="I190" s="1067">
        <v>26</v>
      </c>
      <c r="J190" s="1067">
        <v>7</v>
      </c>
      <c r="K190" s="1067">
        <v>73</v>
      </c>
      <c r="L190" s="1067">
        <v>13</v>
      </c>
      <c r="M190" s="1067">
        <v>13</v>
      </c>
      <c r="N190" s="1067">
        <v>4</v>
      </c>
      <c r="O190" s="1067">
        <v>48</v>
      </c>
      <c r="P190" s="1067">
        <v>5</v>
      </c>
      <c r="Q190" s="1067">
        <v>3</v>
      </c>
      <c r="R190" s="1067">
        <v>8</v>
      </c>
      <c r="S190" s="1067">
        <v>13</v>
      </c>
    </row>
    <row r="191" spans="1:19" x14ac:dyDescent="0.25">
      <c r="A191" s="1067" t="s">
        <v>254</v>
      </c>
      <c r="B191" s="1067" t="s">
        <v>303</v>
      </c>
      <c r="C191" s="1067" t="s">
        <v>34</v>
      </c>
      <c r="D191" s="1067">
        <v>220</v>
      </c>
      <c r="E191" s="1067">
        <v>35</v>
      </c>
      <c r="F191" s="1067">
        <v>8</v>
      </c>
      <c r="G191" s="1067">
        <v>1</v>
      </c>
      <c r="H191" s="1067">
        <v>34</v>
      </c>
      <c r="I191" s="1067">
        <v>3</v>
      </c>
      <c r="J191" s="1067">
        <v>4</v>
      </c>
      <c r="K191" s="1067">
        <v>60</v>
      </c>
      <c r="L191" s="1067">
        <v>5</v>
      </c>
      <c r="M191" s="1067">
        <v>5</v>
      </c>
      <c r="N191" s="1067">
        <v>5</v>
      </c>
      <c r="O191" s="1067">
        <v>40</v>
      </c>
      <c r="P191" s="1067">
        <v>6</v>
      </c>
      <c r="Q191" s="1067"/>
      <c r="R191" s="1067">
        <v>2</v>
      </c>
      <c r="S191" s="1067">
        <v>12</v>
      </c>
    </row>
    <row r="192" spans="1:19" x14ac:dyDescent="0.25">
      <c r="A192" s="1067" t="s">
        <v>254</v>
      </c>
      <c r="B192" s="1067" t="s">
        <v>304</v>
      </c>
      <c r="C192" s="1067" t="s">
        <v>258</v>
      </c>
      <c r="D192" s="1067">
        <v>714</v>
      </c>
      <c r="E192" s="1067">
        <v>120</v>
      </c>
      <c r="F192" s="1067">
        <v>7</v>
      </c>
      <c r="G192" s="1067">
        <v>2</v>
      </c>
      <c r="H192" s="1067">
        <v>142</v>
      </c>
      <c r="I192" s="1067">
        <v>66</v>
      </c>
      <c r="J192" s="1067">
        <v>21</v>
      </c>
      <c r="K192" s="1067">
        <v>112</v>
      </c>
      <c r="L192" s="1067">
        <v>85</v>
      </c>
      <c r="M192" s="1067">
        <v>41</v>
      </c>
      <c r="N192" s="1067">
        <v>40</v>
      </c>
      <c r="O192" s="1067">
        <v>23</v>
      </c>
      <c r="P192" s="1067">
        <v>8</v>
      </c>
      <c r="Q192" s="1067">
        <v>5</v>
      </c>
      <c r="R192" s="1067">
        <v>16</v>
      </c>
      <c r="S192" s="1067">
        <v>26</v>
      </c>
    </row>
    <row r="193" spans="1:19" x14ac:dyDescent="0.25">
      <c r="A193" s="1067" t="s">
        <v>254</v>
      </c>
      <c r="B193" s="1067" t="s">
        <v>305</v>
      </c>
      <c r="C193" s="1067" t="s">
        <v>53</v>
      </c>
      <c r="D193" s="1067">
        <v>169</v>
      </c>
      <c r="E193" s="1067">
        <v>58</v>
      </c>
      <c r="F193" s="1067">
        <v>16</v>
      </c>
      <c r="G193" s="1067"/>
      <c r="H193" s="1067">
        <v>17</v>
      </c>
      <c r="I193" s="1067">
        <v>1</v>
      </c>
      <c r="J193" s="1067"/>
      <c r="K193" s="1067">
        <v>20</v>
      </c>
      <c r="L193" s="1067">
        <v>10</v>
      </c>
      <c r="M193" s="1067">
        <v>6</v>
      </c>
      <c r="N193" s="1067">
        <v>5</v>
      </c>
      <c r="O193" s="1067">
        <v>14</v>
      </c>
      <c r="P193" s="1067">
        <v>10</v>
      </c>
      <c r="Q193" s="1067">
        <v>3</v>
      </c>
      <c r="R193" s="1067">
        <v>4</v>
      </c>
      <c r="S193" s="1067">
        <v>5</v>
      </c>
    </row>
    <row r="194" spans="1:19" x14ac:dyDescent="0.25">
      <c r="A194" s="1067" t="s">
        <v>254</v>
      </c>
      <c r="B194" s="1067" t="s">
        <v>306</v>
      </c>
      <c r="C194" s="1067" t="s">
        <v>59</v>
      </c>
      <c r="D194" s="1067">
        <v>79</v>
      </c>
      <c r="E194" s="1067">
        <v>16</v>
      </c>
      <c r="F194" s="1067">
        <v>6</v>
      </c>
      <c r="G194" s="1067"/>
      <c r="H194" s="1067">
        <v>17</v>
      </c>
      <c r="I194" s="1067">
        <v>5</v>
      </c>
      <c r="J194" s="1067"/>
      <c r="K194" s="1067">
        <v>13</v>
      </c>
      <c r="L194" s="1067">
        <v>2</v>
      </c>
      <c r="M194" s="1067">
        <v>4</v>
      </c>
      <c r="N194" s="1067">
        <v>3</v>
      </c>
      <c r="O194" s="1067">
        <v>1</v>
      </c>
      <c r="P194" s="1067">
        <v>5</v>
      </c>
      <c r="Q194" s="1067"/>
      <c r="R194" s="1067">
        <v>1</v>
      </c>
      <c r="S194" s="1067">
        <v>6</v>
      </c>
    </row>
    <row r="195" spans="1:19" x14ac:dyDescent="0.25">
      <c r="A195" s="1067" t="s">
        <v>254</v>
      </c>
      <c r="B195" s="1067" t="s">
        <v>307</v>
      </c>
      <c r="C195" s="1067" t="s">
        <v>60</v>
      </c>
      <c r="D195" s="1067">
        <v>213</v>
      </c>
      <c r="E195" s="1067">
        <v>60</v>
      </c>
      <c r="F195" s="1067">
        <v>21</v>
      </c>
      <c r="G195" s="1067"/>
      <c r="H195" s="1067">
        <v>9</v>
      </c>
      <c r="I195" s="1067">
        <v>11</v>
      </c>
      <c r="J195" s="1067"/>
      <c r="K195" s="1067">
        <v>15</v>
      </c>
      <c r="L195" s="1067">
        <v>8</v>
      </c>
      <c r="M195" s="1067">
        <v>11</v>
      </c>
      <c r="N195" s="1067">
        <v>17</v>
      </c>
      <c r="O195" s="1067">
        <v>1</v>
      </c>
      <c r="P195" s="1067">
        <v>5</v>
      </c>
      <c r="Q195" s="1067">
        <v>8</v>
      </c>
      <c r="R195" s="1067">
        <v>28</v>
      </c>
      <c r="S195" s="1067">
        <v>19</v>
      </c>
    </row>
    <row r="196" spans="1:19" x14ac:dyDescent="0.25">
      <c r="A196" s="1067" t="s">
        <v>254</v>
      </c>
      <c r="B196" s="1067" t="s">
        <v>308</v>
      </c>
      <c r="C196" s="1067" t="s">
        <v>33</v>
      </c>
      <c r="D196" s="1067">
        <v>126</v>
      </c>
      <c r="E196" s="1067">
        <v>39</v>
      </c>
      <c r="F196" s="1067">
        <v>2</v>
      </c>
      <c r="G196" s="1067">
        <v>1</v>
      </c>
      <c r="H196" s="1067">
        <v>6</v>
      </c>
      <c r="I196" s="1067">
        <v>6</v>
      </c>
      <c r="J196" s="1067"/>
      <c r="K196" s="1067">
        <v>14</v>
      </c>
      <c r="L196" s="1067">
        <v>17</v>
      </c>
      <c r="M196" s="1067">
        <v>3</v>
      </c>
      <c r="N196" s="1067">
        <v>13</v>
      </c>
      <c r="O196" s="1067">
        <v>6</v>
      </c>
      <c r="P196" s="1067">
        <v>7</v>
      </c>
      <c r="Q196" s="1067">
        <v>5</v>
      </c>
      <c r="R196" s="1067">
        <v>4</v>
      </c>
      <c r="S196" s="1067">
        <v>3</v>
      </c>
    </row>
    <row r="197" spans="1:19" x14ac:dyDescent="0.25">
      <c r="A197" s="1067" t="s">
        <v>254</v>
      </c>
      <c r="B197" s="1067" t="s">
        <v>309</v>
      </c>
      <c r="C197" s="1067" t="s">
        <v>37</v>
      </c>
      <c r="D197" s="1067">
        <v>381</v>
      </c>
      <c r="E197" s="1067">
        <v>39</v>
      </c>
      <c r="F197" s="1067">
        <v>1</v>
      </c>
      <c r="G197" s="1067"/>
      <c r="H197" s="1067">
        <v>280</v>
      </c>
      <c r="I197" s="1067">
        <v>14</v>
      </c>
      <c r="J197" s="1067">
        <v>2</v>
      </c>
      <c r="K197" s="1067">
        <v>15</v>
      </c>
      <c r="L197" s="1067">
        <v>10</v>
      </c>
      <c r="M197" s="1067">
        <v>1</v>
      </c>
      <c r="N197" s="1067">
        <v>4</v>
      </c>
      <c r="O197" s="1067"/>
      <c r="P197" s="1067">
        <v>4</v>
      </c>
      <c r="Q197" s="1067"/>
      <c r="R197" s="1067">
        <v>6</v>
      </c>
      <c r="S197" s="1067">
        <v>5</v>
      </c>
    </row>
    <row r="198" spans="1:19" x14ac:dyDescent="0.25">
      <c r="A198" s="1067" t="s">
        <v>254</v>
      </c>
      <c r="B198" s="1067" t="s">
        <v>310</v>
      </c>
      <c r="C198" s="1067" t="s">
        <v>50</v>
      </c>
      <c r="D198" s="1067">
        <v>307</v>
      </c>
      <c r="E198" s="1067">
        <v>58</v>
      </c>
      <c r="F198" s="1067">
        <v>17</v>
      </c>
      <c r="G198" s="1067"/>
      <c r="H198" s="1067">
        <v>24</v>
      </c>
      <c r="I198" s="1067">
        <v>9</v>
      </c>
      <c r="J198" s="1067"/>
      <c r="K198" s="1067">
        <v>29</v>
      </c>
      <c r="L198" s="1067">
        <v>24</v>
      </c>
      <c r="M198" s="1067">
        <v>35</v>
      </c>
      <c r="N198" s="1067">
        <v>28</v>
      </c>
      <c r="O198" s="1067">
        <v>3</v>
      </c>
      <c r="P198" s="1067">
        <v>21</v>
      </c>
      <c r="Q198" s="1067">
        <v>1</v>
      </c>
      <c r="R198" s="1067">
        <v>17</v>
      </c>
      <c r="S198" s="1067">
        <v>41</v>
      </c>
    </row>
    <row r="199" spans="1:19" x14ac:dyDescent="0.25">
      <c r="A199" s="1067" t="s">
        <v>254</v>
      </c>
      <c r="B199" s="1067" t="s">
        <v>311</v>
      </c>
      <c r="C199" s="1067" t="s">
        <v>39</v>
      </c>
      <c r="D199" s="1067">
        <v>84</v>
      </c>
      <c r="E199" s="1067">
        <v>26</v>
      </c>
      <c r="F199" s="1067"/>
      <c r="G199" s="1067">
        <v>2</v>
      </c>
      <c r="H199" s="1067">
        <v>19</v>
      </c>
      <c r="I199" s="1067">
        <v>2</v>
      </c>
      <c r="J199" s="1067"/>
      <c r="K199" s="1067">
        <v>5</v>
      </c>
      <c r="L199" s="1067">
        <v>7</v>
      </c>
      <c r="M199" s="1067">
        <v>2</v>
      </c>
      <c r="N199" s="1067">
        <v>4</v>
      </c>
      <c r="O199" s="1067">
        <v>1</v>
      </c>
      <c r="P199" s="1067"/>
      <c r="Q199" s="1067"/>
      <c r="R199" s="1067">
        <v>4</v>
      </c>
      <c r="S199" s="1067">
        <v>12</v>
      </c>
    </row>
    <row r="200" spans="1:19" x14ac:dyDescent="0.25">
      <c r="A200" s="1067" t="s">
        <v>254</v>
      </c>
      <c r="B200" s="1067" t="s">
        <v>312</v>
      </c>
      <c r="C200" s="1067" t="s">
        <v>121</v>
      </c>
      <c r="D200" s="1067">
        <v>1126</v>
      </c>
      <c r="E200" s="1067">
        <v>127</v>
      </c>
      <c r="F200" s="1067">
        <v>10</v>
      </c>
      <c r="G200" s="1067">
        <v>7</v>
      </c>
      <c r="H200" s="1067">
        <v>602</v>
      </c>
      <c r="I200" s="1067">
        <v>68</v>
      </c>
      <c r="J200" s="1067">
        <v>13</v>
      </c>
      <c r="K200" s="1067">
        <v>102</v>
      </c>
      <c r="L200" s="1067">
        <v>51</v>
      </c>
      <c r="M200" s="1067">
        <v>24</v>
      </c>
      <c r="N200" s="1067">
        <v>26</v>
      </c>
      <c r="O200" s="1067">
        <v>1</v>
      </c>
      <c r="P200" s="1067">
        <v>18</v>
      </c>
      <c r="Q200" s="1067">
        <v>2</v>
      </c>
      <c r="R200" s="1067">
        <v>18</v>
      </c>
      <c r="S200" s="1067">
        <v>57</v>
      </c>
    </row>
    <row r="201" spans="1:19" x14ac:dyDescent="0.25">
      <c r="A201" s="1067" t="s">
        <v>851</v>
      </c>
      <c r="B201" s="1067" t="s">
        <v>282</v>
      </c>
      <c r="C201" s="1067" t="s">
        <v>35</v>
      </c>
      <c r="D201" s="1067">
        <v>49</v>
      </c>
      <c r="E201" s="1067">
        <v>22</v>
      </c>
      <c r="F201" s="1067">
        <v>3</v>
      </c>
      <c r="G201" s="1067"/>
      <c r="H201" s="1067">
        <v>3</v>
      </c>
      <c r="I201" s="1067">
        <v>4</v>
      </c>
      <c r="J201" s="1067"/>
      <c r="K201" s="1067"/>
      <c r="L201" s="1067"/>
      <c r="M201" s="1067">
        <v>4</v>
      </c>
      <c r="N201" s="1067">
        <v>4</v>
      </c>
      <c r="O201" s="1067"/>
      <c r="P201" s="1067"/>
      <c r="Q201" s="1067"/>
      <c r="R201" s="1067">
        <v>8</v>
      </c>
      <c r="S201" s="1067">
        <v>1</v>
      </c>
    </row>
    <row r="202" spans="1:19" x14ac:dyDescent="0.25">
      <c r="A202" s="1067" t="s">
        <v>851</v>
      </c>
      <c r="B202" s="1067" t="s">
        <v>283</v>
      </c>
      <c r="C202" s="1067" t="s">
        <v>36</v>
      </c>
      <c r="D202" s="1067">
        <v>435</v>
      </c>
      <c r="E202" s="1067">
        <v>61</v>
      </c>
      <c r="F202" s="1067">
        <v>43</v>
      </c>
      <c r="G202" s="1067"/>
      <c r="H202" s="1067">
        <v>21</v>
      </c>
      <c r="I202" s="1067">
        <v>7</v>
      </c>
      <c r="J202" s="1067">
        <v>6</v>
      </c>
      <c r="K202" s="1067">
        <v>90</v>
      </c>
      <c r="L202" s="1067">
        <v>12</v>
      </c>
      <c r="M202" s="1067">
        <v>30</v>
      </c>
      <c r="N202" s="1067">
        <v>44</v>
      </c>
      <c r="O202" s="1067">
        <v>67</v>
      </c>
      <c r="P202" s="1067">
        <v>7</v>
      </c>
      <c r="Q202" s="1067">
        <v>4</v>
      </c>
      <c r="R202" s="1067">
        <v>23</v>
      </c>
      <c r="S202" s="1067">
        <v>20</v>
      </c>
    </row>
    <row r="203" spans="1:19" x14ac:dyDescent="0.25">
      <c r="A203" s="1067" t="s">
        <v>851</v>
      </c>
      <c r="B203" s="1067" t="s">
        <v>284</v>
      </c>
      <c r="C203" s="1067" t="s">
        <v>38</v>
      </c>
      <c r="D203" s="1067">
        <v>110</v>
      </c>
      <c r="E203" s="1067">
        <v>54</v>
      </c>
      <c r="F203" s="1067"/>
      <c r="G203" s="1067"/>
      <c r="H203" s="1067">
        <v>8</v>
      </c>
      <c r="I203" s="1067">
        <v>2</v>
      </c>
      <c r="J203" s="1067"/>
      <c r="K203" s="1067">
        <v>13</v>
      </c>
      <c r="L203" s="1067">
        <v>3</v>
      </c>
      <c r="M203" s="1067"/>
      <c r="N203" s="1067">
        <v>3</v>
      </c>
      <c r="O203" s="1067">
        <v>11</v>
      </c>
      <c r="P203" s="1067"/>
      <c r="Q203" s="1067"/>
      <c r="R203" s="1067">
        <v>10</v>
      </c>
      <c r="S203" s="1067">
        <v>6</v>
      </c>
    </row>
    <row r="204" spans="1:19" x14ac:dyDescent="0.25">
      <c r="A204" s="1067" t="s">
        <v>851</v>
      </c>
      <c r="B204" s="1067" t="s">
        <v>285</v>
      </c>
      <c r="C204" s="1067" t="s">
        <v>40</v>
      </c>
      <c r="D204" s="1067">
        <v>78</v>
      </c>
      <c r="E204" s="1067">
        <v>23</v>
      </c>
      <c r="F204" s="1067">
        <v>1</v>
      </c>
      <c r="G204" s="1067"/>
      <c r="H204" s="1067">
        <v>12</v>
      </c>
      <c r="I204" s="1067">
        <v>5</v>
      </c>
      <c r="J204" s="1067"/>
      <c r="K204" s="1067">
        <v>4</v>
      </c>
      <c r="L204" s="1067">
        <v>10</v>
      </c>
      <c r="M204" s="1067">
        <v>1</v>
      </c>
      <c r="N204" s="1067">
        <v>7</v>
      </c>
      <c r="O204" s="1067">
        <v>2</v>
      </c>
      <c r="P204" s="1067">
        <v>2</v>
      </c>
      <c r="Q204" s="1067">
        <v>1</v>
      </c>
      <c r="R204" s="1067">
        <v>8</v>
      </c>
      <c r="S204" s="1067">
        <v>2</v>
      </c>
    </row>
    <row r="205" spans="1:19" x14ac:dyDescent="0.25">
      <c r="A205" s="1067" t="s">
        <v>851</v>
      </c>
      <c r="B205" s="1067" t="s">
        <v>286</v>
      </c>
      <c r="C205" s="1067" t="s">
        <v>41</v>
      </c>
      <c r="D205" s="1067">
        <v>28</v>
      </c>
      <c r="E205" s="1067">
        <v>7</v>
      </c>
      <c r="F205" s="1067">
        <v>1</v>
      </c>
      <c r="G205" s="1067"/>
      <c r="H205" s="1067">
        <v>2</v>
      </c>
      <c r="I205" s="1067"/>
      <c r="J205" s="1067"/>
      <c r="K205" s="1067">
        <v>6</v>
      </c>
      <c r="L205" s="1067"/>
      <c r="M205" s="1067">
        <v>2</v>
      </c>
      <c r="N205" s="1067">
        <v>3</v>
      </c>
      <c r="O205" s="1067">
        <v>2</v>
      </c>
      <c r="P205" s="1067"/>
      <c r="Q205" s="1067"/>
      <c r="R205" s="1067">
        <v>5</v>
      </c>
      <c r="S205" s="1067"/>
    </row>
    <row r="206" spans="1:19" x14ac:dyDescent="0.25">
      <c r="A206" s="1067" t="s">
        <v>851</v>
      </c>
      <c r="B206" s="1067" t="s">
        <v>288</v>
      </c>
      <c r="C206" s="1067" t="s">
        <v>42</v>
      </c>
      <c r="D206" s="1067">
        <v>150</v>
      </c>
      <c r="E206" s="1067">
        <v>41</v>
      </c>
      <c r="F206" s="1067">
        <v>8</v>
      </c>
      <c r="G206" s="1067">
        <v>1</v>
      </c>
      <c r="H206" s="1067">
        <v>4</v>
      </c>
      <c r="I206" s="1067">
        <v>9</v>
      </c>
      <c r="J206" s="1067">
        <v>1</v>
      </c>
      <c r="K206" s="1067">
        <v>19</v>
      </c>
      <c r="L206" s="1067">
        <v>22</v>
      </c>
      <c r="M206" s="1067">
        <v>1</v>
      </c>
      <c r="N206" s="1067">
        <v>14</v>
      </c>
      <c r="O206" s="1067"/>
      <c r="P206" s="1067"/>
      <c r="Q206" s="1067">
        <v>5</v>
      </c>
      <c r="R206" s="1067">
        <v>12</v>
      </c>
      <c r="S206" s="1067">
        <v>13</v>
      </c>
    </row>
    <row r="207" spans="1:19" x14ac:dyDescent="0.25">
      <c r="A207" s="1067" t="s">
        <v>851</v>
      </c>
      <c r="B207" s="1067" t="s">
        <v>430</v>
      </c>
      <c r="C207" s="1067" t="s">
        <v>43</v>
      </c>
      <c r="D207" s="1067">
        <v>417</v>
      </c>
      <c r="E207" s="1067">
        <v>132</v>
      </c>
      <c r="F207" s="1067">
        <v>7</v>
      </c>
      <c r="G207" s="1067">
        <v>1</v>
      </c>
      <c r="H207" s="1067">
        <v>156</v>
      </c>
      <c r="I207" s="1067">
        <v>13</v>
      </c>
      <c r="J207" s="1067">
        <v>1</v>
      </c>
      <c r="K207" s="1067">
        <v>54</v>
      </c>
      <c r="L207" s="1067">
        <v>7</v>
      </c>
      <c r="M207" s="1067">
        <v>2</v>
      </c>
      <c r="N207" s="1067">
        <v>9</v>
      </c>
      <c r="O207" s="1067">
        <v>17</v>
      </c>
      <c r="P207" s="1067">
        <v>4</v>
      </c>
      <c r="Q207" s="1067"/>
      <c r="R207" s="1067">
        <v>10</v>
      </c>
      <c r="S207" s="1067">
        <v>4</v>
      </c>
    </row>
    <row r="208" spans="1:19" x14ac:dyDescent="0.25">
      <c r="A208" s="1067" t="s">
        <v>851</v>
      </c>
      <c r="B208" s="1067" t="s">
        <v>289</v>
      </c>
      <c r="C208" s="1067" t="s">
        <v>44</v>
      </c>
      <c r="D208" s="1067">
        <v>493</v>
      </c>
      <c r="E208" s="1067">
        <v>95</v>
      </c>
      <c r="F208" s="1067">
        <v>1</v>
      </c>
      <c r="G208" s="1067">
        <v>1</v>
      </c>
      <c r="H208" s="1067">
        <v>65</v>
      </c>
      <c r="I208" s="1067">
        <v>20</v>
      </c>
      <c r="J208" s="1067">
        <v>15</v>
      </c>
      <c r="K208" s="1067">
        <v>236</v>
      </c>
      <c r="L208" s="1067">
        <v>11</v>
      </c>
      <c r="M208" s="1067">
        <v>3</v>
      </c>
      <c r="N208" s="1067">
        <v>3</v>
      </c>
      <c r="O208" s="1067">
        <v>33</v>
      </c>
      <c r="P208" s="1067">
        <v>1</v>
      </c>
      <c r="Q208" s="1067"/>
      <c r="R208" s="1067">
        <v>1</v>
      </c>
      <c r="S208" s="1067">
        <v>8</v>
      </c>
    </row>
    <row r="209" spans="1:19" x14ac:dyDescent="0.25">
      <c r="A209" s="1067" t="s">
        <v>851</v>
      </c>
      <c r="B209" s="1067" t="s">
        <v>290</v>
      </c>
      <c r="C209" s="1067" t="s">
        <v>45</v>
      </c>
      <c r="D209" s="1067">
        <v>54</v>
      </c>
      <c r="E209" s="1067">
        <v>34</v>
      </c>
      <c r="F209" s="1067"/>
      <c r="G209" s="1067"/>
      <c r="H209" s="1067">
        <v>8</v>
      </c>
      <c r="I209" s="1067">
        <v>2</v>
      </c>
      <c r="J209" s="1067"/>
      <c r="K209" s="1067">
        <v>3</v>
      </c>
      <c r="L209" s="1067"/>
      <c r="M209" s="1067">
        <v>1</v>
      </c>
      <c r="N209" s="1067">
        <v>3</v>
      </c>
      <c r="O209" s="1067">
        <v>1</v>
      </c>
      <c r="P209" s="1067"/>
      <c r="Q209" s="1067"/>
      <c r="R209" s="1067">
        <v>1</v>
      </c>
      <c r="S209" s="1067">
        <v>1</v>
      </c>
    </row>
    <row r="210" spans="1:19" x14ac:dyDescent="0.25">
      <c r="A210" s="1067" t="s">
        <v>851</v>
      </c>
      <c r="B210" s="1067" t="s">
        <v>291</v>
      </c>
      <c r="C210" s="1067" t="s">
        <v>46</v>
      </c>
      <c r="D210" s="1067">
        <v>70</v>
      </c>
      <c r="E210" s="1067">
        <v>18</v>
      </c>
      <c r="F210" s="1067"/>
      <c r="G210" s="1067"/>
      <c r="H210" s="1067">
        <v>8</v>
      </c>
      <c r="I210" s="1067">
        <v>3</v>
      </c>
      <c r="J210" s="1067"/>
      <c r="K210" s="1067">
        <v>5</v>
      </c>
      <c r="L210" s="1067">
        <v>6</v>
      </c>
      <c r="M210" s="1067">
        <v>4</v>
      </c>
      <c r="N210" s="1067">
        <v>8</v>
      </c>
      <c r="O210" s="1067">
        <v>1</v>
      </c>
      <c r="P210" s="1067"/>
      <c r="Q210" s="1067"/>
      <c r="R210" s="1067">
        <v>12</v>
      </c>
      <c r="S210" s="1067">
        <v>5</v>
      </c>
    </row>
    <row r="211" spans="1:19" x14ac:dyDescent="0.25">
      <c r="A211" s="1067" t="s">
        <v>851</v>
      </c>
      <c r="B211" s="1067" t="s">
        <v>292</v>
      </c>
      <c r="C211" s="1067" t="s">
        <v>47</v>
      </c>
      <c r="D211" s="1067">
        <v>100</v>
      </c>
      <c r="E211" s="1067">
        <v>21</v>
      </c>
      <c r="F211" s="1067">
        <v>4</v>
      </c>
      <c r="G211" s="1067">
        <v>1</v>
      </c>
      <c r="H211" s="1067">
        <v>6</v>
      </c>
      <c r="I211" s="1067">
        <v>4</v>
      </c>
      <c r="J211" s="1067">
        <v>1</v>
      </c>
      <c r="K211" s="1067">
        <v>20</v>
      </c>
      <c r="L211" s="1067"/>
      <c r="M211" s="1067">
        <v>1</v>
      </c>
      <c r="N211" s="1067">
        <v>4</v>
      </c>
      <c r="O211" s="1067">
        <v>23</v>
      </c>
      <c r="P211" s="1067"/>
      <c r="Q211" s="1067">
        <v>1</v>
      </c>
      <c r="R211" s="1067">
        <v>7</v>
      </c>
      <c r="S211" s="1067">
        <v>7</v>
      </c>
    </row>
    <row r="212" spans="1:19" x14ac:dyDescent="0.25">
      <c r="A212" s="1067" t="s">
        <v>851</v>
      </c>
      <c r="B212" s="1067" t="s">
        <v>293</v>
      </c>
      <c r="C212" s="1067" t="s">
        <v>49</v>
      </c>
      <c r="D212" s="1067">
        <v>148</v>
      </c>
      <c r="E212" s="1067">
        <v>62</v>
      </c>
      <c r="F212" s="1067">
        <v>4</v>
      </c>
      <c r="G212" s="1067">
        <v>5</v>
      </c>
      <c r="H212" s="1067">
        <v>8</v>
      </c>
      <c r="I212" s="1067">
        <v>3</v>
      </c>
      <c r="J212" s="1067">
        <v>7</v>
      </c>
      <c r="K212" s="1067">
        <v>8</v>
      </c>
      <c r="L212" s="1067">
        <v>8</v>
      </c>
      <c r="M212" s="1067">
        <v>3</v>
      </c>
      <c r="N212" s="1067">
        <v>7</v>
      </c>
      <c r="O212" s="1067">
        <v>11</v>
      </c>
      <c r="P212" s="1067">
        <v>5</v>
      </c>
      <c r="Q212" s="1067">
        <v>1</v>
      </c>
      <c r="R212" s="1067">
        <v>2</v>
      </c>
      <c r="S212" s="1067">
        <v>14</v>
      </c>
    </row>
    <row r="213" spans="1:19" x14ac:dyDescent="0.25">
      <c r="A213" s="1067" t="s">
        <v>851</v>
      </c>
      <c r="B213" s="1067" t="s">
        <v>294</v>
      </c>
      <c r="C213" s="1067" t="s">
        <v>51</v>
      </c>
      <c r="D213" s="1067">
        <v>23</v>
      </c>
      <c r="E213" s="1067">
        <v>12</v>
      </c>
      <c r="F213" s="1067"/>
      <c r="G213" s="1067"/>
      <c r="H213" s="1067"/>
      <c r="I213" s="1067">
        <v>1</v>
      </c>
      <c r="J213" s="1067"/>
      <c r="K213" s="1067">
        <v>9</v>
      </c>
      <c r="L213" s="1067"/>
      <c r="M213" s="1067"/>
      <c r="N213" s="1067"/>
      <c r="O213" s="1067">
        <v>1</v>
      </c>
      <c r="P213" s="1067"/>
      <c r="Q213" s="1067"/>
      <c r="R213" s="1067"/>
      <c r="S213" s="1067"/>
    </row>
    <row r="214" spans="1:19" x14ac:dyDescent="0.25">
      <c r="A214" s="1067" t="s">
        <v>851</v>
      </c>
      <c r="B214" s="1067" t="s">
        <v>295</v>
      </c>
      <c r="C214" s="1067" t="s">
        <v>52</v>
      </c>
      <c r="D214" s="1067">
        <v>248</v>
      </c>
      <c r="E214" s="1067">
        <v>71</v>
      </c>
      <c r="F214" s="1067">
        <v>2</v>
      </c>
      <c r="G214" s="1067"/>
      <c r="H214" s="1067">
        <v>10</v>
      </c>
      <c r="I214" s="1067">
        <v>36</v>
      </c>
      <c r="J214" s="1067">
        <v>2</v>
      </c>
      <c r="K214" s="1067">
        <v>67</v>
      </c>
      <c r="L214" s="1067">
        <v>6</v>
      </c>
      <c r="M214" s="1067">
        <v>1</v>
      </c>
      <c r="N214" s="1067">
        <v>6</v>
      </c>
      <c r="O214" s="1067">
        <v>33</v>
      </c>
      <c r="P214" s="1067">
        <v>2</v>
      </c>
      <c r="Q214" s="1067"/>
      <c r="R214" s="1067">
        <v>6</v>
      </c>
      <c r="S214" s="1067">
        <v>6</v>
      </c>
    </row>
    <row r="215" spans="1:19" x14ac:dyDescent="0.25">
      <c r="A215" s="1067" t="s">
        <v>851</v>
      </c>
      <c r="B215" s="1067" t="s">
        <v>296</v>
      </c>
      <c r="C215" s="1067" t="s">
        <v>54</v>
      </c>
      <c r="D215" s="1067">
        <v>104</v>
      </c>
      <c r="E215" s="1067">
        <v>32</v>
      </c>
      <c r="F215" s="1067">
        <v>5</v>
      </c>
      <c r="G215" s="1067"/>
      <c r="H215" s="1067">
        <v>16</v>
      </c>
      <c r="I215" s="1067">
        <v>18</v>
      </c>
      <c r="J215" s="1067"/>
      <c r="K215" s="1067">
        <v>8</v>
      </c>
      <c r="L215" s="1067">
        <v>4</v>
      </c>
      <c r="M215" s="1067"/>
      <c r="N215" s="1067">
        <v>6</v>
      </c>
      <c r="O215" s="1067">
        <v>2</v>
      </c>
      <c r="P215" s="1067">
        <v>1</v>
      </c>
      <c r="Q215" s="1067"/>
      <c r="R215" s="1067">
        <v>11</v>
      </c>
      <c r="S215" s="1067">
        <v>1</v>
      </c>
    </row>
    <row r="216" spans="1:19" x14ac:dyDescent="0.25">
      <c r="A216" s="1067" t="s">
        <v>851</v>
      </c>
      <c r="B216" s="1067" t="s">
        <v>297</v>
      </c>
      <c r="C216" s="1067" t="s">
        <v>55</v>
      </c>
      <c r="D216" s="1067">
        <v>11</v>
      </c>
      <c r="E216" s="1067">
        <v>11</v>
      </c>
      <c r="F216" s="1067"/>
      <c r="G216" s="1067"/>
      <c r="H216" s="1067"/>
      <c r="I216" s="1067"/>
      <c r="J216" s="1067"/>
      <c r="K216" s="1067"/>
      <c r="L216" s="1067"/>
      <c r="M216" s="1067"/>
      <c r="N216" s="1067"/>
      <c r="O216" s="1067"/>
      <c r="P216" s="1067"/>
      <c r="Q216" s="1067"/>
      <c r="R216" s="1067"/>
      <c r="S216" s="1067"/>
    </row>
    <row r="217" spans="1:19" x14ac:dyDescent="0.25">
      <c r="A217" s="1067" t="s">
        <v>851</v>
      </c>
      <c r="B217" s="1067" t="s">
        <v>298</v>
      </c>
      <c r="C217" s="1067" t="s">
        <v>56</v>
      </c>
      <c r="D217" s="1067">
        <v>225</v>
      </c>
      <c r="E217" s="1067">
        <v>44</v>
      </c>
      <c r="F217" s="1067">
        <v>25</v>
      </c>
      <c r="G217" s="1067">
        <v>2</v>
      </c>
      <c r="H217" s="1067">
        <v>31</v>
      </c>
      <c r="I217" s="1067">
        <v>7</v>
      </c>
      <c r="J217" s="1067">
        <v>2</v>
      </c>
      <c r="K217" s="1067">
        <v>40</v>
      </c>
      <c r="L217" s="1067">
        <v>7</v>
      </c>
      <c r="M217" s="1067">
        <v>13</v>
      </c>
      <c r="N217" s="1067">
        <v>10</v>
      </c>
      <c r="O217" s="1067">
        <v>20</v>
      </c>
      <c r="P217" s="1067">
        <v>7</v>
      </c>
      <c r="Q217" s="1067"/>
      <c r="R217" s="1067">
        <v>7</v>
      </c>
      <c r="S217" s="1067">
        <v>10</v>
      </c>
    </row>
    <row r="218" spans="1:19" x14ac:dyDescent="0.25">
      <c r="A218" s="1067" t="s">
        <v>851</v>
      </c>
      <c r="B218" s="1067" t="s">
        <v>299</v>
      </c>
      <c r="C218" s="1067" t="s">
        <v>57</v>
      </c>
      <c r="D218" s="1067">
        <v>159</v>
      </c>
      <c r="E218" s="1067">
        <v>61</v>
      </c>
      <c r="F218" s="1067">
        <v>5</v>
      </c>
      <c r="G218" s="1067"/>
      <c r="H218" s="1067">
        <v>45</v>
      </c>
      <c r="I218" s="1067">
        <v>15</v>
      </c>
      <c r="J218" s="1067"/>
      <c r="K218" s="1067">
        <v>3</v>
      </c>
      <c r="L218" s="1067">
        <v>5</v>
      </c>
      <c r="M218" s="1067">
        <v>3</v>
      </c>
      <c r="N218" s="1067">
        <v>1</v>
      </c>
      <c r="O218" s="1067">
        <v>2</v>
      </c>
      <c r="P218" s="1067">
        <v>4</v>
      </c>
      <c r="Q218" s="1067">
        <v>1</v>
      </c>
      <c r="R218" s="1067">
        <v>1</v>
      </c>
      <c r="S218" s="1067">
        <v>13</v>
      </c>
    </row>
    <row r="219" spans="1:19" x14ac:dyDescent="0.25">
      <c r="A219" s="1067" t="s">
        <v>851</v>
      </c>
      <c r="B219" s="1067" t="s">
        <v>300</v>
      </c>
      <c r="C219" s="1067" t="s">
        <v>58</v>
      </c>
      <c r="D219" s="1067">
        <v>201</v>
      </c>
      <c r="E219" s="1067">
        <v>46</v>
      </c>
      <c r="F219" s="1067">
        <v>3</v>
      </c>
      <c r="G219" s="1067"/>
      <c r="H219" s="1067">
        <v>87</v>
      </c>
      <c r="I219" s="1067">
        <v>5</v>
      </c>
      <c r="J219" s="1067">
        <v>3</v>
      </c>
      <c r="K219" s="1067">
        <v>25</v>
      </c>
      <c r="L219" s="1067">
        <v>3</v>
      </c>
      <c r="M219" s="1067">
        <v>4</v>
      </c>
      <c r="N219" s="1067">
        <v>3</v>
      </c>
      <c r="O219" s="1067">
        <v>6</v>
      </c>
      <c r="P219" s="1067"/>
      <c r="Q219" s="1067"/>
      <c r="R219" s="1067">
        <v>10</v>
      </c>
      <c r="S219" s="1067">
        <v>6</v>
      </c>
    </row>
    <row r="220" spans="1:19" x14ac:dyDescent="0.25">
      <c r="A220" s="1067" t="s">
        <v>851</v>
      </c>
      <c r="B220" s="1067" t="s">
        <v>301</v>
      </c>
      <c r="C220" s="1067" t="s">
        <v>31</v>
      </c>
      <c r="D220" s="1067">
        <v>433</v>
      </c>
      <c r="E220" s="1067">
        <v>70</v>
      </c>
      <c r="F220" s="1067">
        <v>8</v>
      </c>
      <c r="G220" s="1067">
        <v>2</v>
      </c>
      <c r="H220" s="1067">
        <v>231</v>
      </c>
      <c r="I220" s="1067">
        <v>15</v>
      </c>
      <c r="J220" s="1067"/>
      <c r="K220" s="1067">
        <v>44</v>
      </c>
      <c r="L220" s="1067">
        <v>7</v>
      </c>
      <c r="M220" s="1067">
        <v>6</v>
      </c>
      <c r="N220" s="1067">
        <v>9</v>
      </c>
      <c r="O220" s="1067">
        <v>17</v>
      </c>
      <c r="P220" s="1067">
        <v>4</v>
      </c>
      <c r="Q220" s="1067">
        <v>1</v>
      </c>
      <c r="R220" s="1067">
        <v>6</v>
      </c>
      <c r="S220" s="1067">
        <v>13</v>
      </c>
    </row>
    <row r="221" spans="1:19" x14ac:dyDescent="0.25">
      <c r="A221" s="1067" t="s">
        <v>851</v>
      </c>
      <c r="B221" s="1067" t="s">
        <v>302</v>
      </c>
      <c r="C221" s="1067" t="s">
        <v>32</v>
      </c>
      <c r="D221" s="1067">
        <v>351</v>
      </c>
      <c r="E221" s="1067">
        <v>81</v>
      </c>
      <c r="F221" s="1067">
        <v>19</v>
      </c>
      <c r="G221" s="1067"/>
      <c r="H221" s="1067">
        <v>20</v>
      </c>
      <c r="I221" s="1067">
        <v>15</v>
      </c>
      <c r="J221" s="1067">
        <v>5</v>
      </c>
      <c r="K221" s="1067">
        <v>44</v>
      </c>
      <c r="L221" s="1067">
        <v>8</v>
      </c>
      <c r="M221" s="1067">
        <v>17</v>
      </c>
      <c r="N221" s="1067">
        <v>9</v>
      </c>
      <c r="O221" s="1067">
        <v>47</v>
      </c>
      <c r="P221" s="1067">
        <v>19</v>
      </c>
      <c r="Q221" s="1067">
        <v>3</v>
      </c>
      <c r="R221" s="1067">
        <v>30</v>
      </c>
      <c r="S221" s="1067">
        <v>34</v>
      </c>
    </row>
    <row r="222" spans="1:19" x14ac:dyDescent="0.25">
      <c r="A222" s="1067" t="s">
        <v>851</v>
      </c>
      <c r="B222" s="1067" t="s">
        <v>303</v>
      </c>
      <c r="C222" s="1067" t="s">
        <v>34</v>
      </c>
      <c r="D222" s="1067">
        <v>282</v>
      </c>
      <c r="E222" s="1067">
        <v>28</v>
      </c>
      <c r="F222" s="1067">
        <v>7</v>
      </c>
      <c r="G222" s="1067">
        <v>2</v>
      </c>
      <c r="H222" s="1067">
        <v>38</v>
      </c>
      <c r="I222" s="1067">
        <v>7</v>
      </c>
      <c r="J222" s="1067">
        <v>8</v>
      </c>
      <c r="K222" s="1067">
        <v>107</v>
      </c>
      <c r="L222" s="1067">
        <v>5</v>
      </c>
      <c r="M222" s="1067">
        <v>6</v>
      </c>
      <c r="N222" s="1067">
        <v>5</v>
      </c>
      <c r="O222" s="1067">
        <v>49</v>
      </c>
      <c r="P222" s="1067">
        <v>2</v>
      </c>
      <c r="Q222" s="1067">
        <v>3</v>
      </c>
      <c r="R222" s="1067">
        <v>7</v>
      </c>
      <c r="S222" s="1067">
        <v>8</v>
      </c>
    </row>
    <row r="223" spans="1:19" x14ac:dyDescent="0.25">
      <c r="A223" s="1067" t="s">
        <v>851</v>
      </c>
      <c r="B223" s="1067" t="s">
        <v>304</v>
      </c>
      <c r="C223" s="1067" t="s">
        <v>258</v>
      </c>
      <c r="D223" s="1067">
        <v>648</v>
      </c>
      <c r="E223" s="1067">
        <v>107</v>
      </c>
      <c r="F223" s="1067">
        <v>7</v>
      </c>
      <c r="G223" s="1067">
        <v>4</v>
      </c>
      <c r="H223" s="1067">
        <v>91</v>
      </c>
      <c r="I223" s="1067">
        <v>44</v>
      </c>
      <c r="J223" s="1067">
        <v>11</v>
      </c>
      <c r="K223" s="1067">
        <v>97</v>
      </c>
      <c r="L223" s="1067">
        <v>52</v>
      </c>
      <c r="M223" s="1067">
        <v>45</v>
      </c>
      <c r="N223" s="1067">
        <v>31</v>
      </c>
      <c r="O223" s="1067">
        <v>84</v>
      </c>
      <c r="P223" s="1067">
        <v>3</v>
      </c>
      <c r="Q223" s="1067">
        <v>2</v>
      </c>
      <c r="R223" s="1067">
        <v>28</v>
      </c>
      <c r="S223" s="1067">
        <v>42</v>
      </c>
    </row>
    <row r="224" spans="1:19" x14ac:dyDescent="0.25">
      <c r="A224" s="1067" t="s">
        <v>851</v>
      </c>
      <c r="B224" s="1067" t="s">
        <v>305</v>
      </c>
      <c r="C224" s="1067" t="s">
        <v>53</v>
      </c>
      <c r="D224" s="1067">
        <v>149</v>
      </c>
      <c r="E224" s="1067">
        <v>48</v>
      </c>
      <c r="F224" s="1067">
        <v>5</v>
      </c>
      <c r="G224" s="1067">
        <v>1</v>
      </c>
      <c r="H224" s="1067">
        <v>5</v>
      </c>
      <c r="I224" s="1067">
        <v>1</v>
      </c>
      <c r="J224" s="1067"/>
      <c r="K224" s="1067">
        <v>24</v>
      </c>
      <c r="L224" s="1067">
        <v>9</v>
      </c>
      <c r="M224" s="1067">
        <v>3</v>
      </c>
      <c r="N224" s="1067">
        <v>10</v>
      </c>
      <c r="O224" s="1067">
        <v>20</v>
      </c>
      <c r="P224" s="1067">
        <v>5</v>
      </c>
      <c r="Q224" s="1067"/>
      <c r="R224" s="1067">
        <v>7</v>
      </c>
      <c r="S224" s="1067">
        <v>11</v>
      </c>
    </row>
    <row r="225" spans="1:19" x14ac:dyDescent="0.25">
      <c r="A225" s="1067" t="s">
        <v>851</v>
      </c>
      <c r="B225" s="1067" t="s">
        <v>306</v>
      </c>
      <c r="C225" s="1067" t="s">
        <v>59</v>
      </c>
      <c r="D225" s="1067">
        <v>128</v>
      </c>
      <c r="E225" s="1067">
        <v>19</v>
      </c>
      <c r="F225" s="1067">
        <v>15</v>
      </c>
      <c r="G225" s="1067"/>
      <c r="H225" s="1067">
        <v>21</v>
      </c>
      <c r="I225" s="1067">
        <v>6</v>
      </c>
      <c r="J225" s="1067"/>
      <c r="K225" s="1067">
        <v>20</v>
      </c>
      <c r="L225" s="1067">
        <v>12</v>
      </c>
      <c r="M225" s="1067">
        <v>5</v>
      </c>
      <c r="N225" s="1067">
        <v>7</v>
      </c>
      <c r="O225" s="1067">
        <v>3</v>
      </c>
      <c r="P225" s="1067">
        <v>4</v>
      </c>
      <c r="Q225" s="1067">
        <v>2</v>
      </c>
      <c r="R225" s="1067">
        <v>1</v>
      </c>
      <c r="S225" s="1067">
        <v>13</v>
      </c>
    </row>
    <row r="226" spans="1:19" x14ac:dyDescent="0.25">
      <c r="A226" s="1067" t="s">
        <v>851</v>
      </c>
      <c r="B226" s="1067" t="s">
        <v>307</v>
      </c>
      <c r="C226" s="1067" t="s">
        <v>60</v>
      </c>
      <c r="D226" s="1067">
        <v>174</v>
      </c>
      <c r="E226" s="1067">
        <v>45</v>
      </c>
      <c r="F226" s="1067">
        <v>17</v>
      </c>
      <c r="G226" s="1067">
        <v>1</v>
      </c>
      <c r="H226" s="1067">
        <v>26</v>
      </c>
      <c r="I226" s="1067">
        <v>5</v>
      </c>
      <c r="J226" s="1067"/>
      <c r="K226" s="1067">
        <v>10</v>
      </c>
      <c r="L226" s="1067">
        <v>9</v>
      </c>
      <c r="M226" s="1067">
        <v>5</v>
      </c>
      <c r="N226" s="1067">
        <v>22</v>
      </c>
      <c r="O226" s="1067">
        <v>2</v>
      </c>
      <c r="P226" s="1067">
        <v>3</v>
      </c>
      <c r="Q226" s="1067">
        <v>1</v>
      </c>
      <c r="R226" s="1067">
        <v>11</v>
      </c>
      <c r="S226" s="1067">
        <v>17</v>
      </c>
    </row>
    <row r="227" spans="1:19" x14ac:dyDescent="0.25">
      <c r="A227" s="1067" t="s">
        <v>851</v>
      </c>
      <c r="B227" s="1067" t="s">
        <v>308</v>
      </c>
      <c r="C227" s="1067" t="s">
        <v>33</v>
      </c>
      <c r="D227" s="1067">
        <v>123</v>
      </c>
      <c r="E227" s="1067">
        <v>38</v>
      </c>
      <c r="F227" s="1067">
        <v>8</v>
      </c>
      <c r="G227" s="1067"/>
      <c r="H227" s="1067">
        <v>7</v>
      </c>
      <c r="I227" s="1067">
        <v>7</v>
      </c>
      <c r="J227" s="1067"/>
      <c r="K227" s="1067">
        <v>2</v>
      </c>
      <c r="L227" s="1067">
        <v>10</v>
      </c>
      <c r="M227" s="1067">
        <v>2</v>
      </c>
      <c r="N227" s="1067">
        <v>9</v>
      </c>
      <c r="O227" s="1067">
        <v>6</v>
      </c>
      <c r="P227" s="1067">
        <v>9</v>
      </c>
      <c r="Q227" s="1067">
        <v>7</v>
      </c>
      <c r="R227" s="1067">
        <v>8</v>
      </c>
      <c r="S227" s="1067">
        <v>10</v>
      </c>
    </row>
    <row r="228" spans="1:19" x14ac:dyDescent="0.25">
      <c r="A228" s="1067" t="s">
        <v>851</v>
      </c>
      <c r="B228" s="1067" t="s">
        <v>309</v>
      </c>
      <c r="C228" s="1067" t="s">
        <v>37</v>
      </c>
      <c r="D228" s="1067">
        <v>424</v>
      </c>
      <c r="E228" s="1067">
        <v>35</v>
      </c>
      <c r="F228" s="1067">
        <v>4</v>
      </c>
      <c r="G228" s="1067"/>
      <c r="H228" s="1067">
        <v>336</v>
      </c>
      <c r="I228" s="1067">
        <v>3</v>
      </c>
      <c r="J228" s="1067">
        <v>1</v>
      </c>
      <c r="K228" s="1067">
        <v>17</v>
      </c>
      <c r="L228" s="1067">
        <v>12</v>
      </c>
      <c r="M228" s="1067"/>
      <c r="N228" s="1067">
        <v>7</v>
      </c>
      <c r="O228" s="1067">
        <v>1</v>
      </c>
      <c r="P228" s="1067">
        <v>1</v>
      </c>
      <c r="Q228" s="1067">
        <v>2</v>
      </c>
      <c r="R228" s="1067">
        <v>1</v>
      </c>
      <c r="S228" s="1067">
        <v>4</v>
      </c>
    </row>
    <row r="229" spans="1:19" x14ac:dyDescent="0.25">
      <c r="A229" s="1067" t="s">
        <v>851</v>
      </c>
      <c r="B229" s="1067" t="s">
        <v>310</v>
      </c>
      <c r="C229" s="1067" t="s">
        <v>50</v>
      </c>
      <c r="D229" s="1067">
        <v>306</v>
      </c>
      <c r="E229" s="1067">
        <v>50</v>
      </c>
      <c r="F229" s="1067">
        <v>29</v>
      </c>
      <c r="G229" s="1067"/>
      <c r="H229" s="1067">
        <v>11</v>
      </c>
      <c r="I229" s="1067">
        <v>12</v>
      </c>
      <c r="J229" s="1067">
        <v>2</v>
      </c>
      <c r="K229" s="1067">
        <v>26</v>
      </c>
      <c r="L229" s="1067">
        <v>11</v>
      </c>
      <c r="M229" s="1067">
        <v>92</v>
      </c>
      <c r="N229" s="1067">
        <v>11</v>
      </c>
      <c r="O229" s="1067">
        <v>3</v>
      </c>
      <c r="P229" s="1067">
        <v>20</v>
      </c>
      <c r="Q229" s="1067">
        <v>1</v>
      </c>
      <c r="R229" s="1067">
        <v>13</v>
      </c>
      <c r="S229" s="1067">
        <v>25</v>
      </c>
    </row>
    <row r="230" spans="1:19" x14ac:dyDescent="0.25">
      <c r="A230" s="1067" t="s">
        <v>851</v>
      </c>
      <c r="B230" s="1067" t="s">
        <v>311</v>
      </c>
      <c r="C230" s="1067" t="s">
        <v>39</v>
      </c>
      <c r="D230" s="1067">
        <v>101</v>
      </c>
      <c r="E230" s="1067">
        <v>32</v>
      </c>
      <c r="F230" s="1067"/>
      <c r="G230" s="1067"/>
      <c r="H230" s="1067">
        <v>29</v>
      </c>
      <c r="I230" s="1067">
        <v>4</v>
      </c>
      <c r="J230" s="1067"/>
      <c r="K230" s="1067">
        <v>6</v>
      </c>
      <c r="L230" s="1067">
        <v>8</v>
      </c>
      <c r="M230" s="1067">
        <v>4</v>
      </c>
      <c r="N230" s="1067">
        <v>1</v>
      </c>
      <c r="O230" s="1067">
        <v>1</v>
      </c>
      <c r="P230" s="1067">
        <v>1</v>
      </c>
      <c r="Q230" s="1067">
        <v>1</v>
      </c>
      <c r="R230" s="1067">
        <v>8</v>
      </c>
      <c r="S230" s="1067">
        <v>6</v>
      </c>
    </row>
    <row r="231" spans="1:19" x14ac:dyDescent="0.25">
      <c r="A231" s="1067" t="s">
        <v>851</v>
      </c>
      <c r="B231" s="1067" t="s">
        <v>312</v>
      </c>
      <c r="C231" s="1067" t="s">
        <v>121</v>
      </c>
      <c r="D231" s="1067">
        <v>1038</v>
      </c>
      <c r="E231" s="1067">
        <v>86</v>
      </c>
      <c r="F231" s="1067">
        <v>10</v>
      </c>
      <c r="G231" s="1067">
        <v>4</v>
      </c>
      <c r="H231" s="1067">
        <v>646</v>
      </c>
      <c r="I231" s="1067">
        <v>25</v>
      </c>
      <c r="J231" s="1067">
        <v>6</v>
      </c>
      <c r="K231" s="1067">
        <v>74</v>
      </c>
      <c r="L231" s="1067">
        <v>42</v>
      </c>
      <c r="M231" s="1067">
        <v>27</v>
      </c>
      <c r="N231" s="1067">
        <v>23</v>
      </c>
      <c r="O231" s="1067">
        <v>5</v>
      </c>
      <c r="P231" s="1067">
        <v>12</v>
      </c>
      <c r="Q231" s="1067">
        <v>3</v>
      </c>
      <c r="R231" s="1067">
        <v>17</v>
      </c>
      <c r="S231" s="1067">
        <v>58</v>
      </c>
    </row>
    <row r="232" spans="1:19" x14ac:dyDescent="0.25">
      <c r="A232" s="1067" t="s">
        <v>851</v>
      </c>
      <c r="B232" s="1067" t="s">
        <v>1076</v>
      </c>
      <c r="C232" s="1067" t="s">
        <v>121</v>
      </c>
      <c r="D232" s="1067">
        <v>1</v>
      </c>
      <c r="E232" s="1067"/>
      <c r="F232" s="1067"/>
      <c r="G232" s="1067"/>
      <c r="H232" s="1067"/>
      <c r="I232" s="1067"/>
      <c r="J232" s="1067"/>
      <c r="K232" s="1067"/>
      <c r="L232" s="1067"/>
      <c r="M232" s="1067"/>
      <c r="N232" s="1067"/>
      <c r="O232" s="1067"/>
      <c r="P232" s="1067">
        <v>1</v>
      </c>
      <c r="Q232" s="1067"/>
      <c r="R232" s="1067"/>
      <c r="S232" s="1067"/>
    </row>
  </sheetData>
  <sheetProtection algorithmName="SHA-512" hashValue="HsgsvgqVg1Rcf4jNSiVqZPQfpXHeMdq8xLA0tAvd8c5PUgaohr6/yGgiiHCNZOffUc+StxiZTPmAVA/KQJ3Xag==" saltValue="zYM8d6zG6x3RrNLM/q83hg==" spinCount="100000" sheet="1" scenarios="1" formatCells="0" formatColumns="0" formatRows="0" sort="0" autoFilter="0" pivotTables="0"/>
  <pageMargins left="0.7" right="0.7" top="0.75" bottom="0.75" header="0.3" footer="0.3"/>
  <pageSetup paperSize="9" scale="75" fitToHeight="50" orientation="landscape" r:id="rId1"/>
  <legacy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I41"/>
  <sheetViews>
    <sheetView zoomScale="85" zoomScaleNormal="85" workbookViewId="0">
      <pane ySplit="4" topLeftCell="A5" activePane="bottomLeft" state="frozen"/>
      <selection pane="bottomLeft"/>
    </sheetView>
  </sheetViews>
  <sheetFormatPr defaultRowHeight="15" x14ac:dyDescent="0.25"/>
  <sheetData>
    <row r="4" spans="1:9" x14ac:dyDescent="0.25">
      <c r="A4" s="1066" t="s">
        <v>329</v>
      </c>
      <c r="B4" s="1066" t="s">
        <v>1315</v>
      </c>
      <c r="C4" s="1066" t="s">
        <v>1316</v>
      </c>
      <c r="D4" s="1066" t="s">
        <v>1317</v>
      </c>
      <c r="E4" s="1066" t="s">
        <v>1318</v>
      </c>
      <c r="F4" s="1066" t="s">
        <v>1319</v>
      </c>
      <c r="G4" s="1066" t="s">
        <v>1320</v>
      </c>
      <c r="H4" s="1066" t="s">
        <v>1321</v>
      </c>
      <c r="I4" s="1066" t="s">
        <v>1322</v>
      </c>
    </row>
    <row r="5" spans="1:9" x14ac:dyDescent="0.25">
      <c r="A5" s="1067" t="s">
        <v>1313</v>
      </c>
      <c r="B5" s="1067">
        <v>3797</v>
      </c>
      <c r="C5" s="1067">
        <v>14034</v>
      </c>
      <c r="D5" s="1067">
        <v>2264</v>
      </c>
      <c r="E5" s="1067">
        <v>10793</v>
      </c>
      <c r="F5" s="1067">
        <v>58</v>
      </c>
      <c r="G5" s="1067">
        <v>300</v>
      </c>
      <c r="H5" s="1067">
        <v>20</v>
      </c>
      <c r="I5" s="1067">
        <v>127</v>
      </c>
    </row>
    <row r="6" spans="1:9" x14ac:dyDescent="0.25">
      <c r="A6" s="1067" t="s">
        <v>1250</v>
      </c>
      <c r="B6" s="1067">
        <v>4947</v>
      </c>
      <c r="C6" s="1067">
        <v>29138</v>
      </c>
      <c r="D6" s="1067">
        <v>1797</v>
      </c>
      <c r="E6" s="1067">
        <v>11747</v>
      </c>
      <c r="F6" s="1067">
        <v>55</v>
      </c>
      <c r="G6" s="1067">
        <v>453</v>
      </c>
      <c r="H6" s="1067">
        <v>13</v>
      </c>
      <c r="I6" s="1067">
        <v>94</v>
      </c>
    </row>
    <row r="7" spans="1:9" x14ac:dyDescent="0.25">
      <c r="A7" s="1067" t="s">
        <v>325</v>
      </c>
      <c r="B7" s="1067">
        <v>6829</v>
      </c>
      <c r="C7" s="1067">
        <v>42023</v>
      </c>
      <c r="D7" s="1067">
        <v>726</v>
      </c>
      <c r="E7" s="1067">
        <v>7946</v>
      </c>
      <c r="F7" s="1067">
        <v>40</v>
      </c>
      <c r="G7" s="1067">
        <v>267</v>
      </c>
      <c r="H7" s="1067">
        <v>26</v>
      </c>
      <c r="I7" s="1067">
        <v>144</v>
      </c>
    </row>
    <row r="8" spans="1:9" x14ac:dyDescent="0.25">
      <c r="A8" s="1067" t="s">
        <v>205</v>
      </c>
      <c r="B8" s="1067">
        <v>7230</v>
      </c>
      <c r="C8" s="1067">
        <v>34986</v>
      </c>
      <c r="D8" s="1067">
        <v>764</v>
      </c>
      <c r="E8" s="1067">
        <v>5742</v>
      </c>
      <c r="F8" s="1067">
        <v>43</v>
      </c>
      <c r="G8" s="1067">
        <v>251</v>
      </c>
      <c r="H8" s="1067">
        <v>22</v>
      </c>
      <c r="I8" s="1067">
        <v>100</v>
      </c>
    </row>
    <row r="9" spans="1:9" x14ac:dyDescent="0.25">
      <c r="A9" s="1067" t="s">
        <v>204</v>
      </c>
      <c r="B9" s="1067">
        <v>0</v>
      </c>
      <c r="C9" s="1067">
        <v>0</v>
      </c>
      <c r="D9" s="1067">
        <v>0</v>
      </c>
      <c r="E9" s="1067">
        <v>0</v>
      </c>
      <c r="F9" s="1067">
        <v>0</v>
      </c>
      <c r="G9" s="1067">
        <v>0</v>
      </c>
      <c r="H9" s="1067">
        <v>0</v>
      </c>
      <c r="I9" s="1067">
        <v>0</v>
      </c>
    </row>
    <row r="10" spans="1:9" x14ac:dyDescent="0.25">
      <c r="A10" s="1067" t="s">
        <v>203</v>
      </c>
      <c r="B10" s="1067">
        <v>7816</v>
      </c>
      <c r="C10" s="1067">
        <v>40485</v>
      </c>
      <c r="D10" s="1067">
        <v>390</v>
      </c>
      <c r="E10" s="1067">
        <v>3134.5</v>
      </c>
      <c r="F10" s="1067">
        <v>10</v>
      </c>
      <c r="G10" s="1067">
        <v>206.25</v>
      </c>
      <c r="H10" s="1067">
        <v>3</v>
      </c>
      <c r="I10" s="1067">
        <v>25.5</v>
      </c>
    </row>
    <row r="11" spans="1:9" x14ac:dyDescent="0.25">
      <c r="A11" s="1067" t="s">
        <v>202</v>
      </c>
      <c r="B11" s="1067">
        <v>9185</v>
      </c>
      <c r="C11" s="1067">
        <v>44965</v>
      </c>
      <c r="D11" s="1067">
        <v>649</v>
      </c>
      <c r="E11" s="1067">
        <v>6069.5</v>
      </c>
      <c r="F11" s="1067">
        <v>23</v>
      </c>
      <c r="G11" s="1067">
        <v>612</v>
      </c>
      <c r="H11" s="1067">
        <v>4</v>
      </c>
      <c r="I11" s="1067">
        <v>23.25</v>
      </c>
    </row>
    <row r="12" spans="1:9" x14ac:dyDescent="0.25">
      <c r="A12" s="1067" t="s">
        <v>273</v>
      </c>
      <c r="B12" s="1067">
        <v>8385</v>
      </c>
      <c r="C12" s="1067">
        <v>41376</v>
      </c>
      <c r="D12" s="1067">
        <v>554</v>
      </c>
      <c r="E12" s="1067">
        <v>4990.75</v>
      </c>
      <c r="F12" s="1067">
        <v>21</v>
      </c>
      <c r="G12" s="1067">
        <v>395.25</v>
      </c>
      <c r="H12" s="1067">
        <v>12</v>
      </c>
      <c r="I12" s="1067">
        <v>72.25</v>
      </c>
    </row>
    <row r="13" spans="1:9" x14ac:dyDescent="0.25">
      <c r="A13" s="1067" t="s">
        <v>255</v>
      </c>
      <c r="B13" s="1067">
        <v>7167</v>
      </c>
      <c r="C13" s="1067">
        <v>34688.5</v>
      </c>
      <c r="D13" s="1067">
        <v>468</v>
      </c>
      <c r="E13" s="1067">
        <v>4782</v>
      </c>
      <c r="F13" s="1067">
        <v>15</v>
      </c>
      <c r="G13" s="1067">
        <v>465.5</v>
      </c>
      <c r="H13" s="1067">
        <v>17</v>
      </c>
      <c r="I13" s="1067">
        <v>128.5</v>
      </c>
    </row>
    <row r="14" spans="1:9" x14ac:dyDescent="0.25">
      <c r="A14" s="1067" t="s">
        <v>254</v>
      </c>
      <c r="B14" s="1067">
        <v>7508</v>
      </c>
      <c r="C14" s="1067">
        <v>36452.25</v>
      </c>
      <c r="D14" s="1067">
        <v>364</v>
      </c>
      <c r="E14" s="1067">
        <v>3759.25</v>
      </c>
      <c r="F14" s="1067">
        <v>22</v>
      </c>
      <c r="G14" s="1067">
        <v>521.75</v>
      </c>
      <c r="H14" s="1067">
        <v>20</v>
      </c>
      <c r="I14" s="1067">
        <v>237.5</v>
      </c>
    </row>
    <row r="15" spans="1:9" x14ac:dyDescent="0.25">
      <c r="A15" s="1067" t="s">
        <v>851</v>
      </c>
      <c r="B15" s="1067">
        <v>6873</v>
      </c>
      <c r="C15" s="1067"/>
      <c r="D15" s="1067">
        <v>388</v>
      </c>
      <c r="E15" s="1067"/>
      <c r="F15" s="1067">
        <v>1</v>
      </c>
      <c r="G15" s="1067"/>
      <c r="H15" s="1067">
        <v>12</v>
      </c>
      <c r="I15" s="1067"/>
    </row>
    <row r="35" spans="1:5" x14ac:dyDescent="0.25">
      <c r="A35" s="1069" t="s">
        <v>1293</v>
      </c>
      <c r="B35" s="1069" t="s">
        <v>1294</v>
      </c>
      <c r="C35" s="1069" t="s">
        <v>1295</v>
      </c>
      <c r="D35" s="1069" t="s">
        <v>1296</v>
      </c>
      <c r="E35" s="1069" t="s">
        <v>1297</v>
      </c>
    </row>
    <row r="36" spans="1:5" x14ac:dyDescent="0.25">
      <c r="A36" s="1067" t="s">
        <v>203</v>
      </c>
      <c r="B36" s="1067">
        <v>21</v>
      </c>
      <c r="C36" s="1067"/>
      <c r="D36" s="1067">
        <v>21</v>
      </c>
      <c r="E36" s="1067">
        <v>15</v>
      </c>
    </row>
    <row r="37" spans="1:5" x14ac:dyDescent="0.25">
      <c r="A37" s="1067" t="s">
        <v>202</v>
      </c>
      <c r="B37" s="1067">
        <v>22</v>
      </c>
      <c r="C37" s="1067"/>
      <c r="D37" s="1067">
        <v>22</v>
      </c>
      <c r="E37" s="1067">
        <v>17</v>
      </c>
    </row>
    <row r="38" spans="1:5" x14ac:dyDescent="0.25">
      <c r="A38" s="1067" t="s">
        <v>273</v>
      </c>
      <c r="B38" s="1067">
        <v>17</v>
      </c>
      <c r="C38" s="1067">
        <v>1</v>
      </c>
      <c r="D38" s="1067">
        <v>15</v>
      </c>
      <c r="E38" s="1067">
        <v>17</v>
      </c>
    </row>
    <row r="39" spans="1:5" x14ac:dyDescent="0.25">
      <c r="A39" s="1067" t="s">
        <v>255</v>
      </c>
      <c r="B39" s="1067">
        <v>26</v>
      </c>
      <c r="C39" s="1067">
        <v>2</v>
      </c>
      <c r="D39" s="1067">
        <v>15</v>
      </c>
      <c r="E39" s="1067">
        <v>26</v>
      </c>
    </row>
    <row r="40" spans="1:5" x14ac:dyDescent="0.25">
      <c r="A40" s="1067" t="s">
        <v>254</v>
      </c>
      <c r="B40" s="1067">
        <v>21</v>
      </c>
      <c r="C40" s="1067">
        <v>2</v>
      </c>
      <c r="D40" s="1067">
        <v>21</v>
      </c>
      <c r="E40" s="1067">
        <v>21</v>
      </c>
    </row>
    <row r="41" spans="1:5" x14ac:dyDescent="0.25">
      <c r="A41" s="1067" t="s">
        <v>851</v>
      </c>
      <c r="B41" s="1067">
        <v>5</v>
      </c>
      <c r="C41" s="1067"/>
      <c r="D41" s="1067">
        <v>5</v>
      </c>
      <c r="E41" s="1067">
        <v>2</v>
      </c>
    </row>
  </sheetData>
  <sheetProtection algorithmName="SHA-512" hashValue="qZ4xlsheLhL6AOhH4YdfxVsJ8Q17IQPVn7k93Ro9VnM01Kb+6yHwLrFWR/6WN0gnq4CwV6+3dU752g0trV+5sg==" saltValue="8QIGd/kJoelHbPuEnSDCSQ==" spinCount="100000" sheet="1" scenarios="1" formatCells="0" formatColumns="0" formatRows="0" sort="0" autoFilter="0" pivotTables="0"/>
  <pageMargins left="0.7" right="0.7" top="0.75" bottom="0.75" header="0.3" footer="0.3"/>
  <pageSetup paperSize="9" fitToHeight="50" orientation="landscape" r:id="rId1"/>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94"/>
  <sheetViews>
    <sheetView zoomScale="85" zoomScaleNormal="85" workbookViewId="0">
      <pane ySplit="4" topLeftCell="A5" activePane="bottomLeft" state="frozen"/>
      <selection pane="bottomLeft"/>
    </sheetView>
  </sheetViews>
  <sheetFormatPr defaultRowHeight="15" x14ac:dyDescent="0.25"/>
  <sheetData>
    <row r="1" spans="1:10" x14ac:dyDescent="0.25"/>
    <row r="4" spans="1:10" x14ac:dyDescent="0.25">
      <c r="A4" s="1066" t="s">
        <v>329</v>
      </c>
      <c r="B4" s="1066" t="s">
        <v>1311</v>
      </c>
      <c r="C4" s="1066" t="s">
        <v>1315</v>
      </c>
      <c r="D4" s="1066" t="s">
        <v>1316</v>
      </c>
      <c r="E4" s="1066" t="s">
        <v>1317</v>
      </c>
      <c r="F4" s="1066" t="s">
        <v>1318</v>
      </c>
      <c r="G4" s="1066" t="s">
        <v>1319</v>
      </c>
      <c r="H4" s="1066" t="s">
        <v>1320</v>
      </c>
      <c r="I4" s="1066" t="s">
        <v>1321</v>
      </c>
      <c r="J4" s="1066" t="s">
        <v>1322</v>
      </c>
    </row>
    <row r="5" spans="1:10" x14ac:dyDescent="0.25">
      <c r="A5" s="1067" t="s">
        <v>203</v>
      </c>
      <c r="B5" s="1067" t="s">
        <v>431</v>
      </c>
      <c r="C5" s="1067">
        <v>330</v>
      </c>
      <c r="D5" s="1067">
        <v>2088.25</v>
      </c>
      <c r="E5" s="1067">
        <v>4</v>
      </c>
      <c r="F5" s="1067">
        <v>37.5</v>
      </c>
      <c r="G5" s="1067"/>
      <c r="H5" s="1067"/>
      <c r="I5" s="1067"/>
      <c r="J5" s="1067"/>
    </row>
    <row r="6" spans="1:10" x14ac:dyDescent="0.25">
      <c r="A6" s="1067" t="s">
        <v>203</v>
      </c>
      <c r="B6" s="1067" t="s">
        <v>432</v>
      </c>
      <c r="C6" s="1067">
        <v>1456</v>
      </c>
      <c r="D6" s="1067">
        <v>8821.25</v>
      </c>
      <c r="E6" s="1067">
        <v>50</v>
      </c>
      <c r="F6" s="1067">
        <v>482.25</v>
      </c>
      <c r="G6" s="1067">
        <v>1</v>
      </c>
      <c r="H6" s="1067">
        <v>31</v>
      </c>
      <c r="I6" s="1067"/>
      <c r="J6" s="1067"/>
    </row>
    <row r="7" spans="1:10" x14ac:dyDescent="0.25">
      <c r="A7" s="1067" t="s">
        <v>203</v>
      </c>
      <c r="B7" s="1067" t="s">
        <v>433</v>
      </c>
      <c r="C7" s="1067">
        <v>1871</v>
      </c>
      <c r="D7" s="1067">
        <v>7024.75</v>
      </c>
      <c r="E7" s="1067">
        <v>76</v>
      </c>
      <c r="F7" s="1067">
        <v>361.75</v>
      </c>
      <c r="G7" s="1067">
        <v>2</v>
      </c>
      <c r="H7" s="1067">
        <v>19.25</v>
      </c>
      <c r="I7" s="1067">
        <v>1</v>
      </c>
      <c r="J7" s="1067">
        <v>7.5</v>
      </c>
    </row>
    <row r="8" spans="1:10" x14ac:dyDescent="0.25">
      <c r="A8" s="1067" t="s">
        <v>203</v>
      </c>
      <c r="B8" s="1067" t="s">
        <v>434</v>
      </c>
      <c r="C8" s="1067">
        <v>127</v>
      </c>
      <c r="D8" s="1067">
        <v>588.75</v>
      </c>
      <c r="E8" s="1067">
        <v>11</v>
      </c>
      <c r="F8" s="1067">
        <v>66.25</v>
      </c>
      <c r="G8" s="1067"/>
      <c r="H8" s="1067"/>
      <c r="I8" s="1067">
        <v>1</v>
      </c>
      <c r="J8" s="1067">
        <v>5.5</v>
      </c>
    </row>
    <row r="9" spans="1:10" x14ac:dyDescent="0.25">
      <c r="A9" s="1067" t="s">
        <v>203</v>
      </c>
      <c r="B9" s="1067" t="s">
        <v>435</v>
      </c>
      <c r="C9" s="1067">
        <v>1022</v>
      </c>
      <c r="D9" s="1067">
        <v>6361.5</v>
      </c>
      <c r="E9" s="1067">
        <v>87</v>
      </c>
      <c r="F9" s="1067">
        <v>868.25</v>
      </c>
      <c r="G9" s="1067">
        <v>6</v>
      </c>
      <c r="H9" s="1067">
        <v>150.5</v>
      </c>
      <c r="I9" s="1067"/>
      <c r="J9" s="1067"/>
    </row>
    <row r="10" spans="1:10" x14ac:dyDescent="0.25">
      <c r="A10" s="1067" t="s">
        <v>203</v>
      </c>
      <c r="B10" s="1067" t="s">
        <v>436</v>
      </c>
      <c r="C10" s="1067">
        <v>234</v>
      </c>
      <c r="D10" s="1067">
        <v>1136.75</v>
      </c>
      <c r="E10" s="1067">
        <v>17</v>
      </c>
      <c r="F10" s="1067">
        <v>120</v>
      </c>
      <c r="G10" s="1067"/>
      <c r="H10" s="1067"/>
      <c r="I10" s="1067"/>
      <c r="J10" s="1067"/>
    </row>
    <row r="11" spans="1:10" x14ac:dyDescent="0.25">
      <c r="A11" s="1067" t="s">
        <v>203</v>
      </c>
      <c r="B11" s="1067" t="s">
        <v>437</v>
      </c>
      <c r="C11" s="1067">
        <v>27</v>
      </c>
      <c r="D11" s="1067">
        <v>201</v>
      </c>
      <c r="E11" s="1067">
        <v>1</v>
      </c>
      <c r="F11" s="1067">
        <v>4.75</v>
      </c>
      <c r="G11" s="1067"/>
      <c r="H11" s="1067"/>
      <c r="I11" s="1067"/>
      <c r="J11" s="1067"/>
    </row>
    <row r="12" spans="1:10" x14ac:dyDescent="0.25">
      <c r="A12" s="1067" t="s">
        <v>203</v>
      </c>
      <c r="B12" s="1067" t="s">
        <v>438</v>
      </c>
      <c r="C12" s="1067">
        <v>67</v>
      </c>
      <c r="D12" s="1067">
        <v>370.5</v>
      </c>
      <c r="E12" s="1067">
        <v>1</v>
      </c>
      <c r="F12" s="1067">
        <v>7.25</v>
      </c>
      <c r="G12" s="1067"/>
      <c r="H12" s="1067"/>
      <c r="I12" s="1067"/>
      <c r="J12" s="1067"/>
    </row>
    <row r="13" spans="1:10" x14ac:dyDescent="0.25">
      <c r="A13" s="1067" t="s">
        <v>203</v>
      </c>
      <c r="B13" s="1067" t="s">
        <v>439</v>
      </c>
      <c r="C13" s="1067">
        <v>553</v>
      </c>
      <c r="D13" s="1067">
        <v>2713</v>
      </c>
      <c r="E13" s="1067">
        <v>43</v>
      </c>
      <c r="F13" s="1067">
        <v>383.25</v>
      </c>
      <c r="G13" s="1067"/>
      <c r="H13" s="1067"/>
      <c r="I13" s="1067"/>
      <c r="J13" s="1067"/>
    </row>
    <row r="14" spans="1:10" x14ac:dyDescent="0.25">
      <c r="A14" s="1067" t="s">
        <v>203</v>
      </c>
      <c r="B14" s="1067" t="s">
        <v>440</v>
      </c>
      <c r="C14" s="1067">
        <v>257</v>
      </c>
      <c r="D14" s="1067">
        <v>1527</v>
      </c>
      <c r="E14" s="1067">
        <v>3</v>
      </c>
      <c r="F14" s="1067">
        <v>23.5</v>
      </c>
      <c r="G14" s="1067"/>
      <c r="H14" s="1067"/>
      <c r="I14" s="1067"/>
      <c r="J14" s="1067"/>
    </row>
    <row r="15" spans="1:10" x14ac:dyDescent="0.25">
      <c r="A15" s="1067" t="s">
        <v>203</v>
      </c>
      <c r="B15" s="1067" t="s">
        <v>441</v>
      </c>
      <c r="C15" s="1067">
        <v>644</v>
      </c>
      <c r="D15" s="1067">
        <v>3222.75</v>
      </c>
      <c r="E15" s="1067">
        <v>39</v>
      </c>
      <c r="F15" s="1067">
        <v>284.75</v>
      </c>
      <c r="G15" s="1067"/>
      <c r="H15" s="1067"/>
      <c r="I15" s="1067"/>
      <c r="J15" s="1067"/>
    </row>
    <row r="16" spans="1:10" x14ac:dyDescent="0.25">
      <c r="A16" s="1067" t="s">
        <v>203</v>
      </c>
      <c r="B16" s="1067" t="s">
        <v>442</v>
      </c>
      <c r="C16" s="1067">
        <v>343</v>
      </c>
      <c r="D16" s="1067">
        <v>1793.75</v>
      </c>
      <c r="E16" s="1067">
        <v>13</v>
      </c>
      <c r="F16" s="1067">
        <v>95</v>
      </c>
      <c r="G16" s="1067"/>
      <c r="H16" s="1067"/>
      <c r="I16" s="1067">
        <v>1</v>
      </c>
      <c r="J16" s="1067">
        <v>12.5</v>
      </c>
    </row>
    <row r="17" spans="1:10" x14ac:dyDescent="0.25">
      <c r="A17" s="1067" t="s">
        <v>203</v>
      </c>
      <c r="B17" s="1067" t="s">
        <v>443</v>
      </c>
      <c r="C17" s="1067">
        <v>388</v>
      </c>
      <c r="D17" s="1067">
        <v>2008.75</v>
      </c>
      <c r="E17" s="1067">
        <v>24</v>
      </c>
      <c r="F17" s="1067">
        <v>214.75</v>
      </c>
      <c r="G17" s="1067"/>
      <c r="H17" s="1067"/>
      <c r="I17" s="1067"/>
      <c r="J17" s="1067"/>
    </row>
    <row r="18" spans="1:10" x14ac:dyDescent="0.25">
      <c r="A18" s="1067" t="s">
        <v>203</v>
      </c>
      <c r="B18" s="1067" t="s">
        <v>444</v>
      </c>
      <c r="C18" s="1067">
        <v>333</v>
      </c>
      <c r="D18" s="1067">
        <v>1754.75</v>
      </c>
      <c r="E18" s="1067">
        <v>11</v>
      </c>
      <c r="F18" s="1067">
        <v>75</v>
      </c>
      <c r="G18" s="1067">
        <v>1</v>
      </c>
      <c r="H18" s="1067">
        <v>5.5</v>
      </c>
      <c r="I18" s="1067"/>
      <c r="J18" s="1067"/>
    </row>
    <row r="19" spans="1:10" x14ac:dyDescent="0.25">
      <c r="A19" s="1067" t="s">
        <v>203</v>
      </c>
      <c r="B19" s="1067" t="s">
        <v>445</v>
      </c>
      <c r="C19" s="1067">
        <v>164</v>
      </c>
      <c r="D19" s="1067">
        <v>872.25</v>
      </c>
      <c r="E19" s="1067">
        <v>10</v>
      </c>
      <c r="F19" s="1067">
        <v>110.25</v>
      </c>
      <c r="G19" s="1067"/>
      <c r="H19" s="1067"/>
      <c r="I19" s="1067"/>
      <c r="J19" s="1067"/>
    </row>
    <row r="20" spans="1:10" x14ac:dyDescent="0.25">
      <c r="A20" s="1067" t="s">
        <v>202</v>
      </c>
      <c r="B20" s="1067" t="s">
        <v>431</v>
      </c>
      <c r="C20" s="1067">
        <v>409</v>
      </c>
      <c r="D20" s="1067">
        <v>2440</v>
      </c>
      <c r="E20" s="1067">
        <v>42</v>
      </c>
      <c r="F20" s="1067">
        <v>504.75</v>
      </c>
      <c r="G20" s="1067">
        <v>1</v>
      </c>
      <c r="H20" s="1067">
        <v>32</v>
      </c>
      <c r="I20" s="1067"/>
      <c r="J20" s="1067"/>
    </row>
    <row r="21" spans="1:10" x14ac:dyDescent="0.25">
      <c r="A21" s="1067" t="s">
        <v>202</v>
      </c>
      <c r="B21" s="1067" t="s">
        <v>432</v>
      </c>
      <c r="C21" s="1067">
        <v>1667</v>
      </c>
      <c r="D21" s="1067">
        <v>9716.25</v>
      </c>
      <c r="E21" s="1067">
        <v>93</v>
      </c>
      <c r="F21" s="1067">
        <v>978.75</v>
      </c>
      <c r="G21" s="1067">
        <v>3</v>
      </c>
      <c r="H21" s="1067">
        <v>76.25</v>
      </c>
      <c r="I21" s="1067"/>
      <c r="J21" s="1067"/>
    </row>
    <row r="22" spans="1:10" x14ac:dyDescent="0.25">
      <c r="A22" s="1067" t="s">
        <v>202</v>
      </c>
      <c r="B22" s="1067" t="s">
        <v>433</v>
      </c>
      <c r="C22" s="1067">
        <v>2916</v>
      </c>
      <c r="D22" s="1067">
        <v>10285.25</v>
      </c>
      <c r="E22" s="1067">
        <v>146</v>
      </c>
      <c r="F22" s="1067">
        <v>902.5</v>
      </c>
      <c r="G22" s="1067">
        <v>2</v>
      </c>
      <c r="H22" s="1067">
        <v>14.5</v>
      </c>
      <c r="I22" s="1067">
        <v>1</v>
      </c>
      <c r="J22" s="1067">
        <v>3.75</v>
      </c>
    </row>
    <row r="23" spans="1:10" x14ac:dyDescent="0.25">
      <c r="A23" s="1067" t="s">
        <v>202</v>
      </c>
      <c r="B23" s="1067" t="s">
        <v>434</v>
      </c>
      <c r="C23" s="1067">
        <v>109</v>
      </c>
      <c r="D23" s="1067">
        <v>654.75</v>
      </c>
      <c r="E23" s="1067">
        <v>10</v>
      </c>
      <c r="F23" s="1067">
        <v>118.75</v>
      </c>
      <c r="G23" s="1067">
        <v>1</v>
      </c>
      <c r="H23" s="1067">
        <v>26.5</v>
      </c>
      <c r="I23" s="1067"/>
      <c r="J23" s="1067"/>
    </row>
    <row r="24" spans="1:10" x14ac:dyDescent="0.25">
      <c r="A24" s="1067" t="s">
        <v>202</v>
      </c>
      <c r="B24" s="1067" t="s">
        <v>435</v>
      </c>
      <c r="C24" s="1067">
        <v>1100</v>
      </c>
      <c r="D24" s="1067">
        <v>6862.25</v>
      </c>
      <c r="E24" s="1067">
        <v>163</v>
      </c>
      <c r="F24" s="1067">
        <v>2008.25</v>
      </c>
      <c r="G24" s="1067">
        <v>14</v>
      </c>
      <c r="H24" s="1067">
        <v>436.5</v>
      </c>
      <c r="I24" s="1067"/>
      <c r="J24" s="1067"/>
    </row>
    <row r="25" spans="1:10" x14ac:dyDescent="0.25">
      <c r="A25" s="1067" t="s">
        <v>202</v>
      </c>
      <c r="B25" s="1067" t="s">
        <v>436</v>
      </c>
      <c r="C25" s="1067">
        <v>317</v>
      </c>
      <c r="D25" s="1067">
        <v>1475</v>
      </c>
      <c r="E25" s="1067">
        <v>34</v>
      </c>
      <c r="F25" s="1067">
        <v>285.75</v>
      </c>
      <c r="G25" s="1067"/>
      <c r="H25" s="1067"/>
      <c r="I25" s="1067"/>
      <c r="J25" s="1067"/>
    </row>
    <row r="26" spans="1:10" x14ac:dyDescent="0.25">
      <c r="A26" s="1067" t="s">
        <v>202</v>
      </c>
      <c r="B26" s="1067" t="s">
        <v>437</v>
      </c>
      <c r="C26" s="1067">
        <v>35</v>
      </c>
      <c r="D26" s="1067">
        <v>248.75</v>
      </c>
      <c r="E26" s="1067">
        <v>1</v>
      </c>
      <c r="F26" s="1067">
        <v>6.5</v>
      </c>
      <c r="G26" s="1067"/>
      <c r="H26" s="1067"/>
      <c r="I26" s="1067"/>
      <c r="J26" s="1067"/>
    </row>
    <row r="27" spans="1:10" x14ac:dyDescent="0.25">
      <c r="A27" s="1067" t="s">
        <v>202</v>
      </c>
      <c r="B27" s="1067" t="s">
        <v>438</v>
      </c>
      <c r="C27" s="1067">
        <v>48</v>
      </c>
      <c r="D27" s="1067">
        <v>249.5</v>
      </c>
      <c r="E27" s="1067">
        <v>1</v>
      </c>
      <c r="F27" s="1067">
        <v>20.25</v>
      </c>
      <c r="G27" s="1067"/>
      <c r="H27" s="1067"/>
      <c r="I27" s="1067"/>
      <c r="J27" s="1067"/>
    </row>
    <row r="28" spans="1:10" x14ac:dyDescent="0.25">
      <c r="A28" s="1067" t="s">
        <v>202</v>
      </c>
      <c r="B28" s="1067" t="s">
        <v>439</v>
      </c>
      <c r="C28" s="1067">
        <v>437</v>
      </c>
      <c r="D28" s="1067">
        <v>2243.5</v>
      </c>
      <c r="E28" s="1067">
        <v>57</v>
      </c>
      <c r="F28" s="1067">
        <v>475.25</v>
      </c>
      <c r="G28" s="1067">
        <v>2</v>
      </c>
      <c r="H28" s="1067">
        <v>26.25</v>
      </c>
      <c r="I28" s="1067"/>
      <c r="J28" s="1067"/>
    </row>
    <row r="29" spans="1:10" x14ac:dyDescent="0.25">
      <c r="A29" s="1067" t="s">
        <v>202</v>
      </c>
      <c r="B29" s="1067" t="s">
        <v>440</v>
      </c>
      <c r="C29" s="1067">
        <v>216</v>
      </c>
      <c r="D29" s="1067">
        <v>1257</v>
      </c>
      <c r="E29" s="1067">
        <v>12</v>
      </c>
      <c r="F29" s="1067">
        <v>100</v>
      </c>
      <c r="G29" s="1067"/>
      <c r="H29" s="1067"/>
      <c r="I29" s="1067">
        <v>1</v>
      </c>
      <c r="J29" s="1067">
        <v>2.5</v>
      </c>
    </row>
    <row r="30" spans="1:10" x14ac:dyDescent="0.25">
      <c r="A30" s="1067" t="s">
        <v>202</v>
      </c>
      <c r="B30" s="1067" t="s">
        <v>441</v>
      </c>
      <c r="C30" s="1067">
        <v>598</v>
      </c>
      <c r="D30" s="1067">
        <v>3214.5</v>
      </c>
      <c r="E30" s="1067">
        <v>41</v>
      </c>
      <c r="F30" s="1067">
        <v>283</v>
      </c>
      <c r="G30" s="1067"/>
      <c r="H30" s="1067"/>
      <c r="I30" s="1067">
        <v>1</v>
      </c>
      <c r="J30" s="1067">
        <v>11.5</v>
      </c>
    </row>
    <row r="31" spans="1:10" x14ac:dyDescent="0.25">
      <c r="A31" s="1067" t="s">
        <v>202</v>
      </c>
      <c r="B31" s="1067" t="s">
        <v>442</v>
      </c>
      <c r="C31" s="1067">
        <v>303</v>
      </c>
      <c r="D31" s="1067">
        <v>1550.75</v>
      </c>
      <c r="E31" s="1067">
        <v>17</v>
      </c>
      <c r="F31" s="1067">
        <v>153</v>
      </c>
      <c r="G31" s="1067"/>
      <c r="H31" s="1067"/>
      <c r="I31" s="1067"/>
      <c r="J31" s="1067"/>
    </row>
    <row r="32" spans="1:10" x14ac:dyDescent="0.25">
      <c r="A32" s="1067" t="s">
        <v>202</v>
      </c>
      <c r="B32" s="1067" t="s">
        <v>443</v>
      </c>
      <c r="C32" s="1067">
        <v>476</v>
      </c>
      <c r="D32" s="1067">
        <v>2044.25</v>
      </c>
      <c r="E32" s="1067">
        <v>9</v>
      </c>
      <c r="F32" s="1067">
        <v>74.75</v>
      </c>
      <c r="G32" s="1067"/>
      <c r="H32" s="1067"/>
      <c r="I32" s="1067"/>
      <c r="J32" s="1067"/>
    </row>
    <row r="33" spans="1:10" x14ac:dyDescent="0.25">
      <c r="A33" s="1067" t="s">
        <v>202</v>
      </c>
      <c r="B33" s="1067" t="s">
        <v>444</v>
      </c>
      <c r="C33" s="1067">
        <v>364</v>
      </c>
      <c r="D33" s="1067">
        <v>1734.75</v>
      </c>
      <c r="E33" s="1067">
        <v>15</v>
      </c>
      <c r="F33" s="1067">
        <v>95.75</v>
      </c>
      <c r="G33" s="1067"/>
      <c r="H33" s="1067"/>
      <c r="I33" s="1067"/>
      <c r="J33" s="1067"/>
    </row>
    <row r="34" spans="1:10" x14ac:dyDescent="0.25">
      <c r="A34" s="1067" t="s">
        <v>202</v>
      </c>
      <c r="B34" s="1067" t="s">
        <v>445</v>
      </c>
      <c r="C34" s="1067">
        <v>190</v>
      </c>
      <c r="D34" s="1067">
        <v>988.5</v>
      </c>
      <c r="E34" s="1067">
        <v>8</v>
      </c>
      <c r="F34" s="1067">
        <v>62.25</v>
      </c>
      <c r="G34" s="1067"/>
      <c r="H34" s="1067"/>
      <c r="I34" s="1067">
        <v>1</v>
      </c>
      <c r="J34" s="1067">
        <v>5.5</v>
      </c>
    </row>
    <row r="35" spans="1:10" x14ac:dyDescent="0.25">
      <c r="A35" s="1067" t="s">
        <v>273</v>
      </c>
      <c r="B35" s="1067" t="s">
        <v>431</v>
      </c>
      <c r="C35" s="1067">
        <v>359</v>
      </c>
      <c r="D35" s="1067">
        <v>1911.75</v>
      </c>
      <c r="E35" s="1067">
        <v>37</v>
      </c>
      <c r="F35" s="1067">
        <v>370.75</v>
      </c>
      <c r="G35" s="1067"/>
      <c r="H35" s="1067"/>
      <c r="I35" s="1067"/>
      <c r="J35" s="1067"/>
    </row>
    <row r="36" spans="1:10" x14ac:dyDescent="0.25">
      <c r="A36" s="1067" t="s">
        <v>273</v>
      </c>
      <c r="B36" s="1067" t="s">
        <v>432</v>
      </c>
      <c r="C36" s="1067">
        <v>1660</v>
      </c>
      <c r="D36" s="1067">
        <v>9324.75</v>
      </c>
      <c r="E36" s="1067">
        <v>59</v>
      </c>
      <c r="F36" s="1067">
        <v>711.5</v>
      </c>
      <c r="G36" s="1067"/>
      <c r="H36" s="1067"/>
      <c r="I36" s="1067"/>
      <c r="J36" s="1067"/>
    </row>
    <row r="37" spans="1:10" x14ac:dyDescent="0.25">
      <c r="A37" s="1067" t="s">
        <v>273</v>
      </c>
      <c r="B37" s="1067" t="s">
        <v>433</v>
      </c>
      <c r="C37" s="1067">
        <v>2531</v>
      </c>
      <c r="D37" s="1067">
        <v>8986</v>
      </c>
      <c r="E37" s="1067">
        <v>119</v>
      </c>
      <c r="F37" s="1067">
        <v>614</v>
      </c>
      <c r="G37" s="1067">
        <v>9</v>
      </c>
      <c r="H37" s="1067">
        <v>69.25</v>
      </c>
      <c r="I37" s="1067">
        <v>4</v>
      </c>
      <c r="J37" s="1067">
        <v>22.25</v>
      </c>
    </row>
    <row r="38" spans="1:10" x14ac:dyDescent="0.25">
      <c r="A38" s="1067" t="s">
        <v>273</v>
      </c>
      <c r="B38" s="1067" t="s">
        <v>434</v>
      </c>
      <c r="C38" s="1067">
        <v>119</v>
      </c>
      <c r="D38" s="1067">
        <v>607</v>
      </c>
      <c r="E38" s="1067">
        <v>9</v>
      </c>
      <c r="F38" s="1067">
        <v>83.5</v>
      </c>
      <c r="G38" s="1067">
        <v>1</v>
      </c>
      <c r="H38" s="1067">
        <v>6.75</v>
      </c>
      <c r="I38" s="1067"/>
      <c r="J38" s="1067"/>
    </row>
    <row r="39" spans="1:10" x14ac:dyDescent="0.25">
      <c r="A39" s="1067" t="s">
        <v>273</v>
      </c>
      <c r="B39" s="1067" t="s">
        <v>435</v>
      </c>
      <c r="C39" s="1067">
        <v>990</v>
      </c>
      <c r="D39" s="1067">
        <v>5995.25</v>
      </c>
      <c r="E39" s="1067">
        <v>148</v>
      </c>
      <c r="F39" s="1067">
        <v>1626.25</v>
      </c>
      <c r="G39" s="1067">
        <v>8</v>
      </c>
      <c r="H39" s="1067">
        <v>268.5</v>
      </c>
      <c r="I39" s="1067">
        <v>3</v>
      </c>
      <c r="J39" s="1067">
        <v>20.75</v>
      </c>
    </row>
    <row r="40" spans="1:10" x14ac:dyDescent="0.25">
      <c r="A40" s="1067" t="s">
        <v>273</v>
      </c>
      <c r="B40" s="1067" t="s">
        <v>436</v>
      </c>
      <c r="C40" s="1067">
        <v>338</v>
      </c>
      <c r="D40" s="1067">
        <v>1664</v>
      </c>
      <c r="E40" s="1067">
        <v>33</v>
      </c>
      <c r="F40" s="1067">
        <v>287.5</v>
      </c>
      <c r="G40" s="1067">
        <v>2</v>
      </c>
      <c r="H40" s="1067">
        <v>39</v>
      </c>
      <c r="I40" s="1067">
        <v>2</v>
      </c>
      <c r="J40" s="1067">
        <v>7.25</v>
      </c>
    </row>
    <row r="41" spans="1:10" x14ac:dyDescent="0.25">
      <c r="A41" s="1067" t="s">
        <v>273</v>
      </c>
      <c r="B41" s="1067" t="s">
        <v>437</v>
      </c>
      <c r="C41" s="1067">
        <v>20</v>
      </c>
      <c r="D41" s="1067">
        <v>104.5</v>
      </c>
      <c r="E41" s="1067">
        <v>1</v>
      </c>
      <c r="F41" s="1067">
        <v>11.5</v>
      </c>
      <c r="G41" s="1067"/>
      <c r="H41" s="1067"/>
      <c r="I41" s="1067"/>
      <c r="J41" s="1067"/>
    </row>
    <row r="42" spans="1:10" x14ac:dyDescent="0.25">
      <c r="A42" s="1067" t="s">
        <v>273</v>
      </c>
      <c r="B42" s="1067" t="s">
        <v>438</v>
      </c>
      <c r="C42" s="1067">
        <v>63</v>
      </c>
      <c r="D42" s="1067">
        <v>340.5</v>
      </c>
      <c r="E42" s="1067">
        <v>3</v>
      </c>
      <c r="F42" s="1067">
        <v>33.25</v>
      </c>
      <c r="G42" s="1067"/>
      <c r="H42" s="1067"/>
      <c r="I42" s="1067"/>
      <c r="J42" s="1067"/>
    </row>
    <row r="43" spans="1:10" x14ac:dyDescent="0.25">
      <c r="A43" s="1067" t="s">
        <v>273</v>
      </c>
      <c r="B43" s="1067" t="s">
        <v>439</v>
      </c>
      <c r="C43" s="1067">
        <v>421</v>
      </c>
      <c r="D43" s="1067">
        <v>2155.5</v>
      </c>
      <c r="E43" s="1067">
        <v>61</v>
      </c>
      <c r="F43" s="1067">
        <v>470.25</v>
      </c>
      <c r="G43" s="1067">
        <v>1</v>
      </c>
      <c r="H43" s="1067">
        <v>11.75</v>
      </c>
      <c r="I43" s="1067">
        <v>1</v>
      </c>
      <c r="J43" s="1067">
        <v>8.5</v>
      </c>
    </row>
    <row r="44" spans="1:10" x14ac:dyDescent="0.25">
      <c r="A44" s="1067" t="s">
        <v>273</v>
      </c>
      <c r="B44" s="1067" t="s">
        <v>440</v>
      </c>
      <c r="C44" s="1067">
        <v>350</v>
      </c>
      <c r="D44" s="1067">
        <v>2174</v>
      </c>
      <c r="E44" s="1067">
        <v>13</v>
      </c>
      <c r="F44" s="1067">
        <v>160.75</v>
      </c>
      <c r="G44" s="1067"/>
      <c r="H44" s="1067"/>
      <c r="I44" s="1067"/>
      <c r="J44" s="1067"/>
    </row>
    <row r="45" spans="1:10" x14ac:dyDescent="0.25">
      <c r="A45" s="1067" t="s">
        <v>273</v>
      </c>
      <c r="B45" s="1067" t="s">
        <v>441</v>
      </c>
      <c r="C45" s="1067">
        <v>497</v>
      </c>
      <c r="D45" s="1067">
        <v>2570.75</v>
      </c>
      <c r="E45" s="1067">
        <v>26</v>
      </c>
      <c r="F45" s="1067">
        <v>227.75</v>
      </c>
      <c r="G45" s="1067"/>
      <c r="H45" s="1067"/>
      <c r="I45" s="1067">
        <v>2</v>
      </c>
      <c r="J45" s="1067">
        <v>13.5</v>
      </c>
    </row>
    <row r="46" spans="1:10" x14ac:dyDescent="0.25">
      <c r="A46" s="1067" t="s">
        <v>273</v>
      </c>
      <c r="B46" s="1067" t="s">
        <v>442</v>
      </c>
      <c r="C46" s="1067">
        <v>221</v>
      </c>
      <c r="D46" s="1067">
        <v>1244.75</v>
      </c>
      <c r="E46" s="1067">
        <v>14</v>
      </c>
      <c r="F46" s="1067">
        <v>103.25</v>
      </c>
      <c r="G46" s="1067"/>
      <c r="H46" s="1067"/>
      <c r="I46" s="1067"/>
      <c r="J46" s="1067"/>
    </row>
    <row r="47" spans="1:10" x14ac:dyDescent="0.25">
      <c r="A47" s="1067" t="s">
        <v>273</v>
      </c>
      <c r="B47" s="1067" t="s">
        <v>443</v>
      </c>
      <c r="C47" s="1067">
        <v>319</v>
      </c>
      <c r="D47" s="1067">
        <v>1744</v>
      </c>
      <c r="E47" s="1067">
        <v>10</v>
      </c>
      <c r="F47" s="1067">
        <v>102.75</v>
      </c>
      <c r="G47" s="1067"/>
      <c r="H47" s="1067"/>
      <c r="I47" s="1067"/>
      <c r="J47" s="1067"/>
    </row>
    <row r="48" spans="1:10" x14ac:dyDescent="0.25">
      <c r="A48" s="1067" t="s">
        <v>273</v>
      </c>
      <c r="B48" s="1067" t="s">
        <v>444</v>
      </c>
      <c r="C48" s="1067">
        <v>264</v>
      </c>
      <c r="D48" s="1067">
        <v>1213.5</v>
      </c>
      <c r="E48" s="1067">
        <v>11</v>
      </c>
      <c r="F48" s="1067">
        <v>97.25</v>
      </c>
      <c r="G48" s="1067"/>
      <c r="H48" s="1067"/>
      <c r="I48" s="1067"/>
      <c r="J48" s="1067"/>
    </row>
    <row r="49" spans="1:10" x14ac:dyDescent="0.25">
      <c r="A49" s="1067" t="s">
        <v>273</v>
      </c>
      <c r="B49" s="1067" t="s">
        <v>445</v>
      </c>
      <c r="C49" s="1067">
        <v>233</v>
      </c>
      <c r="D49" s="1067">
        <v>1339.75</v>
      </c>
      <c r="E49" s="1067">
        <v>10</v>
      </c>
      <c r="F49" s="1067">
        <v>90.5</v>
      </c>
      <c r="G49" s="1067"/>
      <c r="H49" s="1067"/>
      <c r="I49" s="1067"/>
      <c r="J49" s="1067"/>
    </row>
    <row r="50" spans="1:10" x14ac:dyDescent="0.25">
      <c r="A50" s="1067" t="s">
        <v>255</v>
      </c>
      <c r="B50" s="1067" t="s">
        <v>431</v>
      </c>
      <c r="C50" s="1067">
        <v>342</v>
      </c>
      <c r="D50" s="1067">
        <v>1662</v>
      </c>
      <c r="E50" s="1067">
        <v>25</v>
      </c>
      <c r="F50" s="1067">
        <v>274.25</v>
      </c>
      <c r="G50" s="1067"/>
      <c r="H50" s="1067"/>
      <c r="I50" s="1067"/>
      <c r="J50" s="1067"/>
    </row>
    <row r="51" spans="1:10" x14ac:dyDescent="0.25">
      <c r="A51" s="1067" t="s">
        <v>255</v>
      </c>
      <c r="B51" s="1067" t="s">
        <v>432</v>
      </c>
      <c r="C51" s="1067">
        <v>1599</v>
      </c>
      <c r="D51" s="1067">
        <v>8671.5</v>
      </c>
      <c r="E51" s="1067">
        <v>54</v>
      </c>
      <c r="F51" s="1067">
        <v>593.75</v>
      </c>
      <c r="G51" s="1067"/>
      <c r="H51" s="1067"/>
      <c r="I51" s="1067"/>
      <c r="J51" s="1067"/>
    </row>
    <row r="52" spans="1:10" x14ac:dyDescent="0.25">
      <c r="A52" s="1067" t="s">
        <v>255</v>
      </c>
      <c r="B52" s="1067" t="s">
        <v>433</v>
      </c>
      <c r="C52" s="1067">
        <v>1986</v>
      </c>
      <c r="D52" s="1067">
        <v>7167.75</v>
      </c>
      <c r="E52" s="1067">
        <v>91</v>
      </c>
      <c r="F52" s="1067">
        <v>794.5</v>
      </c>
      <c r="G52" s="1067">
        <v>2</v>
      </c>
      <c r="H52" s="1067">
        <v>51.75</v>
      </c>
      <c r="I52" s="1067">
        <v>4</v>
      </c>
      <c r="J52" s="1067">
        <v>16.25</v>
      </c>
    </row>
    <row r="53" spans="1:10" x14ac:dyDescent="0.25">
      <c r="A53" s="1067" t="s">
        <v>255</v>
      </c>
      <c r="B53" s="1067" t="s">
        <v>434</v>
      </c>
      <c r="C53" s="1067">
        <v>94</v>
      </c>
      <c r="D53" s="1067">
        <v>573.5</v>
      </c>
      <c r="E53" s="1067">
        <v>10</v>
      </c>
      <c r="F53" s="1067">
        <v>114.75</v>
      </c>
      <c r="G53" s="1067"/>
      <c r="H53" s="1067"/>
      <c r="I53" s="1067">
        <v>1</v>
      </c>
      <c r="J53" s="1067">
        <v>2</v>
      </c>
    </row>
    <row r="54" spans="1:10" x14ac:dyDescent="0.25">
      <c r="A54" s="1067" t="s">
        <v>255</v>
      </c>
      <c r="B54" s="1067" t="s">
        <v>435</v>
      </c>
      <c r="C54" s="1067">
        <v>1018</v>
      </c>
      <c r="D54" s="1067">
        <v>5856.5</v>
      </c>
      <c r="E54" s="1067">
        <v>149</v>
      </c>
      <c r="F54" s="1067">
        <v>1800.5</v>
      </c>
      <c r="G54" s="1067">
        <v>9</v>
      </c>
      <c r="H54" s="1067">
        <v>378.75</v>
      </c>
      <c r="I54" s="1067">
        <v>6</v>
      </c>
      <c r="J54" s="1067">
        <v>72.5</v>
      </c>
    </row>
    <row r="55" spans="1:10" x14ac:dyDescent="0.25">
      <c r="A55" s="1067" t="s">
        <v>255</v>
      </c>
      <c r="B55" s="1067" t="s">
        <v>436</v>
      </c>
      <c r="C55" s="1067">
        <v>375</v>
      </c>
      <c r="D55" s="1067">
        <v>1755</v>
      </c>
      <c r="E55" s="1067">
        <v>33</v>
      </c>
      <c r="F55" s="1067">
        <v>257.25</v>
      </c>
      <c r="G55" s="1067"/>
      <c r="H55" s="1067"/>
      <c r="I55" s="1067">
        <v>1</v>
      </c>
      <c r="J55" s="1067">
        <v>7.5</v>
      </c>
    </row>
    <row r="56" spans="1:10" x14ac:dyDescent="0.25">
      <c r="A56" s="1067" t="s">
        <v>255</v>
      </c>
      <c r="B56" s="1067" t="s">
        <v>437</v>
      </c>
      <c r="C56" s="1067">
        <v>34</v>
      </c>
      <c r="D56" s="1067">
        <v>183</v>
      </c>
      <c r="E56" s="1067">
        <v>3</v>
      </c>
      <c r="F56" s="1067">
        <v>56.5</v>
      </c>
      <c r="G56" s="1067"/>
      <c r="H56" s="1067"/>
      <c r="I56" s="1067"/>
      <c r="J56" s="1067"/>
    </row>
    <row r="57" spans="1:10" x14ac:dyDescent="0.25">
      <c r="A57" s="1067" t="s">
        <v>255</v>
      </c>
      <c r="B57" s="1067" t="s">
        <v>438</v>
      </c>
      <c r="C57" s="1067">
        <v>55</v>
      </c>
      <c r="D57" s="1067">
        <v>288</v>
      </c>
      <c r="E57" s="1067">
        <v>4</v>
      </c>
      <c r="F57" s="1067">
        <v>35.75</v>
      </c>
      <c r="G57" s="1067"/>
      <c r="H57" s="1067"/>
      <c r="I57" s="1067"/>
      <c r="J57" s="1067"/>
    </row>
    <row r="58" spans="1:10" x14ac:dyDescent="0.25">
      <c r="A58" s="1067" t="s">
        <v>255</v>
      </c>
      <c r="B58" s="1067" t="s">
        <v>439</v>
      </c>
      <c r="C58" s="1067">
        <v>294</v>
      </c>
      <c r="D58" s="1067">
        <v>1469.5</v>
      </c>
      <c r="E58" s="1067">
        <v>38</v>
      </c>
      <c r="F58" s="1067">
        <v>329.5</v>
      </c>
      <c r="G58" s="1067">
        <v>3</v>
      </c>
      <c r="H58" s="1067">
        <v>32</v>
      </c>
      <c r="I58" s="1067">
        <v>3</v>
      </c>
      <c r="J58" s="1067">
        <v>17.75</v>
      </c>
    </row>
    <row r="59" spans="1:10" x14ac:dyDescent="0.25">
      <c r="A59" s="1067" t="s">
        <v>255</v>
      </c>
      <c r="B59" s="1067" t="s">
        <v>440</v>
      </c>
      <c r="C59" s="1067">
        <v>255</v>
      </c>
      <c r="D59" s="1067">
        <v>1437.75</v>
      </c>
      <c r="E59" s="1067">
        <v>13</v>
      </c>
      <c r="F59" s="1067">
        <v>146.5</v>
      </c>
      <c r="G59" s="1067"/>
      <c r="H59" s="1067"/>
      <c r="I59" s="1067"/>
      <c r="J59" s="1067"/>
    </row>
    <row r="60" spans="1:10" x14ac:dyDescent="0.25">
      <c r="A60" s="1067" t="s">
        <v>255</v>
      </c>
      <c r="B60" s="1067" t="s">
        <v>441</v>
      </c>
      <c r="C60" s="1067">
        <v>344</v>
      </c>
      <c r="D60" s="1067">
        <v>1674.75</v>
      </c>
      <c r="E60" s="1067">
        <v>18</v>
      </c>
      <c r="F60" s="1067">
        <v>138.25</v>
      </c>
      <c r="G60" s="1067">
        <v>1</v>
      </c>
      <c r="H60" s="1067">
        <v>3</v>
      </c>
      <c r="I60" s="1067">
        <v>2</v>
      </c>
      <c r="J60" s="1067">
        <v>12.5</v>
      </c>
    </row>
    <row r="61" spans="1:10" x14ac:dyDescent="0.25">
      <c r="A61" s="1067" t="s">
        <v>255</v>
      </c>
      <c r="B61" s="1067" t="s">
        <v>442</v>
      </c>
      <c r="C61" s="1067">
        <v>225</v>
      </c>
      <c r="D61" s="1067">
        <v>1105.5</v>
      </c>
      <c r="E61" s="1067">
        <v>15</v>
      </c>
      <c r="F61" s="1067">
        <v>122.25</v>
      </c>
      <c r="G61" s="1067"/>
      <c r="H61" s="1067"/>
      <c r="I61" s="1067"/>
      <c r="J61" s="1067"/>
    </row>
    <row r="62" spans="1:10" x14ac:dyDescent="0.25">
      <c r="A62" s="1067" t="s">
        <v>255</v>
      </c>
      <c r="B62" s="1067" t="s">
        <v>443</v>
      </c>
      <c r="C62" s="1067">
        <v>222</v>
      </c>
      <c r="D62" s="1067">
        <v>1205.75</v>
      </c>
      <c r="E62" s="1067">
        <v>6</v>
      </c>
      <c r="F62" s="1067">
        <v>53.25</v>
      </c>
      <c r="G62" s="1067"/>
      <c r="H62" s="1067"/>
      <c r="I62" s="1067"/>
      <c r="J62" s="1067"/>
    </row>
    <row r="63" spans="1:10" x14ac:dyDescent="0.25">
      <c r="A63" s="1067" t="s">
        <v>255</v>
      </c>
      <c r="B63" s="1067" t="s">
        <v>444</v>
      </c>
      <c r="C63" s="1067">
        <v>217</v>
      </c>
      <c r="D63" s="1067">
        <v>1101.5</v>
      </c>
      <c r="E63" s="1067">
        <v>3</v>
      </c>
      <c r="F63" s="1067">
        <v>26</v>
      </c>
      <c r="G63" s="1067"/>
      <c r="H63" s="1067"/>
      <c r="I63" s="1067"/>
      <c r="J63" s="1067"/>
    </row>
    <row r="64" spans="1:10" x14ac:dyDescent="0.25">
      <c r="A64" s="1067" t="s">
        <v>255</v>
      </c>
      <c r="B64" s="1067" t="s">
        <v>445</v>
      </c>
      <c r="C64" s="1067">
        <v>107</v>
      </c>
      <c r="D64" s="1067">
        <v>536.5</v>
      </c>
      <c r="E64" s="1067">
        <v>6</v>
      </c>
      <c r="F64" s="1067">
        <v>39</v>
      </c>
      <c r="G64" s="1067"/>
      <c r="H64" s="1067"/>
      <c r="I64" s="1067"/>
      <c r="J64" s="1067"/>
    </row>
    <row r="65" spans="1:10" x14ac:dyDescent="0.25">
      <c r="A65" s="1067" t="s">
        <v>254</v>
      </c>
      <c r="B65" s="1067" t="s">
        <v>431</v>
      </c>
      <c r="C65" s="1067">
        <v>449</v>
      </c>
      <c r="D65" s="1067">
        <v>2244.5</v>
      </c>
      <c r="E65" s="1067">
        <v>22</v>
      </c>
      <c r="F65" s="1067">
        <v>166.5</v>
      </c>
      <c r="G65" s="1067"/>
      <c r="H65" s="1067"/>
      <c r="I65" s="1067"/>
      <c r="J65" s="1067"/>
    </row>
    <row r="66" spans="1:10" x14ac:dyDescent="0.25">
      <c r="A66" s="1067" t="s">
        <v>254</v>
      </c>
      <c r="B66" s="1067" t="s">
        <v>432</v>
      </c>
      <c r="C66" s="1067">
        <v>1731</v>
      </c>
      <c r="D66" s="1067">
        <v>9112.75</v>
      </c>
      <c r="E66" s="1067">
        <v>44</v>
      </c>
      <c r="F66" s="1067">
        <v>463.25</v>
      </c>
      <c r="G66" s="1067">
        <v>1</v>
      </c>
      <c r="H66" s="1067">
        <v>33.25</v>
      </c>
      <c r="I66" s="1067"/>
      <c r="J66" s="1067"/>
    </row>
    <row r="67" spans="1:10" x14ac:dyDescent="0.25">
      <c r="A67" s="1067" t="s">
        <v>254</v>
      </c>
      <c r="B67" s="1067" t="s">
        <v>433</v>
      </c>
      <c r="C67" s="1067">
        <v>1804</v>
      </c>
      <c r="D67" s="1067">
        <v>6780</v>
      </c>
      <c r="E67" s="1067">
        <v>58</v>
      </c>
      <c r="F67" s="1067">
        <v>572.5</v>
      </c>
      <c r="G67" s="1067">
        <v>5</v>
      </c>
      <c r="H67" s="1067">
        <v>167.25</v>
      </c>
      <c r="I67" s="1067">
        <v>12</v>
      </c>
      <c r="J67" s="1067">
        <v>181.25</v>
      </c>
    </row>
    <row r="68" spans="1:10" x14ac:dyDescent="0.25">
      <c r="A68" s="1067" t="s">
        <v>254</v>
      </c>
      <c r="B68" s="1067" t="s">
        <v>434</v>
      </c>
      <c r="C68" s="1067">
        <v>85</v>
      </c>
      <c r="D68" s="1067">
        <v>435.5</v>
      </c>
      <c r="E68" s="1067">
        <v>3</v>
      </c>
      <c r="F68" s="1067">
        <v>61.25</v>
      </c>
      <c r="G68" s="1067">
        <v>1</v>
      </c>
      <c r="H68" s="1067">
        <v>38.25</v>
      </c>
      <c r="I68" s="1067"/>
      <c r="J68" s="1067"/>
    </row>
    <row r="69" spans="1:10" x14ac:dyDescent="0.25">
      <c r="A69" s="1067" t="s">
        <v>254</v>
      </c>
      <c r="B69" s="1067" t="s">
        <v>435</v>
      </c>
      <c r="C69" s="1067">
        <v>921</v>
      </c>
      <c r="D69" s="1067">
        <v>5130.75</v>
      </c>
      <c r="E69" s="1067">
        <v>109</v>
      </c>
      <c r="F69" s="1067">
        <v>1313.75</v>
      </c>
      <c r="G69" s="1067">
        <v>5</v>
      </c>
      <c r="H69" s="1067">
        <v>154</v>
      </c>
      <c r="I69" s="1067">
        <v>4</v>
      </c>
      <c r="J69" s="1067">
        <v>34</v>
      </c>
    </row>
    <row r="70" spans="1:10" x14ac:dyDescent="0.25">
      <c r="A70" s="1067" t="s">
        <v>254</v>
      </c>
      <c r="B70" s="1067" t="s">
        <v>436</v>
      </c>
      <c r="C70" s="1067">
        <v>301</v>
      </c>
      <c r="D70" s="1067">
        <v>1377.25</v>
      </c>
      <c r="E70" s="1067">
        <v>22</v>
      </c>
      <c r="F70" s="1067">
        <v>192.75</v>
      </c>
      <c r="G70" s="1067"/>
      <c r="H70" s="1067"/>
      <c r="I70" s="1067"/>
      <c r="J70" s="1067"/>
    </row>
    <row r="71" spans="1:10" x14ac:dyDescent="0.25">
      <c r="A71" s="1067" t="s">
        <v>254</v>
      </c>
      <c r="B71" s="1067" t="s">
        <v>437</v>
      </c>
      <c r="C71" s="1067">
        <v>30</v>
      </c>
      <c r="D71" s="1067">
        <v>199.75</v>
      </c>
      <c r="E71" s="1067">
        <v>1</v>
      </c>
      <c r="F71" s="1067">
        <v>11.25</v>
      </c>
      <c r="G71" s="1067"/>
      <c r="H71" s="1067"/>
      <c r="I71" s="1067"/>
      <c r="J71" s="1067"/>
    </row>
    <row r="72" spans="1:10" x14ac:dyDescent="0.25">
      <c r="A72" s="1067" t="s">
        <v>254</v>
      </c>
      <c r="B72" s="1067" t="s">
        <v>438</v>
      </c>
      <c r="C72" s="1067">
        <v>59</v>
      </c>
      <c r="D72" s="1067">
        <v>321.75</v>
      </c>
      <c r="E72" s="1067">
        <v>1</v>
      </c>
      <c r="F72" s="1067">
        <v>14</v>
      </c>
      <c r="G72" s="1067"/>
      <c r="H72" s="1067"/>
      <c r="I72" s="1067"/>
      <c r="J72" s="1067"/>
    </row>
    <row r="73" spans="1:10" x14ac:dyDescent="0.25">
      <c r="A73" s="1067" t="s">
        <v>254</v>
      </c>
      <c r="B73" s="1067" t="s">
        <v>439</v>
      </c>
      <c r="C73" s="1067">
        <v>329</v>
      </c>
      <c r="D73" s="1067">
        <v>1704</v>
      </c>
      <c r="E73" s="1067">
        <v>45</v>
      </c>
      <c r="F73" s="1067">
        <v>386.75</v>
      </c>
      <c r="G73" s="1067">
        <v>5</v>
      </c>
      <c r="H73" s="1067">
        <v>80</v>
      </c>
      <c r="I73" s="1067"/>
      <c r="J73" s="1067"/>
    </row>
    <row r="74" spans="1:10" x14ac:dyDescent="0.25">
      <c r="A74" s="1067" t="s">
        <v>254</v>
      </c>
      <c r="B74" s="1067" t="s">
        <v>440</v>
      </c>
      <c r="C74" s="1067">
        <v>457</v>
      </c>
      <c r="D74" s="1067">
        <v>2188.5</v>
      </c>
      <c r="E74" s="1067">
        <v>13</v>
      </c>
      <c r="F74" s="1067">
        <v>156.75</v>
      </c>
      <c r="G74" s="1067"/>
      <c r="H74" s="1067"/>
      <c r="I74" s="1067"/>
      <c r="J74" s="1067"/>
    </row>
    <row r="75" spans="1:10" x14ac:dyDescent="0.25">
      <c r="A75" s="1067" t="s">
        <v>254</v>
      </c>
      <c r="B75" s="1067" t="s">
        <v>441</v>
      </c>
      <c r="C75" s="1067">
        <v>366</v>
      </c>
      <c r="D75" s="1067">
        <v>1827.5</v>
      </c>
      <c r="E75" s="1067">
        <v>16</v>
      </c>
      <c r="F75" s="1067">
        <v>156.5</v>
      </c>
      <c r="G75" s="1067">
        <v>3</v>
      </c>
      <c r="H75" s="1067">
        <v>45.25</v>
      </c>
      <c r="I75" s="1067">
        <v>3</v>
      </c>
      <c r="J75" s="1067">
        <v>16</v>
      </c>
    </row>
    <row r="76" spans="1:10" x14ac:dyDescent="0.25">
      <c r="A76" s="1067" t="s">
        <v>254</v>
      </c>
      <c r="B76" s="1067" t="s">
        <v>442</v>
      </c>
      <c r="C76" s="1067">
        <v>273</v>
      </c>
      <c r="D76" s="1067">
        <v>1407.5</v>
      </c>
      <c r="E76" s="1067">
        <v>10</v>
      </c>
      <c r="F76" s="1067">
        <v>106.75</v>
      </c>
      <c r="G76" s="1067"/>
      <c r="H76" s="1067"/>
      <c r="I76" s="1067">
        <v>1</v>
      </c>
      <c r="J76" s="1067">
        <v>6.25</v>
      </c>
    </row>
    <row r="77" spans="1:10" x14ac:dyDescent="0.25">
      <c r="A77" s="1067" t="s">
        <v>254</v>
      </c>
      <c r="B77" s="1067" t="s">
        <v>443</v>
      </c>
      <c r="C77" s="1067">
        <v>261</v>
      </c>
      <c r="D77" s="1067">
        <v>1459.5</v>
      </c>
      <c r="E77" s="1067">
        <v>6</v>
      </c>
      <c r="F77" s="1067">
        <v>50.75</v>
      </c>
      <c r="G77" s="1067"/>
      <c r="H77" s="1067"/>
      <c r="I77" s="1067"/>
      <c r="J77" s="1067"/>
    </row>
    <row r="78" spans="1:10" x14ac:dyDescent="0.25">
      <c r="A78" s="1067" t="s">
        <v>254</v>
      </c>
      <c r="B78" s="1067" t="s">
        <v>444</v>
      </c>
      <c r="C78" s="1067">
        <v>263</v>
      </c>
      <c r="D78" s="1067">
        <v>1314</v>
      </c>
      <c r="E78" s="1067">
        <v>4</v>
      </c>
      <c r="F78" s="1067">
        <v>38</v>
      </c>
      <c r="G78" s="1067"/>
      <c r="H78" s="1067"/>
      <c r="I78" s="1067"/>
      <c r="J78" s="1067"/>
    </row>
    <row r="79" spans="1:10" x14ac:dyDescent="0.25">
      <c r="A79" s="1067" t="s">
        <v>254</v>
      </c>
      <c r="B79" s="1067" t="s">
        <v>445</v>
      </c>
      <c r="C79" s="1067">
        <v>179</v>
      </c>
      <c r="D79" s="1067">
        <v>949</v>
      </c>
      <c r="E79" s="1067">
        <v>10</v>
      </c>
      <c r="F79" s="1067">
        <v>68.5</v>
      </c>
      <c r="G79" s="1067">
        <v>1</v>
      </c>
      <c r="H79" s="1067"/>
      <c r="I79" s="1067"/>
      <c r="J79" s="1067"/>
    </row>
    <row r="80" spans="1:10" x14ac:dyDescent="0.25">
      <c r="A80" s="1067" t="s">
        <v>851</v>
      </c>
      <c r="B80" s="1067" t="s">
        <v>431</v>
      </c>
      <c r="C80" s="1067">
        <v>294</v>
      </c>
      <c r="D80" s="1067"/>
      <c r="E80" s="1067">
        <v>4</v>
      </c>
      <c r="F80" s="1067"/>
      <c r="G80" s="1067"/>
      <c r="H80" s="1067"/>
      <c r="I80" s="1067"/>
      <c r="J80" s="1067"/>
    </row>
    <row r="81" spans="1:10" x14ac:dyDescent="0.25">
      <c r="A81" s="1067" t="s">
        <v>851</v>
      </c>
      <c r="B81" s="1067" t="s">
        <v>432</v>
      </c>
      <c r="C81" s="1067">
        <v>1451</v>
      </c>
      <c r="D81" s="1067"/>
      <c r="E81" s="1067">
        <v>35</v>
      </c>
      <c r="F81" s="1067"/>
      <c r="G81" s="1067"/>
      <c r="H81" s="1067"/>
      <c r="I81" s="1067"/>
      <c r="J81" s="1067"/>
    </row>
    <row r="82" spans="1:10" x14ac:dyDescent="0.25">
      <c r="A82" s="1067" t="s">
        <v>851</v>
      </c>
      <c r="B82" s="1067" t="s">
        <v>433</v>
      </c>
      <c r="C82" s="1067">
        <v>1738</v>
      </c>
      <c r="D82" s="1067"/>
      <c r="E82" s="1067">
        <v>213</v>
      </c>
      <c r="F82" s="1067"/>
      <c r="G82" s="1067">
        <v>1</v>
      </c>
      <c r="H82" s="1067"/>
      <c r="I82" s="1067">
        <v>5</v>
      </c>
      <c r="J82" s="1067"/>
    </row>
    <row r="83" spans="1:10" x14ac:dyDescent="0.25">
      <c r="A83" s="1067" t="s">
        <v>851</v>
      </c>
      <c r="B83" s="1067" t="s">
        <v>434</v>
      </c>
      <c r="C83" s="1067">
        <v>70</v>
      </c>
      <c r="D83" s="1067"/>
      <c r="E83" s="1067">
        <v>1</v>
      </c>
      <c r="F83" s="1067"/>
      <c r="G83" s="1067"/>
      <c r="H83" s="1067"/>
      <c r="I83" s="1067"/>
      <c r="J83" s="1067"/>
    </row>
    <row r="84" spans="1:10" x14ac:dyDescent="0.25">
      <c r="A84" s="1067" t="s">
        <v>851</v>
      </c>
      <c r="B84" s="1067" t="s">
        <v>435</v>
      </c>
      <c r="C84" s="1067">
        <v>1017</v>
      </c>
      <c r="D84" s="1067"/>
      <c r="E84" s="1067">
        <v>64</v>
      </c>
      <c r="F84" s="1067"/>
      <c r="G84" s="1067"/>
      <c r="H84" s="1067"/>
      <c r="I84" s="1067"/>
      <c r="J84" s="1067"/>
    </row>
    <row r="85" spans="1:10" x14ac:dyDescent="0.25">
      <c r="A85" s="1067" t="s">
        <v>851</v>
      </c>
      <c r="B85" s="1067" t="s">
        <v>436</v>
      </c>
      <c r="C85" s="1067">
        <v>458</v>
      </c>
      <c r="D85" s="1067"/>
      <c r="E85" s="1067">
        <v>12</v>
      </c>
      <c r="F85" s="1067"/>
      <c r="G85" s="1067"/>
      <c r="H85" s="1067"/>
      <c r="I85" s="1067">
        <v>2</v>
      </c>
      <c r="J85" s="1067"/>
    </row>
    <row r="86" spans="1:10" x14ac:dyDescent="0.25">
      <c r="A86" s="1067" t="s">
        <v>851</v>
      </c>
      <c r="B86" s="1067" t="s">
        <v>437</v>
      </c>
      <c r="C86" s="1067">
        <v>25</v>
      </c>
      <c r="D86" s="1067"/>
      <c r="E86" s="1067"/>
      <c r="F86" s="1067"/>
      <c r="G86" s="1067"/>
      <c r="H86" s="1067"/>
      <c r="I86" s="1067"/>
      <c r="J86" s="1067"/>
    </row>
    <row r="87" spans="1:10" x14ac:dyDescent="0.25">
      <c r="A87" s="1067" t="s">
        <v>851</v>
      </c>
      <c r="B87" s="1067" t="s">
        <v>438</v>
      </c>
      <c r="C87" s="1067">
        <v>38</v>
      </c>
      <c r="D87" s="1067"/>
      <c r="E87" s="1067">
        <v>1</v>
      </c>
      <c r="F87" s="1067"/>
      <c r="G87" s="1067"/>
      <c r="H87" s="1067"/>
      <c r="I87" s="1067"/>
      <c r="J87" s="1067"/>
    </row>
    <row r="88" spans="1:10" x14ac:dyDescent="0.25">
      <c r="A88" s="1067" t="s">
        <v>851</v>
      </c>
      <c r="B88" s="1067" t="s">
        <v>439</v>
      </c>
      <c r="C88" s="1067">
        <v>259</v>
      </c>
      <c r="D88" s="1067"/>
      <c r="E88" s="1067">
        <v>30</v>
      </c>
      <c r="F88" s="1067"/>
      <c r="G88" s="1067"/>
      <c r="H88" s="1067"/>
      <c r="I88" s="1067">
        <v>1</v>
      </c>
      <c r="J88" s="1067"/>
    </row>
    <row r="89" spans="1:10" x14ac:dyDescent="0.25">
      <c r="A89" s="1067" t="s">
        <v>851</v>
      </c>
      <c r="B89" s="1067" t="s">
        <v>440</v>
      </c>
      <c r="C89" s="1067">
        <v>266</v>
      </c>
      <c r="D89" s="1067"/>
      <c r="E89" s="1067">
        <v>5</v>
      </c>
      <c r="F89" s="1067"/>
      <c r="G89" s="1067"/>
      <c r="H89" s="1067"/>
      <c r="I89" s="1067"/>
      <c r="J89" s="1067"/>
    </row>
    <row r="90" spans="1:10" x14ac:dyDescent="0.25">
      <c r="A90" s="1067" t="s">
        <v>851</v>
      </c>
      <c r="B90" s="1067" t="s">
        <v>441</v>
      </c>
      <c r="C90" s="1067">
        <v>350</v>
      </c>
      <c r="D90" s="1067"/>
      <c r="E90" s="1067">
        <v>8</v>
      </c>
      <c r="F90" s="1067"/>
      <c r="G90" s="1067"/>
      <c r="H90" s="1067"/>
      <c r="I90" s="1067">
        <v>1</v>
      </c>
      <c r="J90" s="1067"/>
    </row>
    <row r="91" spans="1:10" x14ac:dyDescent="0.25">
      <c r="A91" s="1067" t="s">
        <v>851</v>
      </c>
      <c r="B91" s="1067" t="s">
        <v>442</v>
      </c>
      <c r="C91" s="1067">
        <v>275</v>
      </c>
      <c r="D91" s="1067"/>
      <c r="E91" s="1067">
        <v>4</v>
      </c>
      <c r="F91" s="1067"/>
      <c r="G91" s="1067"/>
      <c r="H91" s="1067"/>
      <c r="I91" s="1067">
        <v>2</v>
      </c>
      <c r="J91" s="1067"/>
    </row>
    <row r="92" spans="1:10" x14ac:dyDescent="0.25">
      <c r="A92" s="1067" t="s">
        <v>851</v>
      </c>
      <c r="B92" s="1067" t="s">
        <v>443</v>
      </c>
      <c r="C92" s="1067">
        <v>234</v>
      </c>
      <c r="D92" s="1067"/>
      <c r="E92" s="1067">
        <v>7</v>
      </c>
      <c r="F92" s="1067"/>
      <c r="G92" s="1067"/>
      <c r="H92" s="1067"/>
      <c r="I92" s="1067">
        <v>1</v>
      </c>
      <c r="J92" s="1067"/>
    </row>
    <row r="93" spans="1:10" x14ac:dyDescent="0.25">
      <c r="A93" s="1067" t="s">
        <v>851</v>
      </c>
      <c r="B93" s="1067" t="s">
        <v>444</v>
      </c>
      <c r="C93" s="1067">
        <v>283</v>
      </c>
      <c r="D93" s="1067"/>
      <c r="E93" s="1067">
        <v>2</v>
      </c>
      <c r="F93" s="1067"/>
      <c r="G93" s="1067"/>
      <c r="H93" s="1067"/>
      <c r="I93" s="1067"/>
      <c r="J93" s="1067"/>
    </row>
    <row r="94" spans="1:10" x14ac:dyDescent="0.25">
      <c r="A94" s="1067" t="s">
        <v>851</v>
      </c>
      <c r="B94" s="1067" t="s">
        <v>445</v>
      </c>
      <c r="C94" s="1067">
        <v>115</v>
      </c>
      <c r="D94" s="1067"/>
      <c r="E94" s="1067">
        <v>2</v>
      </c>
      <c r="F94" s="1067"/>
      <c r="G94" s="1067"/>
      <c r="H94" s="1067"/>
      <c r="I94" s="1067"/>
      <c r="J94" s="1067"/>
    </row>
  </sheetData>
  <sheetProtection algorithmName="SHA-512" hashValue="Sbx6E498gsvWpxaoRF57JeA1R14gSa113i4G3C95Qut8mwjt36thYXvp3eMeGKVZmtEIyw8kKy25EDBEfHiAMQ==" saltValue="flyaDcRTkEiBx+EFN9yY4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K197"/>
  <sheetViews>
    <sheetView zoomScale="85" zoomScaleNormal="85" workbookViewId="0">
      <pane ySplit="4" topLeftCell="A5" activePane="bottomLeft" state="frozen"/>
      <selection pane="bottomLeft"/>
    </sheetView>
  </sheetViews>
  <sheetFormatPr defaultRowHeight="15" x14ac:dyDescent="0.25"/>
  <sheetData>
    <row r="4" spans="1:11" x14ac:dyDescent="0.25">
      <c r="A4" s="1066" t="s">
        <v>329</v>
      </c>
      <c r="B4" s="1066" t="s">
        <v>928</v>
      </c>
      <c r="C4" s="1066" t="s">
        <v>1298</v>
      </c>
      <c r="D4" s="1066" t="s">
        <v>1315</v>
      </c>
      <c r="E4" s="1066" t="s">
        <v>1316</v>
      </c>
      <c r="F4" s="1066" t="s">
        <v>1317</v>
      </c>
      <c r="G4" s="1066" t="s">
        <v>1318</v>
      </c>
      <c r="H4" s="1066" t="s">
        <v>1319</v>
      </c>
      <c r="I4" s="1066" t="s">
        <v>1320</v>
      </c>
      <c r="J4" s="1066" t="s">
        <v>1321</v>
      </c>
      <c r="K4" s="1066" t="s">
        <v>1322</v>
      </c>
    </row>
    <row r="5" spans="1:11" x14ac:dyDescent="0.25">
      <c r="A5" s="1067" t="s">
        <v>203</v>
      </c>
      <c r="B5" s="1067" t="s">
        <v>31</v>
      </c>
      <c r="C5" s="1067" t="s">
        <v>301</v>
      </c>
      <c r="D5" s="1067">
        <v>356</v>
      </c>
      <c r="E5" s="1067">
        <v>1936.75</v>
      </c>
      <c r="F5" s="1067">
        <v>13</v>
      </c>
      <c r="G5" s="1067">
        <v>138.5</v>
      </c>
      <c r="H5" s="1067">
        <v>2</v>
      </c>
      <c r="I5" s="1067">
        <v>19.25</v>
      </c>
      <c r="J5" s="1067"/>
      <c r="K5" s="1067"/>
    </row>
    <row r="6" spans="1:11" x14ac:dyDescent="0.25">
      <c r="A6" s="1067" t="s">
        <v>203</v>
      </c>
      <c r="B6" s="1067" t="s">
        <v>32</v>
      </c>
      <c r="C6" s="1067" t="s">
        <v>302</v>
      </c>
      <c r="D6" s="1067">
        <v>252</v>
      </c>
      <c r="E6" s="1067">
        <v>1725.5</v>
      </c>
      <c r="F6" s="1067">
        <v>15</v>
      </c>
      <c r="G6" s="1067">
        <v>162</v>
      </c>
      <c r="H6" s="1067">
        <v>1</v>
      </c>
      <c r="I6" s="1067">
        <v>38</v>
      </c>
      <c r="J6" s="1067">
        <v>1</v>
      </c>
      <c r="K6" s="1067">
        <v>7.5</v>
      </c>
    </row>
    <row r="7" spans="1:11" x14ac:dyDescent="0.25">
      <c r="A7" s="1067" t="s">
        <v>203</v>
      </c>
      <c r="B7" s="1067" t="s">
        <v>33</v>
      </c>
      <c r="C7" s="1067" t="s">
        <v>308</v>
      </c>
      <c r="D7" s="1067">
        <v>202</v>
      </c>
      <c r="E7" s="1067">
        <v>853.5</v>
      </c>
      <c r="F7" s="1067">
        <v>4</v>
      </c>
      <c r="G7" s="1067">
        <v>21.75</v>
      </c>
      <c r="H7" s="1067"/>
      <c r="I7" s="1067"/>
      <c r="J7" s="1067"/>
      <c r="K7" s="1067"/>
    </row>
    <row r="8" spans="1:11" x14ac:dyDescent="0.25">
      <c r="A8" s="1067" t="s">
        <v>203</v>
      </c>
      <c r="B8" s="1067" t="s">
        <v>34</v>
      </c>
      <c r="C8" s="1067" t="s">
        <v>303</v>
      </c>
      <c r="D8" s="1067">
        <v>250</v>
      </c>
      <c r="E8" s="1067">
        <v>1985.5</v>
      </c>
      <c r="F8" s="1067">
        <v>3</v>
      </c>
      <c r="G8" s="1067">
        <v>38.5</v>
      </c>
      <c r="H8" s="1067"/>
      <c r="I8" s="1067"/>
      <c r="J8" s="1067"/>
      <c r="K8" s="1067"/>
    </row>
    <row r="9" spans="1:11" x14ac:dyDescent="0.25">
      <c r="A9" s="1067" t="s">
        <v>203</v>
      </c>
      <c r="B9" s="1067" t="s">
        <v>258</v>
      </c>
      <c r="C9" s="1067" t="s">
        <v>304</v>
      </c>
      <c r="D9" s="1067">
        <v>903</v>
      </c>
      <c r="E9" s="1067">
        <v>3293.5</v>
      </c>
      <c r="F9" s="1067">
        <v>53</v>
      </c>
      <c r="G9" s="1067">
        <v>292</v>
      </c>
      <c r="H9" s="1067">
        <v>1</v>
      </c>
      <c r="I9" s="1067">
        <v>5.5</v>
      </c>
      <c r="J9" s="1067"/>
      <c r="K9" s="1067"/>
    </row>
    <row r="10" spans="1:11" x14ac:dyDescent="0.25">
      <c r="A10" s="1067" t="s">
        <v>203</v>
      </c>
      <c r="B10" s="1067" t="s">
        <v>35</v>
      </c>
      <c r="C10" s="1067" t="s">
        <v>282</v>
      </c>
      <c r="D10" s="1067">
        <v>42</v>
      </c>
      <c r="E10" s="1067">
        <v>247.25</v>
      </c>
      <c r="F10" s="1067">
        <v>2</v>
      </c>
      <c r="G10" s="1067">
        <v>16</v>
      </c>
      <c r="H10" s="1067"/>
      <c r="I10" s="1067"/>
      <c r="J10" s="1067"/>
      <c r="K10" s="1067"/>
    </row>
    <row r="11" spans="1:11" x14ac:dyDescent="0.25">
      <c r="A11" s="1067" t="s">
        <v>203</v>
      </c>
      <c r="B11" s="1067" t="s">
        <v>36</v>
      </c>
      <c r="C11" s="1067" t="s">
        <v>283</v>
      </c>
      <c r="D11" s="1067">
        <v>177</v>
      </c>
      <c r="E11" s="1067">
        <v>785.25</v>
      </c>
      <c r="F11" s="1067">
        <v>36</v>
      </c>
      <c r="G11" s="1067">
        <v>306.5</v>
      </c>
      <c r="H11" s="1067"/>
      <c r="I11" s="1067"/>
      <c r="J11" s="1067">
        <v>1</v>
      </c>
      <c r="K11" s="1067">
        <v>12.5</v>
      </c>
    </row>
    <row r="12" spans="1:11" x14ac:dyDescent="0.25">
      <c r="A12" s="1067" t="s">
        <v>203</v>
      </c>
      <c r="B12" s="1067" t="s">
        <v>37</v>
      </c>
      <c r="C12" s="1067" t="s">
        <v>309</v>
      </c>
      <c r="D12" s="1067">
        <v>456</v>
      </c>
      <c r="E12" s="1067">
        <v>1804.75</v>
      </c>
      <c r="F12" s="1067">
        <v>4</v>
      </c>
      <c r="G12" s="1067">
        <v>13.5</v>
      </c>
      <c r="H12" s="1067"/>
      <c r="I12" s="1067"/>
      <c r="J12" s="1067"/>
      <c r="K12" s="1067"/>
    </row>
    <row r="13" spans="1:11" x14ac:dyDescent="0.25">
      <c r="A13" s="1067" t="s">
        <v>203</v>
      </c>
      <c r="B13" s="1067" t="s">
        <v>38</v>
      </c>
      <c r="C13" s="1067" t="s">
        <v>284</v>
      </c>
      <c r="D13" s="1067">
        <v>142</v>
      </c>
      <c r="E13" s="1067">
        <v>914.75</v>
      </c>
      <c r="F13" s="1067">
        <v>11</v>
      </c>
      <c r="G13" s="1067">
        <v>90.75</v>
      </c>
      <c r="H13" s="1067"/>
      <c r="I13" s="1067"/>
      <c r="J13" s="1067"/>
      <c r="K13" s="1067"/>
    </row>
    <row r="14" spans="1:11" x14ac:dyDescent="0.25">
      <c r="A14" s="1067" t="s">
        <v>203</v>
      </c>
      <c r="B14" s="1067" t="s">
        <v>39</v>
      </c>
      <c r="C14" s="1067" t="s">
        <v>311</v>
      </c>
      <c r="D14" s="1067">
        <v>53</v>
      </c>
      <c r="E14" s="1067">
        <v>362.75</v>
      </c>
      <c r="F14" s="1067">
        <v>1</v>
      </c>
      <c r="G14" s="1067">
        <v>7.5</v>
      </c>
      <c r="H14" s="1067"/>
      <c r="I14" s="1067"/>
      <c r="J14" s="1067"/>
      <c r="K14" s="1067"/>
    </row>
    <row r="15" spans="1:11" x14ac:dyDescent="0.25">
      <c r="A15" s="1067" t="s">
        <v>203</v>
      </c>
      <c r="B15" s="1067" t="s">
        <v>40</v>
      </c>
      <c r="C15" s="1067" t="s">
        <v>285</v>
      </c>
      <c r="D15" s="1067">
        <v>96</v>
      </c>
      <c r="E15" s="1067">
        <v>335.5</v>
      </c>
      <c r="F15" s="1067">
        <v>6</v>
      </c>
      <c r="G15" s="1067">
        <v>37.5</v>
      </c>
      <c r="H15" s="1067"/>
      <c r="I15" s="1067"/>
      <c r="J15" s="1067"/>
      <c r="K15" s="1067"/>
    </row>
    <row r="16" spans="1:11" x14ac:dyDescent="0.25">
      <c r="A16" s="1067" t="s">
        <v>203</v>
      </c>
      <c r="B16" s="1067" t="s">
        <v>41</v>
      </c>
      <c r="C16" s="1067" t="s">
        <v>286</v>
      </c>
      <c r="D16" s="1067">
        <v>111</v>
      </c>
      <c r="E16" s="1067">
        <v>761.5</v>
      </c>
      <c r="F16" s="1067">
        <v>8</v>
      </c>
      <c r="G16" s="1067">
        <v>133</v>
      </c>
      <c r="H16" s="1067"/>
      <c r="I16" s="1067"/>
      <c r="J16" s="1067"/>
      <c r="K16" s="1067"/>
    </row>
    <row r="17" spans="1:11" x14ac:dyDescent="0.25">
      <c r="A17" s="1067" t="s">
        <v>203</v>
      </c>
      <c r="B17" s="1067" t="s">
        <v>42</v>
      </c>
      <c r="C17" s="1067" t="s">
        <v>288</v>
      </c>
      <c r="D17" s="1067">
        <v>232</v>
      </c>
      <c r="E17" s="1067">
        <v>1156</v>
      </c>
      <c r="F17" s="1067">
        <v>11</v>
      </c>
      <c r="G17" s="1067">
        <v>105.25</v>
      </c>
      <c r="H17" s="1067"/>
      <c r="I17" s="1067"/>
      <c r="J17" s="1067"/>
      <c r="K17" s="1067"/>
    </row>
    <row r="18" spans="1:11" x14ac:dyDescent="0.25">
      <c r="A18" s="1067" t="s">
        <v>203</v>
      </c>
      <c r="B18" s="1067" t="s">
        <v>43</v>
      </c>
      <c r="C18" s="1067" t="s">
        <v>430</v>
      </c>
      <c r="D18" s="1067">
        <v>483</v>
      </c>
      <c r="E18" s="1067">
        <v>1857.5</v>
      </c>
      <c r="F18" s="1067">
        <v>15</v>
      </c>
      <c r="G18" s="1067">
        <v>104.75</v>
      </c>
      <c r="H18" s="1067"/>
      <c r="I18" s="1067"/>
      <c r="J18" s="1067"/>
      <c r="K18" s="1067"/>
    </row>
    <row r="19" spans="1:11" x14ac:dyDescent="0.25">
      <c r="A19" s="1067" t="s">
        <v>203</v>
      </c>
      <c r="B19" s="1067" t="s">
        <v>121</v>
      </c>
      <c r="C19" s="1067" t="s">
        <v>312</v>
      </c>
      <c r="D19" s="1067">
        <v>1045</v>
      </c>
      <c r="E19" s="1067">
        <v>5340</v>
      </c>
      <c r="F19" s="1067">
        <v>77</v>
      </c>
      <c r="G19" s="1067">
        <v>444</v>
      </c>
      <c r="H19" s="1067"/>
      <c r="I19" s="1067"/>
      <c r="J19" s="1067">
        <v>1</v>
      </c>
      <c r="K19" s="1067">
        <v>5.5</v>
      </c>
    </row>
    <row r="20" spans="1:11" x14ac:dyDescent="0.25">
      <c r="A20" s="1067" t="s">
        <v>203</v>
      </c>
      <c r="B20" s="1067" t="s">
        <v>44</v>
      </c>
      <c r="C20" s="1067" t="s">
        <v>289</v>
      </c>
      <c r="D20" s="1067">
        <v>259</v>
      </c>
      <c r="E20" s="1067">
        <v>1846.75</v>
      </c>
      <c r="F20" s="1067">
        <v>17</v>
      </c>
      <c r="G20" s="1067">
        <v>253.25</v>
      </c>
      <c r="H20" s="1067">
        <v>5</v>
      </c>
      <c r="I20" s="1067">
        <v>112.5</v>
      </c>
      <c r="J20" s="1067"/>
      <c r="K20" s="1067"/>
    </row>
    <row r="21" spans="1:11" x14ac:dyDescent="0.25">
      <c r="A21" s="1067" t="s">
        <v>203</v>
      </c>
      <c r="B21" s="1067" t="s">
        <v>45</v>
      </c>
      <c r="C21" s="1067" t="s">
        <v>290</v>
      </c>
      <c r="D21" s="1067">
        <v>142</v>
      </c>
      <c r="E21" s="1067">
        <v>600.5</v>
      </c>
      <c r="F21" s="1067">
        <v>5</v>
      </c>
      <c r="G21" s="1067">
        <v>37.75</v>
      </c>
      <c r="H21" s="1067"/>
      <c r="I21" s="1067"/>
      <c r="J21" s="1067"/>
      <c r="K21" s="1067"/>
    </row>
    <row r="22" spans="1:11" x14ac:dyDescent="0.25">
      <c r="A22" s="1067" t="s">
        <v>203</v>
      </c>
      <c r="B22" s="1067" t="s">
        <v>46</v>
      </c>
      <c r="C22" s="1067" t="s">
        <v>291</v>
      </c>
      <c r="D22" s="1067">
        <v>122</v>
      </c>
      <c r="E22" s="1067">
        <v>365.5</v>
      </c>
      <c r="F22" s="1067">
        <v>4</v>
      </c>
      <c r="G22" s="1067">
        <v>31.25</v>
      </c>
      <c r="H22" s="1067"/>
      <c r="I22" s="1067"/>
      <c r="J22" s="1067"/>
      <c r="K22" s="1067"/>
    </row>
    <row r="23" spans="1:11" x14ac:dyDescent="0.25">
      <c r="A23" s="1067" t="s">
        <v>203</v>
      </c>
      <c r="B23" s="1067" t="s">
        <v>47</v>
      </c>
      <c r="C23" s="1067" t="s">
        <v>292</v>
      </c>
      <c r="D23" s="1067">
        <v>110</v>
      </c>
      <c r="E23" s="1067">
        <v>771.25</v>
      </c>
      <c r="F23" s="1067">
        <v>4</v>
      </c>
      <c r="G23" s="1067">
        <v>72.5</v>
      </c>
      <c r="H23" s="1067"/>
      <c r="I23" s="1067"/>
      <c r="J23" s="1067"/>
      <c r="K23" s="1067"/>
    </row>
    <row r="24" spans="1:11" x14ac:dyDescent="0.25">
      <c r="A24" s="1067" t="s">
        <v>203</v>
      </c>
      <c r="B24" s="1067" t="s">
        <v>48</v>
      </c>
      <c r="C24" s="1067" t="s">
        <v>287</v>
      </c>
      <c r="D24" s="1067">
        <v>18</v>
      </c>
      <c r="E24" s="1067">
        <v>138.5</v>
      </c>
      <c r="F24" s="1067">
        <v>1</v>
      </c>
      <c r="G24" s="1067">
        <v>13.25</v>
      </c>
      <c r="H24" s="1067"/>
      <c r="I24" s="1067"/>
      <c r="J24" s="1067"/>
      <c r="K24" s="1067"/>
    </row>
    <row r="25" spans="1:11" x14ac:dyDescent="0.25">
      <c r="A25" s="1067" t="s">
        <v>203</v>
      </c>
      <c r="B25" s="1067" t="s">
        <v>49</v>
      </c>
      <c r="C25" s="1067" t="s">
        <v>293</v>
      </c>
      <c r="D25" s="1067">
        <v>105</v>
      </c>
      <c r="E25" s="1067">
        <v>505.5</v>
      </c>
      <c r="F25" s="1067">
        <v>4</v>
      </c>
      <c r="G25" s="1067">
        <v>31</v>
      </c>
      <c r="H25" s="1067"/>
      <c r="I25" s="1067"/>
      <c r="J25" s="1067"/>
      <c r="K25" s="1067"/>
    </row>
    <row r="26" spans="1:11" x14ac:dyDescent="0.25">
      <c r="A26" s="1067" t="s">
        <v>203</v>
      </c>
      <c r="B26" s="1067" t="s">
        <v>50</v>
      </c>
      <c r="C26" s="1067" t="s">
        <v>310</v>
      </c>
      <c r="D26" s="1067">
        <v>298</v>
      </c>
      <c r="E26" s="1067">
        <v>2166.75</v>
      </c>
      <c r="F26" s="1067">
        <v>3</v>
      </c>
      <c r="G26" s="1067">
        <v>23.75</v>
      </c>
      <c r="H26" s="1067"/>
      <c r="I26" s="1067"/>
      <c r="J26" s="1067"/>
      <c r="K26" s="1067"/>
    </row>
    <row r="27" spans="1:11" x14ac:dyDescent="0.25">
      <c r="A27" s="1067" t="s">
        <v>203</v>
      </c>
      <c r="B27" s="1067" t="s">
        <v>51</v>
      </c>
      <c r="C27" s="1067" t="s">
        <v>294</v>
      </c>
      <c r="D27" s="1067">
        <v>16</v>
      </c>
      <c r="E27" s="1067">
        <v>108.5</v>
      </c>
      <c r="F27" s="1067"/>
      <c r="G27" s="1067"/>
      <c r="H27" s="1067"/>
      <c r="I27" s="1067"/>
      <c r="J27" s="1067"/>
      <c r="K27" s="1067"/>
    </row>
    <row r="28" spans="1:11" x14ac:dyDescent="0.25">
      <c r="A28" s="1067" t="s">
        <v>203</v>
      </c>
      <c r="B28" s="1067" t="s">
        <v>52</v>
      </c>
      <c r="C28" s="1067" t="s">
        <v>295</v>
      </c>
      <c r="D28" s="1067">
        <v>246</v>
      </c>
      <c r="E28" s="1067">
        <v>1269.25</v>
      </c>
      <c r="F28" s="1067">
        <v>1</v>
      </c>
      <c r="G28" s="1067">
        <v>10.25</v>
      </c>
      <c r="H28" s="1067"/>
      <c r="I28" s="1067"/>
      <c r="J28" s="1067"/>
      <c r="K28" s="1067"/>
    </row>
    <row r="29" spans="1:11" x14ac:dyDescent="0.25">
      <c r="A29" s="1067" t="s">
        <v>203</v>
      </c>
      <c r="B29" s="1067" t="s">
        <v>53</v>
      </c>
      <c r="C29" s="1067" t="s">
        <v>305</v>
      </c>
      <c r="D29" s="1067">
        <v>212</v>
      </c>
      <c r="E29" s="1067">
        <v>1318.75</v>
      </c>
      <c r="F29" s="1067">
        <v>3</v>
      </c>
      <c r="G29" s="1067">
        <v>28.75</v>
      </c>
      <c r="H29" s="1067"/>
      <c r="I29" s="1067"/>
      <c r="J29" s="1067"/>
      <c r="K29" s="1067"/>
    </row>
    <row r="30" spans="1:11" x14ac:dyDescent="0.25">
      <c r="A30" s="1067" t="s">
        <v>203</v>
      </c>
      <c r="B30" s="1067" t="s">
        <v>54</v>
      </c>
      <c r="C30" s="1067" t="s">
        <v>296</v>
      </c>
      <c r="D30" s="1067">
        <v>332</v>
      </c>
      <c r="E30" s="1067">
        <v>1463</v>
      </c>
      <c r="F30" s="1067">
        <v>49</v>
      </c>
      <c r="G30" s="1067">
        <v>381.75</v>
      </c>
      <c r="H30" s="1067">
        <v>1</v>
      </c>
      <c r="I30" s="1067">
        <v>31</v>
      </c>
      <c r="J30" s="1067"/>
      <c r="K30" s="1067"/>
    </row>
    <row r="31" spans="1:11" x14ac:dyDescent="0.25">
      <c r="A31" s="1067" t="s">
        <v>203</v>
      </c>
      <c r="B31" s="1067" t="s">
        <v>55</v>
      </c>
      <c r="C31" s="1067" t="s">
        <v>297</v>
      </c>
      <c r="D31" s="1067">
        <v>32</v>
      </c>
      <c r="E31" s="1067">
        <v>199.75</v>
      </c>
      <c r="F31" s="1067"/>
      <c r="G31" s="1067"/>
      <c r="H31" s="1067"/>
      <c r="I31" s="1067"/>
      <c r="J31" s="1067"/>
      <c r="K31" s="1067"/>
    </row>
    <row r="32" spans="1:11" x14ac:dyDescent="0.25">
      <c r="A32" s="1067" t="s">
        <v>203</v>
      </c>
      <c r="B32" s="1067" t="s">
        <v>56</v>
      </c>
      <c r="C32" s="1067" t="s">
        <v>298</v>
      </c>
      <c r="D32" s="1067">
        <v>239</v>
      </c>
      <c r="E32" s="1067">
        <v>1368.5</v>
      </c>
      <c r="F32" s="1067">
        <v>8</v>
      </c>
      <c r="G32" s="1067">
        <v>65.5</v>
      </c>
      <c r="H32" s="1067"/>
      <c r="I32" s="1067"/>
      <c r="J32" s="1067"/>
      <c r="K32" s="1067"/>
    </row>
    <row r="33" spans="1:11" x14ac:dyDescent="0.25">
      <c r="A33" s="1067" t="s">
        <v>203</v>
      </c>
      <c r="B33" s="1067" t="s">
        <v>57</v>
      </c>
      <c r="C33" s="1067" t="s">
        <v>299</v>
      </c>
      <c r="D33" s="1067">
        <v>278</v>
      </c>
      <c r="E33" s="1067">
        <v>2462.25</v>
      </c>
      <c r="F33" s="1067">
        <v>8</v>
      </c>
      <c r="G33" s="1067">
        <v>133.5</v>
      </c>
      <c r="H33" s="1067"/>
      <c r="I33" s="1067"/>
      <c r="J33" s="1067"/>
      <c r="K33" s="1067"/>
    </row>
    <row r="34" spans="1:11" x14ac:dyDescent="0.25">
      <c r="A34" s="1067" t="s">
        <v>203</v>
      </c>
      <c r="B34" s="1067" t="s">
        <v>58</v>
      </c>
      <c r="C34" s="1067" t="s">
        <v>300</v>
      </c>
      <c r="D34" s="1067">
        <v>210</v>
      </c>
      <c r="E34" s="1067">
        <v>875.75</v>
      </c>
      <c r="F34" s="1067">
        <v>7</v>
      </c>
      <c r="G34" s="1067">
        <v>49.25</v>
      </c>
      <c r="H34" s="1067"/>
      <c r="I34" s="1067"/>
      <c r="J34" s="1067"/>
      <c r="K34" s="1067"/>
    </row>
    <row r="35" spans="1:11" x14ac:dyDescent="0.25">
      <c r="A35" s="1067" t="s">
        <v>203</v>
      </c>
      <c r="B35" s="1067" t="s">
        <v>59</v>
      </c>
      <c r="C35" s="1067" t="s">
        <v>306</v>
      </c>
      <c r="D35" s="1067">
        <v>176</v>
      </c>
      <c r="E35" s="1067">
        <v>797.25</v>
      </c>
      <c r="F35" s="1067"/>
      <c r="G35" s="1067"/>
      <c r="H35" s="1067"/>
      <c r="I35" s="1067"/>
      <c r="J35" s="1067"/>
      <c r="K35" s="1067"/>
    </row>
    <row r="36" spans="1:11" x14ac:dyDescent="0.25">
      <c r="A36" s="1067" t="s">
        <v>203</v>
      </c>
      <c r="B36" s="1067" t="s">
        <v>60</v>
      </c>
      <c r="C36" s="1067" t="s">
        <v>307</v>
      </c>
      <c r="D36" s="1067">
        <v>221</v>
      </c>
      <c r="E36" s="1067">
        <v>867.25</v>
      </c>
      <c r="F36" s="1067">
        <v>17</v>
      </c>
      <c r="G36" s="1067">
        <v>91.25</v>
      </c>
      <c r="H36" s="1067"/>
      <c r="I36" s="1067"/>
      <c r="J36" s="1067"/>
      <c r="K36" s="1067"/>
    </row>
    <row r="37" spans="1:11" x14ac:dyDescent="0.25">
      <c r="A37" s="1067" t="s">
        <v>202</v>
      </c>
      <c r="B37" s="1067" t="s">
        <v>31</v>
      </c>
      <c r="C37" s="1067" t="s">
        <v>301</v>
      </c>
      <c r="D37" s="1067">
        <v>282</v>
      </c>
      <c r="E37" s="1067">
        <v>1395</v>
      </c>
      <c r="F37" s="1067">
        <v>33</v>
      </c>
      <c r="G37" s="1067">
        <v>340.75</v>
      </c>
      <c r="H37" s="1067"/>
      <c r="I37" s="1067"/>
      <c r="J37" s="1067">
        <v>1</v>
      </c>
      <c r="K37" s="1067">
        <v>3.75</v>
      </c>
    </row>
    <row r="38" spans="1:11" x14ac:dyDescent="0.25">
      <c r="A38" s="1067" t="s">
        <v>202</v>
      </c>
      <c r="B38" s="1067" t="s">
        <v>32</v>
      </c>
      <c r="C38" s="1067" t="s">
        <v>302</v>
      </c>
      <c r="D38" s="1067">
        <v>334</v>
      </c>
      <c r="E38" s="1067">
        <v>2016.25</v>
      </c>
      <c r="F38" s="1067">
        <v>39</v>
      </c>
      <c r="G38" s="1067">
        <v>438</v>
      </c>
      <c r="H38" s="1067">
        <v>1</v>
      </c>
      <c r="I38" s="1067">
        <v>28.25</v>
      </c>
      <c r="J38" s="1067"/>
      <c r="K38" s="1067"/>
    </row>
    <row r="39" spans="1:11" x14ac:dyDescent="0.25">
      <c r="A39" s="1067" t="s">
        <v>202</v>
      </c>
      <c r="B39" s="1067" t="s">
        <v>33</v>
      </c>
      <c r="C39" s="1067" t="s">
        <v>308</v>
      </c>
      <c r="D39" s="1067">
        <v>167</v>
      </c>
      <c r="E39" s="1067">
        <v>768.25</v>
      </c>
      <c r="F39" s="1067">
        <v>7</v>
      </c>
      <c r="G39" s="1067">
        <v>62</v>
      </c>
      <c r="H39" s="1067"/>
      <c r="I39" s="1067"/>
      <c r="J39" s="1067"/>
      <c r="K39" s="1067"/>
    </row>
    <row r="40" spans="1:11" x14ac:dyDescent="0.25">
      <c r="A40" s="1067" t="s">
        <v>202</v>
      </c>
      <c r="B40" s="1067" t="s">
        <v>34</v>
      </c>
      <c r="C40" s="1067" t="s">
        <v>303</v>
      </c>
      <c r="D40" s="1067">
        <v>328</v>
      </c>
      <c r="E40" s="1067">
        <v>2625.5</v>
      </c>
      <c r="F40" s="1067">
        <v>13</v>
      </c>
      <c r="G40" s="1067">
        <v>134</v>
      </c>
      <c r="H40" s="1067">
        <v>3</v>
      </c>
      <c r="I40" s="1067">
        <v>51.25</v>
      </c>
      <c r="J40" s="1067"/>
      <c r="K40" s="1067"/>
    </row>
    <row r="41" spans="1:11" x14ac:dyDescent="0.25">
      <c r="A41" s="1067" t="s">
        <v>202</v>
      </c>
      <c r="B41" s="1067" t="s">
        <v>258</v>
      </c>
      <c r="C41" s="1067" t="s">
        <v>304</v>
      </c>
      <c r="D41" s="1067">
        <v>790</v>
      </c>
      <c r="E41" s="1067">
        <v>2779.75</v>
      </c>
      <c r="F41" s="1067">
        <v>67</v>
      </c>
      <c r="G41" s="1067">
        <v>415</v>
      </c>
      <c r="H41" s="1067">
        <v>1</v>
      </c>
      <c r="I41" s="1067">
        <v>32</v>
      </c>
      <c r="J41" s="1067"/>
      <c r="K41" s="1067"/>
    </row>
    <row r="42" spans="1:11" x14ac:dyDescent="0.25">
      <c r="A42" s="1067" t="s">
        <v>202</v>
      </c>
      <c r="B42" s="1067" t="s">
        <v>35</v>
      </c>
      <c r="C42" s="1067" t="s">
        <v>282</v>
      </c>
      <c r="D42" s="1067">
        <v>51</v>
      </c>
      <c r="E42" s="1067">
        <v>190</v>
      </c>
      <c r="F42" s="1067"/>
      <c r="G42" s="1067"/>
      <c r="H42" s="1067"/>
      <c r="I42" s="1067"/>
      <c r="J42" s="1067"/>
      <c r="K42" s="1067"/>
    </row>
    <row r="43" spans="1:11" x14ac:dyDescent="0.25">
      <c r="A43" s="1067" t="s">
        <v>202</v>
      </c>
      <c r="B43" s="1067" t="s">
        <v>36</v>
      </c>
      <c r="C43" s="1067" t="s">
        <v>283</v>
      </c>
      <c r="D43" s="1067">
        <v>236</v>
      </c>
      <c r="E43" s="1067">
        <v>943.25</v>
      </c>
      <c r="F43" s="1067">
        <v>60</v>
      </c>
      <c r="G43" s="1067">
        <v>445.25</v>
      </c>
      <c r="H43" s="1067"/>
      <c r="I43" s="1067"/>
      <c r="J43" s="1067"/>
      <c r="K43" s="1067"/>
    </row>
    <row r="44" spans="1:11" x14ac:dyDescent="0.25">
      <c r="A44" s="1067" t="s">
        <v>202</v>
      </c>
      <c r="B44" s="1067" t="s">
        <v>37</v>
      </c>
      <c r="C44" s="1067" t="s">
        <v>309</v>
      </c>
      <c r="D44" s="1067">
        <v>588</v>
      </c>
      <c r="E44" s="1067">
        <v>2433.5</v>
      </c>
      <c r="F44" s="1067">
        <v>10</v>
      </c>
      <c r="G44" s="1067">
        <v>76.25</v>
      </c>
      <c r="H44" s="1067"/>
      <c r="I44" s="1067"/>
      <c r="J44" s="1067"/>
      <c r="K44" s="1067"/>
    </row>
    <row r="45" spans="1:11" x14ac:dyDescent="0.25">
      <c r="A45" s="1067" t="s">
        <v>202</v>
      </c>
      <c r="B45" s="1067" t="s">
        <v>38</v>
      </c>
      <c r="C45" s="1067" t="s">
        <v>284</v>
      </c>
      <c r="D45" s="1067">
        <v>131</v>
      </c>
      <c r="E45" s="1067">
        <v>1016</v>
      </c>
      <c r="F45" s="1067">
        <v>12</v>
      </c>
      <c r="G45" s="1067">
        <v>128.75</v>
      </c>
      <c r="H45" s="1067">
        <v>1</v>
      </c>
      <c r="I45" s="1067">
        <v>28.5</v>
      </c>
      <c r="J45" s="1067"/>
      <c r="K45" s="1067"/>
    </row>
    <row r="46" spans="1:11" x14ac:dyDescent="0.25">
      <c r="A46" s="1067" t="s">
        <v>202</v>
      </c>
      <c r="B46" s="1067" t="s">
        <v>39</v>
      </c>
      <c r="C46" s="1067" t="s">
        <v>311</v>
      </c>
      <c r="D46" s="1067">
        <v>93</v>
      </c>
      <c r="E46" s="1067">
        <v>607.5</v>
      </c>
      <c r="F46" s="1067">
        <v>2</v>
      </c>
      <c r="G46" s="1067">
        <v>26.25</v>
      </c>
      <c r="H46" s="1067"/>
      <c r="I46" s="1067"/>
      <c r="J46" s="1067"/>
      <c r="K46" s="1067"/>
    </row>
    <row r="47" spans="1:11" x14ac:dyDescent="0.25">
      <c r="A47" s="1067" t="s">
        <v>202</v>
      </c>
      <c r="B47" s="1067" t="s">
        <v>40</v>
      </c>
      <c r="C47" s="1067" t="s">
        <v>285</v>
      </c>
      <c r="D47" s="1067">
        <v>143</v>
      </c>
      <c r="E47" s="1067">
        <v>628</v>
      </c>
      <c r="F47" s="1067">
        <v>13</v>
      </c>
      <c r="G47" s="1067">
        <v>106</v>
      </c>
      <c r="H47" s="1067"/>
      <c r="I47" s="1067"/>
      <c r="J47" s="1067"/>
      <c r="K47" s="1067"/>
    </row>
    <row r="48" spans="1:11" x14ac:dyDescent="0.25">
      <c r="A48" s="1067" t="s">
        <v>202</v>
      </c>
      <c r="B48" s="1067" t="s">
        <v>41</v>
      </c>
      <c r="C48" s="1067" t="s">
        <v>286</v>
      </c>
      <c r="D48" s="1067">
        <v>54</v>
      </c>
      <c r="E48" s="1067">
        <v>343.75</v>
      </c>
      <c r="F48" s="1067">
        <v>3</v>
      </c>
      <c r="G48" s="1067">
        <v>60</v>
      </c>
      <c r="H48" s="1067"/>
      <c r="I48" s="1067"/>
      <c r="J48" s="1067"/>
      <c r="K48" s="1067"/>
    </row>
    <row r="49" spans="1:11" x14ac:dyDescent="0.25">
      <c r="A49" s="1067" t="s">
        <v>202</v>
      </c>
      <c r="B49" s="1067" t="s">
        <v>42</v>
      </c>
      <c r="C49" s="1067" t="s">
        <v>288</v>
      </c>
      <c r="D49" s="1067">
        <v>151</v>
      </c>
      <c r="E49" s="1067">
        <v>754.5</v>
      </c>
      <c r="F49" s="1067">
        <v>9</v>
      </c>
      <c r="G49" s="1067">
        <v>57.25</v>
      </c>
      <c r="H49" s="1067"/>
      <c r="I49" s="1067"/>
      <c r="J49" s="1067">
        <v>1</v>
      </c>
      <c r="K49" s="1067">
        <v>11.5</v>
      </c>
    </row>
    <row r="50" spans="1:11" x14ac:dyDescent="0.25">
      <c r="A50" s="1067" t="s">
        <v>202</v>
      </c>
      <c r="B50" s="1067" t="s">
        <v>43</v>
      </c>
      <c r="C50" s="1067" t="s">
        <v>430</v>
      </c>
      <c r="D50" s="1067">
        <v>600</v>
      </c>
      <c r="E50" s="1067">
        <v>2456.75</v>
      </c>
      <c r="F50" s="1067">
        <v>18</v>
      </c>
      <c r="G50" s="1067">
        <v>153.75</v>
      </c>
      <c r="H50" s="1067">
        <v>1</v>
      </c>
      <c r="I50" s="1067">
        <v>24.75</v>
      </c>
      <c r="J50" s="1067"/>
      <c r="K50" s="1067"/>
    </row>
    <row r="51" spans="1:11" x14ac:dyDescent="0.25">
      <c r="A51" s="1067" t="s">
        <v>202</v>
      </c>
      <c r="B51" s="1067" t="s">
        <v>121</v>
      </c>
      <c r="C51" s="1067" t="s">
        <v>312</v>
      </c>
      <c r="D51" s="1067">
        <v>1812</v>
      </c>
      <c r="E51" s="1067">
        <v>7682.25</v>
      </c>
      <c r="F51" s="1067">
        <v>144</v>
      </c>
      <c r="G51" s="1067">
        <v>952.25</v>
      </c>
      <c r="H51" s="1067">
        <v>1</v>
      </c>
      <c r="I51" s="1067">
        <v>37.25</v>
      </c>
      <c r="J51" s="1067"/>
      <c r="K51" s="1067"/>
    </row>
    <row r="52" spans="1:11" x14ac:dyDescent="0.25">
      <c r="A52" s="1067" t="s">
        <v>202</v>
      </c>
      <c r="B52" s="1067" t="s">
        <v>44</v>
      </c>
      <c r="C52" s="1067" t="s">
        <v>289</v>
      </c>
      <c r="D52" s="1067">
        <v>287</v>
      </c>
      <c r="E52" s="1067">
        <v>1820.25</v>
      </c>
      <c r="F52" s="1067">
        <v>49</v>
      </c>
      <c r="G52" s="1067">
        <v>847.75</v>
      </c>
      <c r="H52" s="1067">
        <v>10</v>
      </c>
      <c r="I52" s="1067">
        <v>256.5</v>
      </c>
      <c r="J52" s="1067"/>
      <c r="K52" s="1067"/>
    </row>
    <row r="53" spans="1:11" x14ac:dyDescent="0.25">
      <c r="A53" s="1067" t="s">
        <v>202</v>
      </c>
      <c r="B53" s="1067" t="s">
        <v>45</v>
      </c>
      <c r="C53" s="1067" t="s">
        <v>290</v>
      </c>
      <c r="D53" s="1067">
        <v>62</v>
      </c>
      <c r="E53" s="1067">
        <v>263.75</v>
      </c>
      <c r="F53" s="1067">
        <v>1</v>
      </c>
      <c r="G53" s="1067">
        <v>17.25</v>
      </c>
      <c r="H53" s="1067"/>
      <c r="I53" s="1067"/>
      <c r="J53" s="1067"/>
      <c r="K53" s="1067"/>
    </row>
    <row r="54" spans="1:11" x14ac:dyDescent="0.25">
      <c r="A54" s="1067" t="s">
        <v>202</v>
      </c>
      <c r="B54" s="1067" t="s">
        <v>46</v>
      </c>
      <c r="C54" s="1067" t="s">
        <v>291</v>
      </c>
      <c r="D54" s="1067">
        <v>96</v>
      </c>
      <c r="E54" s="1067">
        <v>321.75</v>
      </c>
      <c r="F54" s="1067">
        <v>2</v>
      </c>
      <c r="G54" s="1067">
        <v>7.75</v>
      </c>
      <c r="H54" s="1067"/>
      <c r="I54" s="1067"/>
      <c r="J54" s="1067"/>
      <c r="K54" s="1067"/>
    </row>
    <row r="55" spans="1:11" x14ac:dyDescent="0.25">
      <c r="A55" s="1067" t="s">
        <v>202</v>
      </c>
      <c r="B55" s="1067" t="s">
        <v>47</v>
      </c>
      <c r="C55" s="1067" t="s">
        <v>292</v>
      </c>
      <c r="D55" s="1067">
        <v>175</v>
      </c>
      <c r="E55" s="1067">
        <v>986.75</v>
      </c>
      <c r="F55" s="1067">
        <v>18</v>
      </c>
      <c r="G55" s="1067">
        <v>256.25</v>
      </c>
      <c r="H55" s="1067">
        <v>2</v>
      </c>
      <c r="I55" s="1067">
        <v>23</v>
      </c>
      <c r="J55" s="1067"/>
      <c r="K55" s="1067"/>
    </row>
    <row r="56" spans="1:11" x14ac:dyDescent="0.25">
      <c r="A56" s="1067" t="s">
        <v>202</v>
      </c>
      <c r="B56" s="1067" t="s">
        <v>48</v>
      </c>
      <c r="C56" s="1067" t="s">
        <v>287</v>
      </c>
      <c r="D56" s="1067">
        <v>5</v>
      </c>
      <c r="E56" s="1067">
        <v>27.25</v>
      </c>
      <c r="F56" s="1067">
        <v>4</v>
      </c>
      <c r="G56" s="1067">
        <v>78.75</v>
      </c>
      <c r="H56" s="1067"/>
      <c r="I56" s="1067"/>
      <c r="J56" s="1067"/>
      <c r="K56" s="1067"/>
    </row>
    <row r="57" spans="1:11" x14ac:dyDescent="0.25">
      <c r="A57" s="1067" t="s">
        <v>202</v>
      </c>
      <c r="B57" s="1067" t="s">
        <v>49</v>
      </c>
      <c r="C57" s="1067" t="s">
        <v>293</v>
      </c>
      <c r="D57" s="1067">
        <v>226</v>
      </c>
      <c r="E57" s="1067">
        <v>1330.25</v>
      </c>
      <c r="F57" s="1067">
        <v>37</v>
      </c>
      <c r="G57" s="1067">
        <v>348.75</v>
      </c>
      <c r="H57" s="1067"/>
      <c r="I57" s="1067"/>
      <c r="J57" s="1067"/>
      <c r="K57" s="1067"/>
    </row>
    <row r="58" spans="1:11" x14ac:dyDescent="0.25">
      <c r="A58" s="1067" t="s">
        <v>202</v>
      </c>
      <c r="B58" s="1067" t="s">
        <v>50</v>
      </c>
      <c r="C58" s="1067" t="s">
        <v>310</v>
      </c>
      <c r="D58" s="1067">
        <v>539</v>
      </c>
      <c r="E58" s="1067">
        <v>3321.5</v>
      </c>
      <c r="F58" s="1067">
        <v>15</v>
      </c>
      <c r="G58" s="1067">
        <v>152.25</v>
      </c>
      <c r="H58" s="1067"/>
      <c r="I58" s="1067"/>
      <c r="J58" s="1067"/>
      <c r="K58" s="1067"/>
    </row>
    <row r="59" spans="1:11" x14ac:dyDescent="0.25">
      <c r="A59" s="1067" t="s">
        <v>202</v>
      </c>
      <c r="B59" s="1067" t="s">
        <v>51</v>
      </c>
      <c r="C59" s="1067" t="s">
        <v>294</v>
      </c>
      <c r="D59" s="1067">
        <v>31</v>
      </c>
      <c r="E59" s="1067">
        <v>146.75</v>
      </c>
      <c r="F59" s="1067">
        <v>1</v>
      </c>
      <c r="G59" s="1067">
        <v>13.25</v>
      </c>
      <c r="H59" s="1067"/>
      <c r="I59" s="1067"/>
      <c r="J59" s="1067"/>
      <c r="K59" s="1067"/>
    </row>
    <row r="60" spans="1:11" x14ac:dyDescent="0.25">
      <c r="A60" s="1067" t="s">
        <v>202</v>
      </c>
      <c r="B60" s="1067" t="s">
        <v>52</v>
      </c>
      <c r="C60" s="1067" t="s">
        <v>295</v>
      </c>
      <c r="D60" s="1067">
        <v>269</v>
      </c>
      <c r="E60" s="1067">
        <v>1484.5</v>
      </c>
      <c r="F60" s="1067">
        <v>1</v>
      </c>
      <c r="G60" s="1067">
        <v>12</v>
      </c>
      <c r="H60" s="1067"/>
      <c r="I60" s="1067"/>
      <c r="J60" s="1067"/>
      <c r="K60" s="1067"/>
    </row>
    <row r="61" spans="1:11" x14ac:dyDescent="0.25">
      <c r="A61" s="1067" t="s">
        <v>202</v>
      </c>
      <c r="B61" s="1067" t="s">
        <v>53</v>
      </c>
      <c r="C61" s="1067" t="s">
        <v>305</v>
      </c>
      <c r="D61" s="1067">
        <v>238</v>
      </c>
      <c r="E61" s="1067">
        <v>1268.75</v>
      </c>
      <c r="F61" s="1067"/>
      <c r="G61" s="1067"/>
      <c r="H61" s="1067"/>
      <c r="I61" s="1067"/>
      <c r="J61" s="1067"/>
      <c r="K61" s="1067"/>
    </row>
    <row r="62" spans="1:11" x14ac:dyDescent="0.25">
      <c r="A62" s="1067" t="s">
        <v>202</v>
      </c>
      <c r="B62" s="1067" t="s">
        <v>54</v>
      </c>
      <c r="C62" s="1067" t="s">
        <v>296</v>
      </c>
      <c r="D62" s="1067">
        <v>251</v>
      </c>
      <c r="E62" s="1067">
        <v>1101.75</v>
      </c>
      <c r="F62" s="1067">
        <v>39</v>
      </c>
      <c r="G62" s="1067">
        <v>303.5</v>
      </c>
      <c r="H62" s="1067"/>
      <c r="I62" s="1067"/>
      <c r="J62" s="1067">
        <v>1</v>
      </c>
      <c r="K62" s="1067">
        <v>5.5</v>
      </c>
    </row>
    <row r="63" spans="1:11" x14ac:dyDescent="0.25">
      <c r="A63" s="1067" t="s">
        <v>202</v>
      </c>
      <c r="B63" s="1067" t="s">
        <v>55</v>
      </c>
      <c r="C63" s="1067" t="s">
        <v>297</v>
      </c>
      <c r="D63" s="1067">
        <v>24</v>
      </c>
      <c r="E63" s="1067">
        <v>127.25</v>
      </c>
      <c r="F63" s="1067"/>
      <c r="G63" s="1067"/>
      <c r="H63" s="1067"/>
      <c r="I63" s="1067"/>
      <c r="J63" s="1067"/>
      <c r="K63" s="1067"/>
    </row>
    <row r="64" spans="1:11" x14ac:dyDescent="0.25">
      <c r="A64" s="1067" t="s">
        <v>202</v>
      </c>
      <c r="B64" s="1067" t="s">
        <v>56</v>
      </c>
      <c r="C64" s="1067" t="s">
        <v>298</v>
      </c>
      <c r="D64" s="1067">
        <v>274</v>
      </c>
      <c r="E64" s="1067">
        <v>1590.25</v>
      </c>
      <c r="F64" s="1067">
        <v>14</v>
      </c>
      <c r="G64" s="1067">
        <v>122.25</v>
      </c>
      <c r="H64" s="1067">
        <v>1</v>
      </c>
      <c r="I64" s="1067">
        <v>18.25</v>
      </c>
      <c r="J64" s="1067"/>
      <c r="K64" s="1067"/>
    </row>
    <row r="65" spans="1:11" x14ac:dyDescent="0.25">
      <c r="A65" s="1067" t="s">
        <v>202</v>
      </c>
      <c r="B65" s="1067" t="s">
        <v>57</v>
      </c>
      <c r="C65" s="1067" t="s">
        <v>299</v>
      </c>
      <c r="D65" s="1067">
        <v>243</v>
      </c>
      <c r="E65" s="1067">
        <v>1871.5</v>
      </c>
      <c r="F65" s="1067">
        <v>7</v>
      </c>
      <c r="G65" s="1067">
        <v>246.25</v>
      </c>
      <c r="H65" s="1067">
        <v>1</v>
      </c>
      <c r="I65" s="1067">
        <v>90.5</v>
      </c>
      <c r="J65" s="1067"/>
      <c r="K65" s="1067"/>
    </row>
    <row r="66" spans="1:11" x14ac:dyDescent="0.25">
      <c r="A66" s="1067" t="s">
        <v>202</v>
      </c>
      <c r="B66" s="1067" t="s">
        <v>58</v>
      </c>
      <c r="C66" s="1067" t="s">
        <v>300</v>
      </c>
      <c r="D66" s="1067">
        <v>332</v>
      </c>
      <c r="E66" s="1067">
        <v>1013.5</v>
      </c>
      <c r="F66" s="1067">
        <v>8</v>
      </c>
      <c r="G66" s="1067">
        <v>39</v>
      </c>
      <c r="H66" s="1067">
        <v>1</v>
      </c>
      <c r="I66" s="1067">
        <v>21.75</v>
      </c>
      <c r="J66" s="1067">
        <v>1</v>
      </c>
      <c r="K66" s="1067">
        <v>2.5</v>
      </c>
    </row>
    <row r="67" spans="1:11" x14ac:dyDescent="0.25">
      <c r="A67" s="1067" t="s">
        <v>202</v>
      </c>
      <c r="B67" s="1067" t="s">
        <v>59</v>
      </c>
      <c r="C67" s="1067" t="s">
        <v>306</v>
      </c>
      <c r="D67" s="1067">
        <v>212</v>
      </c>
      <c r="E67" s="1067">
        <v>933.75</v>
      </c>
      <c r="F67" s="1067">
        <v>8</v>
      </c>
      <c r="G67" s="1067">
        <v>99.75</v>
      </c>
      <c r="H67" s="1067"/>
      <c r="I67" s="1067"/>
      <c r="J67" s="1067"/>
      <c r="K67" s="1067"/>
    </row>
    <row r="68" spans="1:11" x14ac:dyDescent="0.25">
      <c r="A68" s="1067" t="s">
        <v>202</v>
      </c>
      <c r="B68" s="1067" t="s">
        <v>60</v>
      </c>
      <c r="C68" s="1067" t="s">
        <v>307</v>
      </c>
      <c r="D68" s="1067">
        <v>161</v>
      </c>
      <c r="E68" s="1067">
        <v>715.25</v>
      </c>
      <c r="F68" s="1067">
        <v>15</v>
      </c>
      <c r="G68" s="1067">
        <v>129.25</v>
      </c>
      <c r="H68" s="1067"/>
      <c r="I68" s="1067"/>
      <c r="J68" s="1067"/>
      <c r="K68" s="1067"/>
    </row>
    <row r="69" spans="1:11" x14ac:dyDescent="0.25">
      <c r="A69" s="1067" t="s">
        <v>273</v>
      </c>
      <c r="B69" s="1067" t="s">
        <v>31</v>
      </c>
      <c r="C69" s="1067" t="s">
        <v>301</v>
      </c>
      <c r="D69" s="1067">
        <v>415</v>
      </c>
      <c r="E69" s="1067">
        <v>2311</v>
      </c>
      <c r="F69" s="1067">
        <v>20</v>
      </c>
      <c r="G69" s="1067">
        <v>156.5</v>
      </c>
      <c r="H69" s="1067">
        <v>7</v>
      </c>
      <c r="I69" s="1067">
        <v>48</v>
      </c>
      <c r="J69" s="1067"/>
      <c r="K69" s="1067"/>
    </row>
    <row r="70" spans="1:11" x14ac:dyDescent="0.25">
      <c r="A70" s="1067" t="s">
        <v>273</v>
      </c>
      <c r="B70" s="1067" t="s">
        <v>32</v>
      </c>
      <c r="C70" s="1067" t="s">
        <v>302</v>
      </c>
      <c r="D70" s="1067">
        <v>336</v>
      </c>
      <c r="E70" s="1067">
        <v>2384</v>
      </c>
      <c r="F70" s="1067">
        <v>26</v>
      </c>
      <c r="G70" s="1067">
        <v>277.5</v>
      </c>
      <c r="H70" s="1067">
        <v>1</v>
      </c>
      <c r="I70" s="1067">
        <v>6.5</v>
      </c>
      <c r="J70" s="1067"/>
      <c r="K70" s="1067"/>
    </row>
    <row r="71" spans="1:11" x14ac:dyDescent="0.25">
      <c r="A71" s="1067" t="s">
        <v>273</v>
      </c>
      <c r="B71" s="1067" t="s">
        <v>33</v>
      </c>
      <c r="C71" s="1067" t="s">
        <v>308</v>
      </c>
      <c r="D71" s="1067">
        <v>97</v>
      </c>
      <c r="E71" s="1067">
        <v>396</v>
      </c>
      <c r="F71" s="1067">
        <v>2</v>
      </c>
      <c r="G71" s="1067">
        <v>19.75</v>
      </c>
      <c r="H71" s="1067"/>
      <c r="I71" s="1067"/>
      <c r="J71" s="1067"/>
      <c r="K71" s="1067"/>
    </row>
    <row r="72" spans="1:11" x14ac:dyDescent="0.25">
      <c r="A72" s="1067" t="s">
        <v>273</v>
      </c>
      <c r="B72" s="1067" t="s">
        <v>34</v>
      </c>
      <c r="C72" s="1067" t="s">
        <v>303</v>
      </c>
      <c r="D72" s="1067">
        <v>317</v>
      </c>
      <c r="E72" s="1067">
        <v>2229.75</v>
      </c>
      <c r="F72" s="1067">
        <v>14</v>
      </c>
      <c r="G72" s="1067">
        <v>172.25</v>
      </c>
      <c r="H72" s="1067">
        <v>2</v>
      </c>
      <c r="I72" s="1067">
        <v>56.5</v>
      </c>
      <c r="J72" s="1067"/>
      <c r="K72" s="1067"/>
    </row>
    <row r="73" spans="1:11" x14ac:dyDescent="0.25">
      <c r="A73" s="1067" t="s">
        <v>273</v>
      </c>
      <c r="B73" s="1067" t="s">
        <v>258</v>
      </c>
      <c r="C73" s="1067" t="s">
        <v>304</v>
      </c>
      <c r="D73" s="1067">
        <v>733</v>
      </c>
      <c r="E73" s="1067">
        <v>2765</v>
      </c>
      <c r="F73" s="1067">
        <v>50</v>
      </c>
      <c r="G73" s="1067">
        <v>314</v>
      </c>
      <c r="H73" s="1067">
        <v>3</v>
      </c>
      <c r="I73" s="1067">
        <v>28</v>
      </c>
      <c r="J73" s="1067">
        <v>4</v>
      </c>
      <c r="K73" s="1067">
        <v>8.25</v>
      </c>
    </row>
    <row r="74" spans="1:11" x14ac:dyDescent="0.25">
      <c r="A74" s="1067" t="s">
        <v>273</v>
      </c>
      <c r="B74" s="1067" t="s">
        <v>35</v>
      </c>
      <c r="C74" s="1067" t="s">
        <v>282</v>
      </c>
      <c r="D74" s="1067">
        <v>65</v>
      </c>
      <c r="E74" s="1067">
        <v>226.75</v>
      </c>
      <c r="F74" s="1067">
        <v>3</v>
      </c>
      <c r="G74" s="1067">
        <v>16</v>
      </c>
      <c r="H74" s="1067"/>
      <c r="I74" s="1067"/>
      <c r="J74" s="1067"/>
      <c r="K74" s="1067"/>
    </row>
    <row r="75" spans="1:11" x14ac:dyDescent="0.25">
      <c r="A75" s="1067" t="s">
        <v>273</v>
      </c>
      <c r="B75" s="1067" t="s">
        <v>36</v>
      </c>
      <c r="C75" s="1067" t="s">
        <v>283</v>
      </c>
      <c r="D75" s="1067">
        <v>307</v>
      </c>
      <c r="E75" s="1067">
        <v>1238</v>
      </c>
      <c r="F75" s="1067">
        <v>56</v>
      </c>
      <c r="G75" s="1067">
        <v>490.5</v>
      </c>
      <c r="H75" s="1067"/>
      <c r="I75" s="1067"/>
      <c r="J75" s="1067">
        <v>1</v>
      </c>
      <c r="K75" s="1067">
        <v>10.5</v>
      </c>
    </row>
    <row r="76" spans="1:11" x14ac:dyDescent="0.25">
      <c r="A76" s="1067" t="s">
        <v>273</v>
      </c>
      <c r="B76" s="1067" t="s">
        <v>37</v>
      </c>
      <c r="C76" s="1067" t="s">
        <v>309</v>
      </c>
      <c r="D76" s="1067">
        <v>653</v>
      </c>
      <c r="E76" s="1067">
        <v>2216</v>
      </c>
      <c r="F76" s="1067">
        <v>3</v>
      </c>
      <c r="G76" s="1067">
        <v>17.25</v>
      </c>
      <c r="H76" s="1067"/>
      <c r="I76" s="1067"/>
      <c r="J76" s="1067">
        <v>2</v>
      </c>
      <c r="K76" s="1067">
        <v>16.5</v>
      </c>
    </row>
    <row r="77" spans="1:11" x14ac:dyDescent="0.25">
      <c r="A77" s="1067" t="s">
        <v>273</v>
      </c>
      <c r="B77" s="1067" t="s">
        <v>38</v>
      </c>
      <c r="C77" s="1067" t="s">
        <v>284</v>
      </c>
      <c r="D77" s="1067">
        <v>152</v>
      </c>
      <c r="E77" s="1067">
        <v>1162.5</v>
      </c>
      <c r="F77" s="1067">
        <v>12</v>
      </c>
      <c r="G77" s="1067">
        <v>126.25</v>
      </c>
      <c r="H77" s="1067">
        <v>1</v>
      </c>
      <c r="I77" s="1067">
        <v>12.75</v>
      </c>
      <c r="J77" s="1067"/>
      <c r="K77" s="1067"/>
    </row>
    <row r="78" spans="1:11" x14ac:dyDescent="0.25">
      <c r="A78" s="1067" t="s">
        <v>273</v>
      </c>
      <c r="B78" s="1067" t="s">
        <v>39</v>
      </c>
      <c r="C78" s="1067" t="s">
        <v>311</v>
      </c>
      <c r="D78" s="1067">
        <v>77</v>
      </c>
      <c r="E78" s="1067">
        <v>520.25</v>
      </c>
      <c r="F78" s="1067">
        <v>4</v>
      </c>
      <c r="G78" s="1067">
        <v>57</v>
      </c>
      <c r="H78" s="1067"/>
      <c r="I78" s="1067"/>
      <c r="J78" s="1067"/>
      <c r="K78" s="1067"/>
    </row>
    <row r="79" spans="1:11" x14ac:dyDescent="0.25">
      <c r="A79" s="1067" t="s">
        <v>273</v>
      </c>
      <c r="B79" s="1067" t="s">
        <v>40</v>
      </c>
      <c r="C79" s="1067" t="s">
        <v>285</v>
      </c>
      <c r="D79" s="1067">
        <v>126</v>
      </c>
      <c r="E79" s="1067">
        <v>481.75</v>
      </c>
      <c r="F79" s="1067">
        <v>13</v>
      </c>
      <c r="G79" s="1067">
        <v>102.25</v>
      </c>
      <c r="H79" s="1067"/>
      <c r="I79" s="1067"/>
      <c r="J79" s="1067"/>
      <c r="K79" s="1067"/>
    </row>
    <row r="80" spans="1:11" x14ac:dyDescent="0.25">
      <c r="A80" s="1067" t="s">
        <v>273</v>
      </c>
      <c r="B80" s="1067" t="s">
        <v>41</v>
      </c>
      <c r="C80" s="1067" t="s">
        <v>286</v>
      </c>
      <c r="D80" s="1067">
        <v>76</v>
      </c>
      <c r="E80" s="1067">
        <v>571.5</v>
      </c>
      <c r="F80" s="1067">
        <v>4</v>
      </c>
      <c r="G80" s="1067">
        <v>107.75</v>
      </c>
      <c r="H80" s="1067"/>
      <c r="I80" s="1067"/>
      <c r="J80" s="1067"/>
      <c r="K80" s="1067"/>
    </row>
    <row r="81" spans="1:11" x14ac:dyDescent="0.25">
      <c r="A81" s="1067" t="s">
        <v>273</v>
      </c>
      <c r="B81" s="1067" t="s">
        <v>42</v>
      </c>
      <c r="C81" s="1067" t="s">
        <v>288</v>
      </c>
      <c r="D81" s="1067">
        <v>152</v>
      </c>
      <c r="E81" s="1067">
        <v>799.75</v>
      </c>
      <c r="F81" s="1067">
        <v>8</v>
      </c>
      <c r="G81" s="1067">
        <v>89.25</v>
      </c>
      <c r="H81" s="1067"/>
      <c r="I81" s="1067"/>
      <c r="J81" s="1067"/>
      <c r="K81" s="1067"/>
    </row>
    <row r="82" spans="1:11" x14ac:dyDescent="0.25">
      <c r="A82" s="1067" t="s">
        <v>273</v>
      </c>
      <c r="B82" s="1067" t="s">
        <v>43</v>
      </c>
      <c r="C82" s="1067" t="s">
        <v>430</v>
      </c>
      <c r="D82" s="1067">
        <v>452</v>
      </c>
      <c r="E82" s="1067">
        <v>1850</v>
      </c>
      <c r="F82" s="1067">
        <v>30</v>
      </c>
      <c r="G82" s="1067">
        <v>353.5</v>
      </c>
      <c r="H82" s="1067">
        <v>1</v>
      </c>
      <c r="I82" s="1067">
        <v>76.75</v>
      </c>
      <c r="J82" s="1067"/>
      <c r="K82" s="1067"/>
    </row>
    <row r="83" spans="1:11" x14ac:dyDescent="0.25">
      <c r="A83" s="1067" t="s">
        <v>273</v>
      </c>
      <c r="B83" s="1067" t="s">
        <v>121</v>
      </c>
      <c r="C83" s="1067" t="s">
        <v>312</v>
      </c>
      <c r="D83" s="1067">
        <v>1457</v>
      </c>
      <c r="E83" s="1067">
        <v>6398</v>
      </c>
      <c r="F83" s="1067">
        <v>105</v>
      </c>
      <c r="G83" s="1067">
        <v>596</v>
      </c>
      <c r="H83" s="1067"/>
      <c r="I83" s="1067"/>
      <c r="J83" s="1067"/>
      <c r="K83" s="1067"/>
    </row>
    <row r="84" spans="1:11" x14ac:dyDescent="0.25">
      <c r="A84" s="1067" t="s">
        <v>273</v>
      </c>
      <c r="B84" s="1067" t="s">
        <v>44</v>
      </c>
      <c r="C84" s="1067" t="s">
        <v>289</v>
      </c>
      <c r="D84" s="1067">
        <v>241</v>
      </c>
      <c r="E84" s="1067">
        <v>1483.75</v>
      </c>
      <c r="F84" s="1067">
        <v>27</v>
      </c>
      <c r="G84" s="1067">
        <v>284.75</v>
      </c>
      <c r="H84" s="1067">
        <v>1</v>
      </c>
      <c r="I84" s="1067">
        <v>9.5</v>
      </c>
      <c r="J84" s="1067">
        <v>1</v>
      </c>
      <c r="K84" s="1067">
        <v>6.5</v>
      </c>
    </row>
    <row r="85" spans="1:11" x14ac:dyDescent="0.25">
      <c r="A85" s="1067" t="s">
        <v>273</v>
      </c>
      <c r="B85" s="1067" t="s">
        <v>45</v>
      </c>
      <c r="C85" s="1067" t="s">
        <v>290</v>
      </c>
      <c r="D85" s="1067">
        <v>107</v>
      </c>
      <c r="E85" s="1067">
        <v>429.5</v>
      </c>
      <c r="F85" s="1067">
        <v>8</v>
      </c>
      <c r="G85" s="1067">
        <v>55</v>
      </c>
      <c r="H85" s="1067"/>
      <c r="I85" s="1067"/>
      <c r="J85" s="1067"/>
      <c r="K85" s="1067"/>
    </row>
    <row r="86" spans="1:11" x14ac:dyDescent="0.25">
      <c r="A86" s="1067" t="s">
        <v>273</v>
      </c>
      <c r="B86" s="1067" t="s">
        <v>46</v>
      </c>
      <c r="C86" s="1067" t="s">
        <v>291</v>
      </c>
      <c r="D86" s="1067">
        <v>93</v>
      </c>
      <c r="E86" s="1067">
        <v>285.75</v>
      </c>
      <c r="F86" s="1067">
        <v>4</v>
      </c>
      <c r="G86" s="1067">
        <v>21</v>
      </c>
      <c r="H86" s="1067"/>
      <c r="I86" s="1067"/>
      <c r="J86" s="1067"/>
      <c r="K86" s="1067"/>
    </row>
    <row r="87" spans="1:11" x14ac:dyDescent="0.25">
      <c r="A87" s="1067" t="s">
        <v>273</v>
      </c>
      <c r="B87" s="1067" t="s">
        <v>47</v>
      </c>
      <c r="C87" s="1067" t="s">
        <v>292</v>
      </c>
      <c r="D87" s="1067">
        <v>136</v>
      </c>
      <c r="E87" s="1067">
        <v>833.25</v>
      </c>
      <c r="F87" s="1067">
        <v>6</v>
      </c>
      <c r="G87" s="1067">
        <v>94.25</v>
      </c>
      <c r="H87" s="1067">
        <v>1</v>
      </c>
      <c r="I87" s="1067">
        <v>7</v>
      </c>
      <c r="J87" s="1067"/>
      <c r="K87" s="1067"/>
    </row>
    <row r="88" spans="1:11" x14ac:dyDescent="0.25">
      <c r="A88" s="1067" t="s">
        <v>273</v>
      </c>
      <c r="B88" s="1067" t="s">
        <v>48</v>
      </c>
      <c r="C88" s="1067" t="s">
        <v>287</v>
      </c>
      <c r="D88" s="1067">
        <v>16</v>
      </c>
      <c r="E88" s="1067">
        <v>73.25</v>
      </c>
      <c r="F88" s="1067">
        <v>5</v>
      </c>
      <c r="G88" s="1067">
        <v>96.5</v>
      </c>
      <c r="H88" s="1067">
        <v>1</v>
      </c>
      <c r="I88" s="1067">
        <v>28.75</v>
      </c>
      <c r="J88" s="1067"/>
      <c r="K88" s="1067"/>
    </row>
    <row r="89" spans="1:11" x14ac:dyDescent="0.25">
      <c r="A89" s="1067" t="s">
        <v>273</v>
      </c>
      <c r="B89" s="1067" t="s">
        <v>49</v>
      </c>
      <c r="C89" s="1067" t="s">
        <v>293</v>
      </c>
      <c r="D89" s="1067">
        <v>212</v>
      </c>
      <c r="E89" s="1067">
        <v>982.75</v>
      </c>
      <c r="F89" s="1067">
        <v>18</v>
      </c>
      <c r="G89" s="1067">
        <v>181.75</v>
      </c>
      <c r="H89" s="1067"/>
      <c r="I89" s="1067"/>
      <c r="J89" s="1067"/>
      <c r="K89" s="1067"/>
    </row>
    <row r="90" spans="1:11" x14ac:dyDescent="0.25">
      <c r="A90" s="1067" t="s">
        <v>273</v>
      </c>
      <c r="B90" s="1067" t="s">
        <v>50</v>
      </c>
      <c r="C90" s="1067" t="s">
        <v>310</v>
      </c>
      <c r="D90" s="1067">
        <v>485</v>
      </c>
      <c r="E90" s="1067">
        <v>2741.25</v>
      </c>
      <c r="F90" s="1067">
        <v>11</v>
      </c>
      <c r="G90" s="1067">
        <v>112</v>
      </c>
      <c r="H90" s="1067"/>
      <c r="I90" s="1067"/>
      <c r="J90" s="1067"/>
      <c r="K90" s="1067"/>
    </row>
    <row r="91" spans="1:11" x14ac:dyDescent="0.25">
      <c r="A91" s="1067" t="s">
        <v>273</v>
      </c>
      <c r="B91" s="1067" t="s">
        <v>51</v>
      </c>
      <c r="C91" s="1067" t="s">
        <v>294</v>
      </c>
      <c r="D91" s="1067">
        <v>24</v>
      </c>
      <c r="E91" s="1067">
        <v>132.75</v>
      </c>
      <c r="F91" s="1067">
        <v>5</v>
      </c>
      <c r="G91" s="1067">
        <v>53.25</v>
      </c>
      <c r="H91" s="1067"/>
      <c r="I91" s="1067"/>
      <c r="J91" s="1067"/>
      <c r="K91" s="1067"/>
    </row>
    <row r="92" spans="1:11" x14ac:dyDescent="0.25">
      <c r="A92" s="1067" t="s">
        <v>273</v>
      </c>
      <c r="B92" s="1067" t="s">
        <v>52</v>
      </c>
      <c r="C92" s="1067" t="s">
        <v>295</v>
      </c>
      <c r="D92" s="1067">
        <v>279</v>
      </c>
      <c r="E92" s="1067">
        <v>1366.25</v>
      </c>
      <c r="F92" s="1067">
        <v>8</v>
      </c>
      <c r="G92" s="1067">
        <v>59.5</v>
      </c>
      <c r="H92" s="1067"/>
      <c r="I92" s="1067"/>
      <c r="J92" s="1067"/>
      <c r="K92" s="1067"/>
    </row>
    <row r="93" spans="1:11" x14ac:dyDescent="0.25">
      <c r="A93" s="1067" t="s">
        <v>273</v>
      </c>
      <c r="B93" s="1067" t="s">
        <v>53</v>
      </c>
      <c r="C93" s="1067" t="s">
        <v>305</v>
      </c>
      <c r="D93" s="1067">
        <v>164</v>
      </c>
      <c r="E93" s="1067">
        <v>1078.5</v>
      </c>
      <c r="F93" s="1067">
        <v>5</v>
      </c>
      <c r="G93" s="1067">
        <v>60</v>
      </c>
      <c r="H93" s="1067"/>
      <c r="I93" s="1067"/>
      <c r="J93" s="1067"/>
      <c r="K93" s="1067"/>
    </row>
    <row r="94" spans="1:11" x14ac:dyDescent="0.25">
      <c r="A94" s="1067" t="s">
        <v>273</v>
      </c>
      <c r="B94" s="1067" t="s">
        <v>54</v>
      </c>
      <c r="C94" s="1067" t="s">
        <v>296</v>
      </c>
      <c r="D94" s="1067">
        <v>243</v>
      </c>
      <c r="E94" s="1067">
        <v>1093.5</v>
      </c>
      <c r="F94" s="1067">
        <v>42</v>
      </c>
      <c r="G94" s="1067">
        <v>392.75</v>
      </c>
      <c r="H94" s="1067">
        <v>1</v>
      </c>
      <c r="I94" s="1067">
        <v>32</v>
      </c>
      <c r="J94" s="1067">
        <v>1</v>
      </c>
      <c r="K94" s="1067">
        <v>6.5</v>
      </c>
    </row>
    <row r="95" spans="1:11" x14ac:dyDescent="0.25">
      <c r="A95" s="1067" t="s">
        <v>273</v>
      </c>
      <c r="B95" s="1067" t="s">
        <v>55</v>
      </c>
      <c r="C95" s="1067" t="s">
        <v>297</v>
      </c>
      <c r="D95" s="1067">
        <v>14</v>
      </c>
      <c r="E95" s="1067">
        <v>67</v>
      </c>
      <c r="F95" s="1067">
        <v>2</v>
      </c>
      <c r="G95" s="1067">
        <v>22</v>
      </c>
      <c r="H95" s="1067"/>
      <c r="I95" s="1067"/>
      <c r="J95" s="1067">
        <v>3</v>
      </c>
      <c r="K95" s="1067">
        <v>24</v>
      </c>
    </row>
    <row r="96" spans="1:11" x14ac:dyDescent="0.25">
      <c r="A96" s="1067" t="s">
        <v>273</v>
      </c>
      <c r="B96" s="1067" t="s">
        <v>56</v>
      </c>
      <c r="C96" s="1067" t="s">
        <v>298</v>
      </c>
      <c r="D96" s="1067">
        <v>294</v>
      </c>
      <c r="E96" s="1067">
        <v>1861.5</v>
      </c>
      <c r="F96" s="1067">
        <v>16</v>
      </c>
      <c r="G96" s="1067">
        <v>121.75</v>
      </c>
      <c r="H96" s="1067">
        <v>1</v>
      </c>
      <c r="I96" s="1067">
        <v>17.25</v>
      </c>
      <c r="J96" s="1067"/>
      <c r="K96" s="1067"/>
    </row>
    <row r="97" spans="1:11" x14ac:dyDescent="0.25">
      <c r="A97" s="1067" t="s">
        <v>273</v>
      </c>
      <c r="B97" s="1067" t="s">
        <v>57</v>
      </c>
      <c r="C97" s="1067" t="s">
        <v>299</v>
      </c>
      <c r="D97" s="1067">
        <v>243</v>
      </c>
      <c r="E97" s="1067">
        <v>1452.5</v>
      </c>
      <c r="F97" s="1067">
        <v>8</v>
      </c>
      <c r="G97" s="1067">
        <v>235.75</v>
      </c>
      <c r="H97" s="1067">
        <v>1</v>
      </c>
      <c r="I97" s="1067">
        <v>72.25</v>
      </c>
      <c r="J97" s="1067"/>
      <c r="K97" s="1067"/>
    </row>
    <row r="98" spans="1:11" x14ac:dyDescent="0.25">
      <c r="A98" s="1067" t="s">
        <v>273</v>
      </c>
      <c r="B98" s="1067" t="s">
        <v>58</v>
      </c>
      <c r="C98" s="1067" t="s">
        <v>300</v>
      </c>
      <c r="D98" s="1067">
        <v>146</v>
      </c>
      <c r="E98" s="1067">
        <v>598.5</v>
      </c>
      <c r="F98" s="1067">
        <v>14</v>
      </c>
      <c r="G98" s="1067">
        <v>101.25</v>
      </c>
      <c r="H98" s="1067"/>
      <c r="I98" s="1067"/>
      <c r="J98" s="1067"/>
      <c r="K98" s="1067"/>
    </row>
    <row r="99" spans="1:11" x14ac:dyDescent="0.25">
      <c r="A99" s="1067" t="s">
        <v>273</v>
      </c>
      <c r="B99" s="1067" t="s">
        <v>59</v>
      </c>
      <c r="C99" s="1067" t="s">
        <v>306</v>
      </c>
      <c r="D99" s="1067">
        <v>118</v>
      </c>
      <c r="E99" s="1067">
        <v>596.75</v>
      </c>
      <c r="F99" s="1067">
        <v>3</v>
      </c>
      <c r="G99" s="1067">
        <v>39.25</v>
      </c>
      <c r="H99" s="1067"/>
      <c r="I99" s="1067"/>
      <c r="J99" s="1067"/>
      <c r="K99" s="1067"/>
    </row>
    <row r="100" spans="1:11" x14ac:dyDescent="0.25">
      <c r="A100" s="1067" t="s">
        <v>273</v>
      </c>
      <c r="B100" s="1067" t="s">
        <v>60</v>
      </c>
      <c r="C100" s="1067" t="s">
        <v>307</v>
      </c>
      <c r="D100" s="1067">
        <v>155</v>
      </c>
      <c r="E100" s="1067">
        <v>749</v>
      </c>
      <c r="F100" s="1067">
        <v>22</v>
      </c>
      <c r="G100" s="1067">
        <v>164.25</v>
      </c>
      <c r="H100" s="1067"/>
      <c r="I100" s="1067"/>
      <c r="J100" s="1067"/>
      <c r="K100" s="1067"/>
    </row>
    <row r="101" spans="1:11" x14ac:dyDescent="0.25">
      <c r="A101" s="1067" t="s">
        <v>255</v>
      </c>
      <c r="B101" s="1067" t="s">
        <v>31</v>
      </c>
      <c r="C101" s="1067" t="s">
        <v>301</v>
      </c>
      <c r="D101" s="1067">
        <v>294</v>
      </c>
      <c r="E101" s="1067">
        <v>1570.5</v>
      </c>
      <c r="F101" s="1067">
        <v>21</v>
      </c>
      <c r="G101" s="1067">
        <v>212.25</v>
      </c>
      <c r="H101" s="1067">
        <v>2</v>
      </c>
      <c r="I101" s="1067">
        <v>57.5</v>
      </c>
      <c r="J101" s="1067">
        <v>1</v>
      </c>
      <c r="K101" s="1067">
        <v>3.5</v>
      </c>
    </row>
    <row r="102" spans="1:11" x14ac:dyDescent="0.25">
      <c r="A102" s="1067" t="s">
        <v>255</v>
      </c>
      <c r="B102" s="1067" t="s">
        <v>32</v>
      </c>
      <c r="C102" s="1067" t="s">
        <v>302</v>
      </c>
      <c r="D102" s="1067">
        <v>317</v>
      </c>
      <c r="E102" s="1067">
        <v>2121</v>
      </c>
      <c r="F102" s="1067">
        <v>27</v>
      </c>
      <c r="G102" s="1067">
        <v>291.25</v>
      </c>
      <c r="H102" s="1067"/>
      <c r="I102" s="1067"/>
      <c r="J102" s="1067">
        <v>1</v>
      </c>
      <c r="K102" s="1067">
        <v>23.25</v>
      </c>
    </row>
    <row r="103" spans="1:11" x14ac:dyDescent="0.25">
      <c r="A103" s="1067" t="s">
        <v>255</v>
      </c>
      <c r="B103" s="1067" t="s">
        <v>33</v>
      </c>
      <c r="C103" s="1067" t="s">
        <v>308</v>
      </c>
      <c r="D103" s="1067">
        <v>99</v>
      </c>
      <c r="E103" s="1067">
        <v>422.25</v>
      </c>
      <c r="F103" s="1067">
        <v>20</v>
      </c>
      <c r="G103" s="1067">
        <v>92.5</v>
      </c>
      <c r="H103" s="1067">
        <v>2</v>
      </c>
      <c r="I103" s="1067">
        <v>11</v>
      </c>
      <c r="J103" s="1067">
        <v>1</v>
      </c>
      <c r="K103" s="1067">
        <v>7.5</v>
      </c>
    </row>
    <row r="104" spans="1:11" x14ac:dyDescent="0.25">
      <c r="A104" s="1067" t="s">
        <v>255</v>
      </c>
      <c r="B104" s="1067" t="s">
        <v>34</v>
      </c>
      <c r="C104" s="1067" t="s">
        <v>303</v>
      </c>
      <c r="D104" s="1067">
        <v>171</v>
      </c>
      <c r="E104" s="1067">
        <v>1143.75</v>
      </c>
      <c r="F104" s="1067">
        <v>14</v>
      </c>
      <c r="G104" s="1067">
        <v>157.75</v>
      </c>
      <c r="H104" s="1067">
        <v>1</v>
      </c>
      <c r="I104" s="1067">
        <v>14.5</v>
      </c>
      <c r="J104" s="1067"/>
      <c r="K104" s="1067"/>
    </row>
    <row r="105" spans="1:11" x14ac:dyDescent="0.25">
      <c r="A105" s="1067" t="s">
        <v>255</v>
      </c>
      <c r="B105" s="1067" t="s">
        <v>258</v>
      </c>
      <c r="C105" s="1067" t="s">
        <v>304</v>
      </c>
      <c r="D105" s="1067">
        <v>707</v>
      </c>
      <c r="E105" s="1067">
        <v>2618.75</v>
      </c>
      <c r="F105" s="1067">
        <v>37</v>
      </c>
      <c r="G105" s="1067">
        <v>234.5</v>
      </c>
      <c r="H105" s="1067"/>
      <c r="I105" s="1067"/>
      <c r="J105" s="1067">
        <v>4</v>
      </c>
      <c r="K105" s="1067">
        <v>10</v>
      </c>
    </row>
    <row r="106" spans="1:11" x14ac:dyDescent="0.25">
      <c r="A106" s="1067" t="s">
        <v>255</v>
      </c>
      <c r="B106" s="1067" t="s">
        <v>35</v>
      </c>
      <c r="C106" s="1067" t="s">
        <v>282</v>
      </c>
      <c r="D106" s="1067">
        <v>56</v>
      </c>
      <c r="E106" s="1067">
        <v>253.5</v>
      </c>
      <c r="F106" s="1067">
        <v>8</v>
      </c>
      <c r="G106" s="1067">
        <v>36.75</v>
      </c>
      <c r="H106" s="1067"/>
      <c r="I106" s="1067"/>
      <c r="J106" s="1067">
        <v>1</v>
      </c>
      <c r="K106" s="1067">
        <v>10.25</v>
      </c>
    </row>
    <row r="107" spans="1:11" x14ac:dyDescent="0.25">
      <c r="A107" s="1067" t="s">
        <v>255</v>
      </c>
      <c r="B107" s="1067" t="s">
        <v>36</v>
      </c>
      <c r="C107" s="1067" t="s">
        <v>283</v>
      </c>
      <c r="D107" s="1067">
        <v>346</v>
      </c>
      <c r="E107" s="1067">
        <v>1646</v>
      </c>
      <c r="F107" s="1067">
        <v>33</v>
      </c>
      <c r="G107" s="1067">
        <v>312.25</v>
      </c>
      <c r="H107" s="1067"/>
      <c r="I107" s="1067"/>
      <c r="J107" s="1067"/>
      <c r="K107" s="1067"/>
    </row>
    <row r="108" spans="1:11" x14ac:dyDescent="0.25">
      <c r="A108" s="1067" t="s">
        <v>255</v>
      </c>
      <c r="B108" s="1067" t="s">
        <v>37</v>
      </c>
      <c r="C108" s="1067" t="s">
        <v>309</v>
      </c>
      <c r="D108" s="1067">
        <v>299</v>
      </c>
      <c r="E108" s="1067">
        <v>1117.25</v>
      </c>
      <c r="F108" s="1067">
        <v>7</v>
      </c>
      <c r="G108" s="1067">
        <v>57.75</v>
      </c>
      <c r="H108" s="1067"/>
      <c r="I108" s="1067"/>
      <c r="J108" s="1067">
        <v>1</v>
      </c>
      <c r="K108" s="1067">
        <v>7</v>
      </c>
    </row>
    <row r="109" spans="1:11" x14ac:dyDescent="0.25">
      <c r="A109" s="1067" t="s">
        <v>255</v>
      </c>
      <c r="B109" s="1067" t="s">
        <v>38</v>
      </c>
      <c r="C109" s="1067" t="s">
        <v>284</v>
      </c>
      <c r="D109" s="1067">
        <v>155</v>
      </c>
      <c r="E109" s="1067">
        <v>975</v>
      </c>
      <c r="F109" s="1067">
        <v>10</v>
      </c>
      <c r="G109" s="1067">
        <v>143</v>
      </c>
      <c r="H109" s="1067">
        <v>1</v>
      </c>
      <c r="I109" s="1067">
        <v>51.75</v>
      </c>
      <c r="J109" s="1067"/>
      <c r="K109" s="1067"/>
    </row>
    <row r="110" spans="1:11" x14ac:dyDescent="0.25">
      <c r="A110" s="1067" t="s">
        <v>255</v>
      </c>
      <c r="B110" s="1067" t="s">
        <v>39</v>
      </c>
      <c r="C110" s="1067" t="s">
        <v>311</v>
      </c>
      <c r="D110" s="1067">
        <v>86</v>
      </c>
      <c r="E110" s="1067">
        <v>611</v>
      </c>
      <c r="F110" s="1067">
        <v>6</v>
      </c>
      <c r="G110" s="1067">
        <v>67.25</v>
      </c>
      <c r="H110" s="1067"/>
      <c r="I110" s="1067"/>
      <c r="J110" s="1067"/>
      <c r="K110" s="1067"/>
    </row>
    <row r="111" spans="1:11" x14ac:dyDescent="0.25">
      <c r="A111" s="1067" t="s">
        <v>255</v>
      </c>
      <c r="B111" s="1067" t="s">
        <v>40</v>
      </c>
      <c r="C111" s="1067" t="s">
        <v>285</v>
      </c>
      <c r="D111" s="1067">
        <v>138</v>
      </c>
      <c r="E111" s="1067">
        <v>536.5</v>
      </c>
      <c r="F111" s="1067">
        <v>6</v>
      </c>
      <c r="G111" s="1067">
        <v>35.75</v>
      </c>
      <c r="H111" s="1067"/>
      <c r="I111" s="1067"/>
      <c r="J111" s="1067"/>
      <c r="K111" s="1067"/>
    </row>
    <row r="112" spans="1:11" x14ac:dyDescent="0.25">
      <c r="A112" s="1067" t="s">
        <v>255</v>
      </c>
      <c r="B112" s="1067" t="s">
        <v>41</v>
      </c>
      <c r="C112" s="1067" t="s">
        <v>286</v>
      </c>
      <c r="D112" s="1067">
        <v>27</v>
      </c>
      <c r="E112" s="1067">
        <v>236.5</v>
      </c>
      <c r="F112" s="1067">
        <v>3</v>
      </c>
      <c r="G112" s="1067">
        <v>49.75</v>
      </c>
      <c r="H112" s="1067"/>
      <c r="I112" s="1067"/>
      <c r="J112" s="1067"/>
      <c r="K112" s="1067"/>
    </row>
    <row r="113" spans="1:11" x14ac:dyDescent="0.25">
      <c r="A113" s="1067" t="s">
        <v>255</v>
      </c>
      <c r="B113" s="1067" t="s">
        <v>42</v>
      </c>
      <c r="C113" s="1067" t="s">
        <v>288</v>
      </c>
      <c r="D113" s="1067">
        <v>148</v>
      </c>
      <c r="E113" s="1067">
        <v>843</v>
      </c>
      <c r="F113" s="1067">
        <v>11</v>
      </c>
      <c r="G113" s="1067">
        <v>143.25</v>
      </c>
      <c r="H113" s="1067"/>
      <c r="I113" s="1067"/>
      <c r="J113" s="1067"/>
      <c r="K113" s="1067"/>
    </row>
    <row r="114" spans="1:11" x14ac:dyDescent="0.25">
      <c r="A114" s="1067" t="s">
        <v>255</v>
      </c>
      <c r="B114" s="1067" t="s">
        <v>43</v>
      </c>
      <c r="C114" s="1067" t="s">
        <v>430</v>
      </c>
      <c r="D114" s="1067">
        <v>450</v>
      </c>
      <c r="E114" s="1067">
        <v>1686.5</v>
      </c>
      <c r="F114" s="1067">
        <v>14</v>
      </c>
      <c r="G114" s="1067">
        <v>150.5</v>
      </c>
      <c r="H114" s="1067">
        <v>2</v>
      </c>
      <c r="I114" s="1067">
        <v>38.75</v>
      </c>
      <c r="J114" s="1067">
        <v>2</v>
      </c>
      <c r="K114" s="1067">
        <v>19.5</v>
      </c>
    </row>
    <row r="115" spans="1:11" x14ac:dyDescent="0.25">
      <c r="A115" s="1067" t="s">
        <v>255</v>
      </c>
      <c r="B115" s="1067" t="s">
        <v>121</v>
      </c>
      <c r="C115" s="1067" t="s">
        <v>312</v>
      </c>
      <c r="D115" s="1067">
        <v>1125</v>
      </c>
      <c r="E115" s="1067">
        <v>4472.75</v>
      </c>
      <c r="F115" s="1067">
        <v>62</v>
      </c>
      <c r="G115" s="1067">
        <v>403</v>
      </c>
      <c r="H115" s="1067"/>
      <c r="I115" s="1067"/>
      <c r="J115" s="1067"/>
      <c r="K115" s="1067"/>
    </row>
    <row r="116" spans="1:11" x14ac:dyDescent="0.25">
      <c r="A116" s="1067" t="s">
        <v>255</v>
      </c>
      <c r="B116" s="1067" t="s">
        <v>44</v>
      </c>
      <c r="C116" s="1067" t="s">
        <v>289</v>
      </c>
      <c r="D116" s="1067">
        <v>227</v>
      </c>
      <c r="E116" s="1067">
        <v>1333</v>
      </c>
      <c r="F116" s="1067">
        <v>59</v>
      </c>
      <c r="G116" s="1067">
        <v>1064.25</v>
      </c>
      <c r="H116" s="1067">
        <v>6</v>
      </c>
      <c r="I116" s="1067">
        <v>232</v>
      </c>
      <c r="J116" s="1067">
        <v>4</v>
      </c>
      <c r="K116" s="1067">
        <v>38.5</v>
      </c>
    </row>
    <row r="117" spans="1:11" x14ac:dyDescent="0.25">
      <c r="A117" s="1067" t="s">
        <v>255</v>
      </c>
      <c r="B117" s="1067" t="s">
        <v>45</v>
      </c>
      <c r="C117" s="1067" t="s">
        <v>290</v>
      </c>
      <c r="D117" s="1067">
        <v>57</v>
      </c>
      <c r="E117" s="1067">
        <v>256.5</v>
      </c>
      <c r="F117" s="1067">
        <v>8</v>
      </c>
      <c r="G117" s="1067">
        <v>62</v>
      </c>
      <c r="H117" s="1067"/>
      <c r="I117" s="1067"/>
      <c r="J117" s="1067"/>
      <c r="K117" s="1067"/>
    </row>
    <row r="118" spans="1:11" x14ac:dyDescent="0.25">
      <c r="A118" s="1067" t="s">
        <v>255</v>
      </c>
      <c r="B118" s="1067" t="s">
        <v>46</v>
      </c>
      <c r="C118" s="1067" t="s">
        <v>291</v>
      </c>
      <c r="D118" s="1067">
        <v>94</v>
      </c>
      <c r="E118" s="1067">
        <v>477.5</v>
      </c>
      <c r="F118" s="1067">
        <v>1</v>
      </c>
      <c r="G118" s="1067">
        <v>4.25</v>
      </c>
      <c r="H118" s="1067"/>
      <c r="I118" s="1067"/>
      <c r="J118" s="1067"/>
      <c r="K118" s="1067"/>
    </row>
    <row r="119" spans="1:11" x14ac:dyDescent="0.25">
      <c r="A119" s="1067" t="s">
        <v>255</v>
      </c>
      <c r="B119" s="1067" t="s">
        <v>47</v>
      </c>
      <c r="C119" s="1067" t="s">
        <v>292</v>
      </c>
      <c r="D119" s="1067">
        <v>207</v>
      </c>
      <c r="E119" s="1067">
        <v>1131.25</v>
      </c>
      <c r="F119" s="1067">
        <v>9</v>
      </c>
      <c r="G119" s="1067">
        <v>130.75</v>
      </c>
      <c r="H119" s="1067"/>
      <c r="I119" s="1067"/>
      <c r="J119" s="1067"/>
      <c r="K119" s="1067"/>
    </row>
    <row r="120" spans="1:11" x14ac:dyDescent="0.25">
      <c r="A120" s="1067" t="s">
        <v>255</v>
      </c>
      <c r="B120" s="1067" t="s">
        <v>48</v>
      </c>
      <c r="C120" s="1067" t="s">
        <v>287</v>
      </c>
      <c r="D120" s="1067">
        <v>19</v>
      </c>
      <c r="E120" s="1067">
        <v>163.25</v>
      </c>
      <c r="F120" s="1067">
        <v>4</v>
      </c>
      <c r="G120" s="1067">
        <v>93.25</v>
      </c>
      <c r="H120" s="1067">
        <v>1</v>
      </c>
      <c r="I120" s="1067">
        <v>60</v>
      </c>
      <c r="J120" s="1067"/>
      <c r="K120" s="1067"/>
    </row>
    <row r="121" spans="1:11" x14ac:dyDescent="0.25">
      <c r="A121" s="1067" t="s">
        <v>255</v>
      </c>
      <c r="B121" s="1067" t="s">
        <v>49</v>
      </c>
      <c r="C121" s="1067" t="s">
        <v>293</v>
      </c>
      <c r="D121" s="1067">
        <v>94</v>
      </c>
      <c r="E121" s="1067">
        <v>542.75</v>
      </c>
      <c r="F121" s="1067">
        <v>8</v>
      </c>
      <c r="G121" s="1067">
        <v>85.75</v>
      </c>
      <c r="H121" s="1067"/>
      <c r="I121" s="1067"/>
      <c r="J121" s="1067"/>
      <c r="K121" s="1067"/>
    </row>
    <row r="122" spans="1:11" x14ac:dyDescent="0.25">
      <c r="A122" s="1067" t="s">
        <v>255</v>
      </c>
      <c r="B122" s="1067" t="s">
        <v>50</v>
      </c>
      <c r="C122" s="1067" t="s">
        <v>310</v>
      </c>
      <c r="D122" s="1067">
        <v>344</v>
      </c>
      <c r="E122" s="1067">
        <v>1826.5</v>
      </c>
      <c r="F122" s="1067">
        <v>7</v>
      </c>
      <c r="G122" s="1067">
        <v>65.5</v>
      </c>
      <c r="H122" s="1067"/>
      <c r="I122" s="1067"/>
      <c r="J122" s="1067"/>
      <c r="K122" s="1067"/>
    </row>
    <row r="123" spans="1:11" x14ac:dyDescent="0.25">
      <c r="A123" s="1067" t="s">
        <v>255</v>
      </c>
      <c r="B123" s="1067" t="s">
        <v>51</v>
      </c>
      <c r="C123" s="1067" t="s">
        <v>294</v>
      </c>
      <c r="D123" s="1067">
        <v>10</v>
      </c>
      <c r="E123" s="1067">
        <v>46.75</v>
      </c>
      <c r="F123" s="1067">
        <v>3</v>
      </c>
      <c r="G123" s="1067">
        <v>44.25</v>
      </c>
      <c r="H123" s="1067"/>
      <c r="I123" s="1067"/>
      <c r="J123" s="1067"/>
      <c r="K123" s="1067"/>
    </row>
    <row r="124" spans="1:11" x14ac:dyDescent="0.25">
      <c r="A124" s="1067" t="s">
        <v>255</v>
      </c>
      <c r="B124" s="1067" t="s">
        <v>52</v>
      </c>
      <c r="C124" s="1067" t="s">
        <v>295</v>
      </c>
      <c r="D124" s="1067">
        <v>284</v>
      </c>
      <c r="E124" s="1067">
        <v>1240.75</v>
      </c>
      <c r="F124" s="1067">
        <v>9</v>
      </c>
      <c r="G124" s="1067">
        <v>81.25</v>
      </c>
      <c r="H124" s="1067"/>
      <c r="I124" s="1067"/>
      <c r="J124" s="1067"/>
      <c r="K124" s="1067"/>
    </row>
    <row r="125" spans="1:11" x14ac:dyDescent="0.25">
      <c r="A125" s="1067" t="s">
        <v>255</v>
      </c>
      <c r="B125" s="1067" t="s">
        <v>53</v>
      </c>
      <c r="C125" s="1067" t="s">
        <v>305</v>
      </c>
      <c r="D125" s="1067">
        <v>82</v>
      </c>
      <c r="E125" s="1067">
        <v>508.5</v>
      </c>
      <c r="F125" s="1067">
        <v>9</v>
      </c>
      <c r="G125" s="1067">
        <v>126</v>
      </c>
      <c r="H125" s="1067"/>
      <c r="I125" s="1067"/>
      <c r="J125" s="1067"/>
      <c r="K125" s="1067"/>
    </row>
    <row r="126" spans="1:11" x14ac:dyDescent="0.25">
      <c r="A126" s="1067" t="s">
        <v>255</v>
      </c>
      <c r="B126" s="1067" t="s">
        <v>54</v>
      </c>
      <c r="C126" s="1067" t="s">
        <v>296</v>
      </c>
      <c r="D126" s="1067">
        <v>218</v>
      </c>
      <c r="E126" s="1067">
        <v>1084.25</v>
      </c>
      <c r="F126" s="1067">
        <v>13</v>
      </c>
      <c r="G126" s="1067">
        <v>97.75</v>
      </c>
      <c r="H126" s="1067"/>
      <c r="I126" s="1067"/>
      <c r="J126" s="1067"/>
      <c r="K126" s="1067"/>
    </row>
    <row r="127" spans="1:11" x14ac:dyDescent="0.25">
      <c r="A127" s="1067" t="s">
        <v>255</v>
      </c>
      <c r="B127" s="1067" t="s">
        <v>55</v>
      </c>
      <c r="C127" s="1067" t="s">
        <v>297</v>
      </c>
      <c r="D127" s="1067">
        <v>22</v>
      </c>
      <c r="E127" s="1067">
        <v>189</v>
      </c>
      <c r="F127" s="1067">
        <v>1</v>
      </c>
      <c r="G127" s="1067">
        <v>8</v>
      </c>
      <c r="H127" s="1067"/>
      <c r="I127" s="1067"/>
      <c r="J127" s="1067">
        <v>1</v>
      </c>
      <c r="K127" s="1067">
        <v>3.5</v>
      </c>
    </row>
    <row r="128" spans="1:11" x14ac:dyDescent="0.25">
      <c r="A128" s="1067" t="s">
        <v>255</v>
      </c>
      <c r="B128" s="1067" t="s">
        <v>56</v>
      </c>
      <c r="C128" s="1067" t="s">
        <v>298</v>
      </c>
      <c r="D128" s="1067">
        <v>310</v>
      </c>
      <c r="E128" s="1067">
        <v>1986.75</v>
      </c>
      <c r="F128" s="1067">
        <v>9</v>
      </c>
      <c r="G128" s="1067">
        <v>68.75</v>
      </c>
      <c r="H128" s="1067"/>
      <c r="I128" s="1067"/>
      <c r="J128" s="1067"/>
      <c r="K128" s="1067"/>
    </row>
    <row r="129" spans="1:11" x14ac:dyDescent="0.25">
      <c r="A129" s="1067" t="s">
        <v>255</v>
      </c>
      <c r="B129" s="1067" t="s">
        <v>57</v>
      </c>
      <c r="C129" s="1067" t="s">
        <v>299</v>
      </c>
      <c r="D129" s="1067">
        <v>321</v>
      </c>
      <c r="E129" s="1067">
        <v>1386.5</v>
      </c>
      <c r="F129" s="1067">
        <v>12</v>
      </c>
      <c r="G129" s="1067">
        <v>171.5</v>
      </c>
      <c r="H129" s="1067"/>
      <c r="I129" s="1067"/>
      <c r="J129" s="1067"/>
      <c r="K129" s="1067"/>
    </row>
    <row r="130" spans="1:11" x14ac:dyDescent="0.25">
      <c r="A130" s="1067" t="s">
        <v>255</v>
      </c>
      <c r="B130" s="1067" t="s">
        <v>58</v>
      </c>
      <c r="C130" s="1067" t="s">
        <v>300</v>
      </c>
      <c r="D130" s="1067">
        <v>203</v>
      </c>
      <c r="E130" s="1067">
        <v>910.5</v>
      </c>
      <c r="F130" s="1067">
        <v>21</v>
      </c>
      <c r="G130" s="1067">
        <v>135.5</v>
      </c>
      <c r="H130" s="1067"/>
      <c r="I130" s="1067"/>
      <c r="J130" s="1067">
        <v>1</v>
      </c>
      <c r="K130" s="1067">
        <v>5.5</v>
      </c>
    </row>
    <row r="131" spans="1:11" x14ac:dyDescent="0.25">
      <c r="A131" s="1067" t="s">
        <v>255</v>
      </c>
      <c r="B131" s="1067" t="s">
        <v>59</v>
      </c>
      <c r="C131" s="1067" t="s">
        <v>306</v>
      </c>
      <c r="D131" s="1067">
        <v>100</v>
      </c>
      <c r="E131" s="1067">
        <v>682.75</v>
      </c>
      <c r="F131" s="1067">
        <v>9</v>
      </c>
      <c r="G131" s="1067">
        <v>115.25</v>
      </c>
      <c r="H131" s="1067"/>
      <c r="I131" s="1067"/>
      <c r="J131" s="1067"/>
      <c r="K131" s="1067"/>
    </row>
    <row r="132" spans="1:11" x14ac:dyDescent="0.25">
      <c r="A132" s="1067" t="s">
        <v>255</v>
      </c>
      <c r="B132" s="1067" t="s">
        <v>60</v>
      </c>
      <c r="C132" s="1067" t="s">
        <v>307</v>
      </c>
      <c r="D132" s="1067">
        <v>157</v>
      </c>
      <c r="E132" s="1067">
        <v>667.75</v>
      </c>
      <c r="F132" s="1067">
        <v>7</v>
      </c>
      <c r="G132" s="1067">
        <v>40.5</v>
      </c>
      <c r="H132" s="1067"/>
      <c r="I132" s="1067"/>
      <c r="J132" s="1067"/>
      <c r="K132" s="1067"/>
    </row>
    <row r="133" spans="1:11" x14ac:dyDescent="0.25">
      <c r="A133" s="1067" t="s">
        <v>254</v>
      </c>
      <c r="B133" s="1067" t="s">
        <v>31</v>
      </c>
      <c r="C133" s="1067" t="s">
        <v>301</v>
      </c>
      <c r="D133" s="1067">
        <v>349</v>
      </c>
      <c r="E133" s="1067">
        <v>2090</v>
      </c>
      <c r="F133" s="1067">
        <v>15</v>
      </c>
      <c r="G133" s="1067">
        <v>161</v>
      </c>
      <c r="H133" s="1067"/>
      <c r="I133" s="1067"/>
      <c r="J133" s="1067">
        <v>2</v>
      </c>
      <c r="K133" s="1067">
        <v>4.5</v>
      </c>
    </row>
    <row r="134" spans="1:11" x14ac:dyDescent="0.25">
      <c r="A134" s="1067" t="s">
        <v>254</v>
      </c>
      <c r="B134" s="1067" t="s">
        <v>32</v>
      </c>
      <c r="C134" s="1067" t="s">
        <v>302</v>
      </c>
      <c r="D134" s="1067">
        <v>344</v>
      </c>
      <c r="E134" s="1067">
        <v>1895</v>
      </c>
      <c r="F134" s="1067">
        <v>29</v>
      </c>
      <c r="G134" s="1067">
        <v>240.5</v>
      </c>
      <c r="H134" s="1067"/>
      <c r="I134" s="1067"/>
      <c r="J134" s="1067">
        <v>1</v>
      </c>
      <c r="K134" s="1067">
        <v>7.5</v>
      </c>
    </row>
    <row r="135" spans="1:11" x14ac:dyDescent="0.25">
      <c r="A135" s="1067" t="s">
        <v>254</v>
      </c>
      <c r="B135" s="1067" t="s">
        <v>33</v>
      </c>
      <c r="C135" s="1067" t="s">
        <v>308</v>
      </c>
      <c r="D135" s="1067">
        <v>115</v>
      </c>
      <c r="E135" s="1067">
        <v>476.75</v>
      </c>
      <c r="F135" s="1067">
        <v>11</v>
      </c>
      <c r="G135" s="1067">
        <v>49.5</v>
      </c>
      <c r="H135" s="1067">
        <v>1</v>
      </c>
      <c r="I135" s="1067">
        <v>6</v>
      </c>
      <c r="J135" s="1067"/>
      <c r="K135" s="1067"/>
    </row>
    <row r="136" spans="1:11" x14ac:dyDescent="0.25">
      <c r="A136" s="1067" t="s">
        <v>254</v>
      </c>
      <c r="B136" s="1067" t="s">
        <v>34</v>
      </c>
      <c r="C136" s="1067" t="s">
        <v>303</v>
      </c>
      <c r="D136" s="1067">
        <v>205</v>
      </c>
      <c r="E136" s="1067">
        <v>1662</v>
      </c>
      <c r="F136" s="1067">
        <v>15</v>
      </c>
      <c r="G136" s="1067">
        <v>154.75</v>
      </c>
      <c r="H136" s="1067"/>
      <c r="I136" s="1067"/>
      <c r="J136" s="1067"/>
      <c r="K136" s="1067"/>
    </row>
    <row r="137" spans="1:11" x14ac:dyDescent="0.25">
      <c r="A137" s="1067" t="s">
        <v>254</v>
      </c>
      <c r="B137" s="1067" t="s">
        <v>258</v>
      </c>
      <c r="C137" s="1067" t="s">
        <v>304</v>
      </c>
      <c r="D137" s="1067">
        <v>672</v>
      </c>
      <c r="E137" s="1067">
        <v>2918.5</v>
      </c>
      <c r="F137" s="1067">
        <v>42</v>
      </c>
      <c r="G137" s="1067">
        <v>362.75</v>
      </c>
      <c r="H137" s="1067">
        <v>5</v>
      </c>
      <c r="I137" s="1067">
        <v>63.5</v>
      </c>
      <c r="J137" s="1067">
        <v>4</v>
      </c>
      <c r="K137" s="1067">
        <v>16</v>
      </c>
    </row>
    <row r="138" spans="1:11" x14ac:dyDescent="0.25">
      <c r="A138" s="1067" t="s">
        <v>254</v>
      </c>
      <c r="B138" s="1067" t="s">
        <v>35</v>
      </c>
      <c r="C138" s="1067" t="s">
        <v>282</v>
      </c>
      <c r="D138" s="1067">
        <v>69</v>
      </c>
      <c r="E138" s="1067">
        <v>332.5</v>
      </c>
      <c r="F138" s="1067">
        <v>1</v>
      </c>
      <c r="G138" s="1067">
        <v>8.5</v>
      </c>
      <c r="H138" s="1067"/>
      <c r="I138" s="1067"/>
      <c r="J138" s="1067"/>
      <c r="K138" s="1067"/>
    </row>
    <row r="139" spans="1:11" x14ac:dyDescent="0.25">
      <c r="A139" s="1067" t="s">
        <v>254</v>
      </c>
      <c r="B139" s="1067" t="s">
        <v>36</v>
      </c>
      <c r="C139" s="1067" t="s">
        <v>283</v>
      </c>
      <c r="D139" s="1067">
        <v>420</v>
      </c>
      <c r="E139" s="1067">
        <v>2070.25</v>
      </c>
      <c r="F139" s="1067">
        <v>20</v>
      </c>
      <c r="G139" s="1067">
        <v>205.5</v>
      </c>
      <c r="H139" s="1067">
        <v>2</v>
      </c>
      <c r="I139" s="1067">
        <v>17</v>
      </c>
      <c r="J139" s="1067"/>
      <c r="K139" s="1067"/>
    </row>
    <row r="140" spans="1:11" x14ac:dyDescent="0.25">
      <c r="A140" s="1067" t="s">
        <v>254</v>
      </c>
      <c r="B140" s="1067" t="s">
        <v>37</v>
      </c>
      <c r="C140" s="1067" t="s">
        <v>309</v>
      </c>
      <c r="D140" s="1067">
        <v>371</v>
      </c>
      <c r="E140" s="1067">
        <v>1559.5</v>
      </c>
      <c r="F140" s="1067">
        <v>10</v>
      </c>
      <c r="G140" s="1067">
        <v>90.75</v>
      </c>
      <c r="H140" s="1067"/>
      <c r="I140" s="1067"/>
      <c r="J140" s="1067">
        <v>3</v>
      </c>
      <c r="K140" s="1067">
        <v>23.5</v>
      </c>
    </row>
    <row r="141" spans="1:11" x14ac:dyDescent="0.25">
      <c r="A141" s="1067" t="s">
        <v>254</v>
      </c>
      <c r="B141" s="1067" t="s">
        <v>38</v>
      </c>
      <c r="C141" s="1067" t="s">
        <v>284</v>
      </c>
      <c r="D141" s="1067">
        <v>138</v>
      </c>
      <c r="E141" s="1067">
        <v>837.25</v>
      </c>
      <c r="F141" s="1067">
        <v>7</v>
      </c>
      <c r="G141" s="1067">
        <v>59</v>
      </c>
      <c r="H141" s="1067"/>
      <c r="I141" s="1067"/>
      <c r="J141" s="1067"/>
      <c r="K141" s="1067"/>
    </row>
    <row r="142" spans="1:11" x14ac:dyDescent="0.25">
      <c r="A142" s="1067" t="s">
        <v>254</v>
      </c>
      <c r="B142" s="1067" t="s">
        <v>39</v>
      </c>
      <c r="C142" s="1067" t="s">
        <v>311</v>
      </c>
      <c r="D142" s="1067">
        <v>82</v>
      </c>
      <c r="E142" s="1067">
        <v>447.75</v>
      </c>
      <c r="F142" s="1067">
        <v>2</v>
      </c>
      <c r="G142" s="1067">
        <v>30</v>
      </c>
      <c r="H142" s="1067"/>
      <c r="I142" s="1067"/>
      <c r="J142" s="1067"/>
      <c r="K142" s="1067"/>
    </row>
    <row r="143" spans="1:11" x14ac:dyDescent="0.25">
      <c r="A143" s="1067" t="s">
        <v>254</v>
      </c>
      <c r="B143" s="1067" t="s">
        <v>40</v>
      </c>
      <c r="C143" s="1067" t="s">
        <v>285</v>
      </c>
      <c r="D143" s="1067">
        <v>144</v>
      </c>
      <c r="E143" s="1067">
        <v>567.25</v>
      </c>
      <c r="F143" s="1067">
        <v>5</v>
      </c>
      <c r="G143" s="1067">
        <v>34.5</v>
      </c>
      <c r="H143" s="1067"/>
      <c r="I143" s="1067"/>
      <c r="J143" s="1067"/>
      <c r="K143" s="1067"/>
    </row>
    <row r="144" spans="1:11" x14ac:dyDescent="0.25">
      <c r="A144" s="1067" t="s">
        <v>254</v>
      </c>
      <c r="B144" s="1067" t="s">
        <v>41</v>
      </c>
      <c r="C144" s="1067" t="s">
        <v>286</v>
      </c>
      <c r="D144" s="1067">
        <v>34</v>
      </c>
      <c r="E144" s="1067">
        <v>234</v>
      </c>
      <c r="F144" s="1067">
        <v>2</v>
      </c>
      <c r="G144" s="1067">
        <v>18.75</v>
      </c>
      <c r="H144" s="1067"/>
      <c r="I144" s="1067"/>
      <c r="J144" s="1067"/>
      <c r="K144" s="1067"/>
    </row>
    <row r="145" spans="1:11" x14ac:dyDescent="0.25">
      <c r="A145" s="1067" t="s">
        <v>254</v>
      </c>
      <c r="B145" s="1067" t="s">
        <v>42</v>
      </c>
      <c r="C145" s="1067" t="s">
        <v>288</v>
      </c>
      <c r="D145" s="1067">
        <v>201</v>
      </c>
      <c r="E145" s="1067">
        <v>1063.25</v>
      </c>
      <c r="F145" s="1067"/>
      <c r="G145" s="1067"/>
      <c r="H145" s="1067"/>
      <c r="I145" s="1067"/>
      <c r="J145" s="1067"/>
      <c r="K145" s="1067"/>
    </row>
    <row r="146" spans="1:11" x14ac:dyDescent="0.25">
      <c r="A146" s="1067" t="s">
        <v>254</v>
      </c>
      <c r="B146" s="1067" t="s">
        <v>43</v>
      </c>
      <c r="C146" s="1067" t="s">
        <v>430</v>
      </c>
      <c r="D146" s="1067">
        <v>644</v>
      </c>
      <c r="E146" s="1067">
        <v>2085.75</v>
      </c>
      <c r="F146" s="1067">
        <v>13</v>
      </c>
      <c r="G146" s="1067">
        <v>127</v>
      </c>
      <c r="H146" s="1067">
        <v>2</v>
      </c>
      <c r="I146" s="1067">
        <v>52</v>
      </c>
      <c r="J146" s="1067"/>
      <c r="K146" s="1067"/>
    </row>
    <row r="147" spans="1:11" x14ac:dyDescent="0.25">
      <c r="A147" s="1067" t="s">
        <v>254</v>
      </c>
      <c r="B147" s="1067" t="s">
        <v>121</v>
      </c>
      <c r="C147" s="1067" t="s">
        <v>312</v>
      </c>
      <c r="D147" s="1067">
        <v>1067</v>
      </c>
      <c r="E147" s="1067">
        <v>4671</v>
      </c>
      <c r="F147" s="1067">
        <v>59</v>
      </c>
      <c r="G147" s="1067">
        <v>525.75</v>
      </c>
      <c r="H147" s="1067">
        <v>3</v>
      </c>
      <c r="I147" s="1067">
        <v>49.25</v>
      </c>
      <c r="J147" s="1067"/>
      <c r="K147" s="1067"/>
    </row>
    <row r="148" spans="1:11" x14ac:dyDescent="0.25">
      <c r="A148" s="1067" t="s">
        <v>254</v>
      </c>
      <c r="B148" s="1067" t="s">
        <v>44</v>
      </c>
      <c r="C148" s="1067" t="s">
        <v>289</v>
      </c>
      <c r="D148" s="1067">
        <v>172</v>
      </c>
      <c r="E148" s="1067">
        <v>1061.75</v>
      </c>
      <c r="F148" s="1067">
        <v>24</v>
      </c>
      <c r="G148" s="1067">
        <v>392.5</v>
      </c>
      <c r="H148" s="1067">
        <v>1</v>
      </c>
      <c r="I148" s="1067">
        <v>70.75</v>
      </c>
      <c r="J148" s="1067">
        <v>7</v>
      </c>
      <c r="K148" s="1067">
        <v>123</v>
      </c>
    </row>
    <row r="149" spans="1:11" x14ac:dyDescent="0.25">
      <c r="A149" s="1067" t="s">
        <v>254</v>
      </c>
      <c r="B149" s="1067" t="s">
        <v>45</v>
      </c>
      <c r="C149" s="1067" t="s">
        <v>290</v>
      </c>
      <c r="D149" s="1067">
        <v>73</v>
      </c>
      <c r="E149" s="1067">
        <v>338.75</v>
      </c>
      <c r="F149" s="1067">
        <v>5</v>
      </c>
      <c r="G149" s="1067">
        <v>63</v>
      </c>
      <c r="H149" s="1067">
        <v>1</v>
      </c>
      <c r="I149" s="1067">
        <v>33.25</v>
      </c>
      <c r="J149" s="1067"/>
      <c r="K149" s="1067"/>
    </row>
    <row r="150" spans="1:11" x14ac:dyDescent="0.25">
      <c r="A150" s="1067" t="s">
        <v>254</v>
      </c>
      <c r="B150" s="1067" t="s">
        <v>46</v>
      </c>
      <c r="C150" s="1067" t="s">
        <v>291</v>
      </c>
      <c r="D150" s="1067">
        <v>131</v>
      </c>
      <c r="E150" s="1067">
        <v>878.5</v>
      </c>
      <c r="F150" s="1067">
        <v>7</v>
      </c>
      <c r="G150" s="1067">
        <v>91.25</v>
      </c>
      <c r="H150" s="1067"/>
      <c r="I150" s="1067"/>
      <c r="J150" s="1067"/>
      <c r="K150" s="1067"/>
    </row>
    <row r="151" spans="1:11" x14ac:dyDescent="0.25">
      <c r="A151" s="1067" t="s">
        <v>254</v>
      </c>
      <c r="B151" s="1067" t="s">
        <v>47</v>
      </c>
      <c r="C151" s="1067" t="s">
        <v>292</v>
      </c>
      <c r="D151" s="1067">
        <v>124</v>
      </c>
      <c r="E151" s="1067">
        <v>579.75</v>
      </c>
      <c r="F151" s="1067">
        <v>6</v>
      </c>
      <c r="G151" s="1067">
        <v>75.25</v>
      </c>
      <c r="H151" s="1067"/>
      <c r="I151" s="1067"/>
      <c r="J151" s="1067">
        <v>1</v>
      </c>
      <c r="K151" s="1067"/>
    </row>
    <row r="152" spans="1:11" x14ac:dyDescent="0.25">
      <c r="A152" s="1067" t="s">
        <v>254</v>
      </c>
      <c r="B152" s="1067" t="s">
        <v>48</v>
      </c>
      <c r="C152" s="1067" t="s">
        <v>287</v>
      </c>
      <c r="D152" s="1067">
        <v>21</v>
      </c>
      <c r="E152" s="1067">
        <v>73.5</v>
      </c>
      <c r="F152" s="1067"/>
      <c r="G152" s="1067"/>
      <c r="H152" s="1067"/>
      <c r="I152" s="1067"/>
      <c r="J152" s="1067"/>
      <c r="K152" s="1067"/>
    </row>
    <row r="153" spans="1:11" x14ac:dyDescent="0.25">
      <c r="A153" s="1067" t="s">
        <v>254</v>
      </c>
      <c r="B153" s="1067" t="s">
        <v>49</v>
      </c>
      <c r="C153" s="1067" t="s">
        <v>293</v>
      </c>
      <c r="D153" s="1067">
        <v>239</v>
      </c>
      <c r="E153" s="1067">
        <v>1222.25</v>
      </c>
      <c r="F153" s="1067">
        <v>5</v>
      </c>
      <c r="G153" s="1067">
        <v>47</v>
      </c>
      <c r="H153" s="1067"/>
      <c r="I153" s="1067"/>
      <c r="J153" s="1067"/>
      <c r="K153" s="1067"/>
    </row>
    <row r="154" spans="1:11" x14ac:dyDescent="0.25">
      <c r="A154" s="1067" t="s">
        <v>254</v>
      </c>
      <c r="B154" s="1067" t="s">
        <v>50</v>
      </c>
      <c r="C154" s="1067" t="s">
        <v>310</v>
      </c>
      <c r="D154" s="1067">
        <v>294</v>
      </c>
      <c r="E154" s="1067">
        <v>1348</v>
      </c>
      <c r="F154" s="1067">
        <v>13</v>
      </c>
      <c r="G154" s="1067">
        <v>182.75</v>
      </c>
      <c r="H154" s="1067">
        <v>2</v>
      </c>
      <c r="I154" s="1067">
        <v>68.75</v>
      </c>
      <c r="J154" s="1067">
        <v>1</v>
      </c>
      <c r="K154" s="1067">
        <v>63</v>
      </c>
    </row>
    <row r="155" spans="1:11" x14ac:dyDescent="0.25">
      <c r="A155" s="1067" t="s">
        <v>254</v>
      </c>
      <c r="B155" s="1067" t="s">
        <v>51</v>
      </c>
      <c r="C155" s="1067" t="s">
        <v>294</v>
      </c>
      <c r="D155" s="1067">
        <v>9</v>
      </c>
      <c r="E155" s="1067">
        <v>42.5</v>
      </c>
      <c r="F155" s="1067"/>
      <c r="G155" s="1067"/>
      <c r="H155" s="1067"/>
      <c r="I155" s="1067"/>
      <c r="J155" s="1067"/>
      <c r="K155" s="1067"/>
    </row>
    <row r="156" spans="1:11" x14ac:dyDescent="0.25">
      <c r="A156" s="1067" t="s">
        <v>254</v>
      </c>
      <c r="B156" s="1067" t="s">
        <v>52</v>
      </c>
      <c r="C156" s="1067" t="s">
        <v>295</v>
      </c>
      <c r="D156" s="1067">
        <v>281</v>
      </c>
      <c r="E156" s="1067">
        <v>1204.5</v>
      </c>
      <c r="F156" s="1067">
        <v>12</v>
      </c>
      <c r="G156" s="1067">
        <v>81</v>
      </c>
      <c r="H156" s="1067">
        <v>1</v>
      </c>
      <c r="I156" s="1067">
        <v>14.25</v>
      </c>
      <c r="J156" s="1067"/>
      <c r="K156" s="1067"/>
    </row>
    <row r="157" spans="1:11" x14ac:dyDescent="0.25">
      <c r="A157" s="1067" t="s">
        <v>254</v>
      </c>
      <c r="B157" s="1067" t="s">
        <v>53</v>
      </c>
      <c r="C157" s="1067" t="s">
        <v>305</v>
      </c>
      <c r="D157" s="1067">
        <v>163</v>
      </c>
      <c r="E157" s="1067">
        <v>836</v>
      </c>
      <c r="F157" s="1067">
        <v>6</v>
      </c>
      <c r="G157" s="1067">
        <v>94</v>
      </c>
      <c r="H157" s="1067"/>
      <c r="I157" s="1067"/>
      <c r="J157" s="1067"/>
      <c r="K157" s="1067"/>
    </row>
    <row r="158" spans="1:11" x14ac:dyDescent="0.25">
      <c r="A158" s="1067" t="s">
        <v>254</v>
      </c>
      <c r="B158" s="1067" t="s">
        <v>54</v>
      </c>
      <c r="C158" s="1067" t="s">
        <v>296</v>
      </c>
      <c r="D158" s="1067">
        <v>202</v>
      </c>
      <c r="E158" s="1067">
        <v>998.75</v>
      </c>
      <c r="F158" s="1067">
        <v>17</v>
      </c>
      <c r="G158" s="1067">
        <v>142.5</v>
      </c>
      <c r="H158" s="1067"/>
      <c r="I158" s="1067"/>
      <c r="J158" s="1067"/>
      <c r="K158" s="1067"/>
    </row>
    <row r="159" spans="1:11" x14ac:dyDescent="0.25">
      <c r="A159" s="1067" t="s">
        <v>254</v>
      </c>
      <c r="B159" s="1067" t="s">
        <v>55</v>
      </c>
      <c r="C159" s="1067" t="s">
        <v>297</v>
      </c>
      <c r="D159" s="1067">
        <v>14</v>
      </c>
      <c r="E159" s="1067">
        <v>110.25</v>
      </c>
      <c r="F159" s="1067">
        <v>2</v>
      </c>
      <c r="G159" s="1067">
        <v>23.75</v>
      </c>
      <c r="H159" s="1067"/>
      <c r="I159" s="1067"/>
      <c r="J159" s="1067"/>
      <c r="K159" s="1067"/>
    </row>
    <row r="160" spans="1:11" x14ac:dyDescent="0.25">
      <c r="A160" s="1067" t="s">
        <v>254</v>
      </c>
      <c r="B160" s="1067" t="s">
        <v>56</v>
      </c>
      <c r="C160" s="1067" t="s">
        <v>298</v>
      </c>
      <c r="D160" s="1067">
        <v>216</v>
      </c>
      <c r="E160" s="1067">
        <v>1373.25</v>
      </c>
      <c r="F160" s="1067">
        <v>13</v>
      </c>
      <c r="G160" s="1067">
        <v>108</v>
      </c>
      <c r="H160" s="1067">
        <v>3</v>
      </c>
      <c r="I160" s="1067">
        <v>44.25</v>
      </c>
      <c r="J160" s="1067">
        <v>1</v>
      </c>
      <c r="K160" s="1067"/>
    </row>
    <row r="161" spans="1:11" x14ac:dyDescent="0.25">
      <c r="A161" s="1067" t="s">
        <v>254</v>
      </c>
      <c r="B161" s="1067" t="s">
        <v>57</v>
      </c>
      <c r="C161" s="1067" t="s">
        <v>299</v>
      </c>
      <c r="D161" s="1067">
        <v>242</v>
      </c>
      <c r="E161" s="1067">
        <v>1512.25</v>
      </c>
      <c r="F161" s="1067">
        <v>10</v>
      </c>
      <c r="G161" s="1067">
        <v>273</v>
      </c>
      <c r="H161" s="1067">
        <v>1</v>
      </c>
      <c r="I161" s="1067">
        <v>102.75</v>
      </c>
      <c r="J161" s="1067"/>
      <c r="K161" s="1067"/>
    </row>
    <row r="162" spans="1:11" x14ac:dyDescent="0.25">
      <c r="A162" s="1067" t="s">
        <v>254</v>
      </c>
      <c r="B162" s="1067" t="s">
        <v>58</v>
      </c>
      <c r="C162" s="1067" t="s">
        <v>300</v>
      </c>
      <c r="D162" s="1067">
        <v>190</v>
      </c>
      <c r="E162" s="1067">
        <v>759</v>
      </c>
      <c r="F162" s="1067">
        <v>3</v>
      </c>
      <c r="G162" s="1067">
        <v>38.75</v>
      </c>
      <c r="H162" s="1067"/>
      <c r="I162" s="1067"/>
      <c r="J162" s="1067"/>
      <c r="K162" s="1067"/>
    </row>
    <row r="163" spans="1:11" x14ac:dyDescent="0.25">
      <c r="A163" s="1067" t="s">
        <v>254</v>
      </c>
      <c r="B163" s="1067" t="s">
        <v>59</v>
      </c>
      <c r="C163" s="1067" t="s">
        <v>306</v>
      </c>
      <c r="D163" s="1067">
        <v>74</v>
      </c>
      <c r="E163" s="1067">
        <v>427</v>
      </c>
      <c r="F163" s="1067">
        <v>5</v>
      </c>
      <c r="G163" s="1067">
        <v>44.75</v>
      </c>
      <c r="H163" s="1067"/>
      <c r="I163" s="1067"/>
      <c r="J163" s="1067"/>
      <c r="K163" s="1067"/>
    </row>
    <row r="164" spans="1:11" x14ac:dyDescent="0.25">
      <c r="A164" s="1067" t="s">
        <v>254</v>
      </c>
      <c r="B164" s="1067" t="s">
        <v>60</v>
      </c>
      <c r="C164" s="1067" t="s">
        <v>307</v>
      </c>
      <c r="D164" s="1067">
        <v>208</v>
      </c>
      <c r="E164" s="1067">
        <v>775.5</v>
      </c>
      <c r="F164" s="1067">
        <v>5</v>
      </c>
      <c r="G164" s="1067">
        <v>33.5</v>
      </c>
      <c r="H164" s="1067"/>
      <c r="I164" s="1067"/>
      <c r="J164" s="1067"/>
      <c r="K164" s="1067"/>
    </row>
    <row r="165" spans="1:11" x14ac:dyDescent="0.25">
      <c r="A165" s="1067" t="s">
        <v>851</v>
      </c>
      <c r="B165" s="1067" t="s">
        <v>31</v>
      </c>
      <c r="C165" s="1067" t="s">
        <v>301</v>
      </c>
      <c r="D165" s="1067">
        <v>422</v>
      </c>
      <c r="E165" s="1067"/>
      <c r="F165" s="1067">
        <v>11</v>
      </c>
      <c r="G165" s="1067"/>
      <c r="H165" s="1067"/>
      <c r="I165" s="1067"/>
      <c r="J165" s="1067">
        <v>2</v>
      </c>
      <c r="K165" s="1067"/>
    </row>
    <row r="166" spans="1:11" x14ac:dyDescent="0.25">
      <c r="A166" s="1067" t="s">
        <v>851</v>
      </c>
      <c r="B166" s="1067" t="s">
        <v>32</v>
      </c>
      <c r="C166" s="1067" t="s">
        <v>302</v>
      </c>
      <c r="D166" s="1067">
        <v>345</v>
      </c>
      <c r="E166" s="1067"/>
      <c r="F166" s="1067">
        <v>6</v>
      </c>
      <c r="G166" s="1067"/>
      <c r="H166" s="1067"/>
      <c r="I166" s="1067"/>
      <c r="J166" s="1067"/>
      <c r="K166" s="1067"/>
    </row>
    <row r="167" spans="1:11" x14ac:dyDescent="0.25">
      <c r="A167" s="1067" t="s">
        <v>851</v>
      </c>
      <c r="B167" s="1067" t="s">
        <v>33</v>
      </c>
      <c r="C167" s="1067" t="s">
        <v>308</v>
      </c>
      <c r="D167" s="1067">
        <v>123</v>
      </c>
      <c r="E167" s="1067"/>
      <c r="F167" s="1067"/>
      <c r="G167" s="1067"/>
      <c r="H167" s="1067"/>
      <c r="I167" s="1067"/>
      <c r="J167" s="1067"/>
      <c r="K167" s="1067"/>
    </row>
    <row r="168" spans="1:11" x14ac:dyDescent="0.25">
      <c r="A168" s="1067" t="s">
        <v>851</v>
      </c>
      <c r="B168" s="1067" t="s">
        <v>34</v>
      </c>
      <c r="C168" s="1067" t="s">
        <v>303</v>
      </c>
      <c r="D168" s="1067">
        <v>275</v>
      </c>
      <c r="E168" s="1067"/>
      <c r="F168" s="1067">
        <v>7</v>
      </c>
      <c r="G168" s="1067"/>
      <c r="H168" s="1067"/>
      <c r="I168" s="1067"/>
      <c r="J168" s="1067"/>
      <c r="K168" s="1067"/>
    </row>
    <row r="169" spans="1:11" x14ac:dyDescent="0.25">
      <c r="A169" s="1067" t="s">
        <v>851</v>
      </c>
      <c r="B169" s="1067" t="s">
        <v>258</v>
      </c>
      <c r="C169" s="1067" t="s">
        <v>304</v>
      </c>
      <c r="D169" s="1067">
        <v>631</v>
      </c>
      <c r="E169" s="1067"/>
      <c r="F169" s="1067">
        <v>17</v>
      </c>
      <c r="G169" s="1067"/>
      <c r="H169" s="1067"/>
      <c r="I169" s="1067"/>
      <c r="J169" s="1067">
        <v>1</v>
      </c>
      <c r="K169" s="1067"/>
    </row>
    <row r="170" spans="1:11" x14ac:dyDescent="0.25">
      <c r="A170" s="1067" t="s">
        <v>851</v>
      </c>
      <c r="B170" s="1067" t="s">
        <v>35</v>
      </c>
      <c r="C170" s="1067" t="s">
        <v>282</v>
      </c>
      <c r="D170" s="1067">
        <v>49</v>
      </c>
      <c r="E170" s="1067"/>
      <c r="F170" s="1067"/>
      <c r="G170" s="1067"/>
      <c r="H170" s="1067"/>
      <c r="I170" s="1067"/>
      <c r="J170" s="1067"/>
      <c r="K170" s="1067"/>
    </row>
    <row r="171" spans="1:11" x14ac:dyDescent="0.25">
      <c r="A171" s="1067" t="s">
        <v>851</v>
      </c>
      <c r="B171" s="1067" t="s">
        <v>36</v>
      </c>
      <c r="C171" s="1067" t="s">
        <v>283</v>
      </c>
      <c r="D171" s="1067">
        <v>427</v>
      </c>
      <c r="E171" s="1067"/>
      <c r="F171" s="1067">
        <v>8</v>
      </c>
      <c r="G171" s="1067"/>
      <c r="H171" s="1067"/>
      <c r="I171" s="1067"/>
      <c r="J171" s="1067"/>
      <c r="K171" s="1067"/>
    </row>
    <row r="172" spans="1:11" x14ac:dyDescent="0.25">
      <c r="A172" s="1067" t="s">
        <v>851</v>
      </c>
      <c r="B172" s="1067" t="s">
        <v>37</v>
      </c>
      <c r="C172" s="1067" t="s">
        <v>309</v>
      </c>
      <c r="D172" s="1067">
        <v>419</v>
      </c>
      <c r="E172" s="1067"/>
      <c r="F172" s="1067">
        <v>5</v>
      </c>
      <c r="G172" s="1067"/>
      <c r="H172" s="1067"/>
      <c r="I172" s="1067"/>
      <c r="J172" s="1067"/>
      <c r="K172" s="1067"/>
    </row>
    <row r="173" spans="1:11" x14ac:dyDescent="0.25">
      <c r="A173" s="1067" t="s">
        <v>851</v>
      </c>
      <c r="B173" s="1067" t="s">
        <v>38</v>
      </c>
      <c r="C173" s="1067" t="s">
        <v>284</v>
      </c>
      <c r="D173" s="1067">
        <v>105</v>
      </c>
      <c r="E173" s="1067"/>
      <c r="F173" s="1067">
        <v>5</v>
      </c>
      <c r="G173" s="1067"/>
      <c r="H173" s="1067"/>
      <c r="I173" s="1067"/>
      <c r="J173" s="1067"/>
      <c r="K173" s="1067"/>
    </row>
    <row r="174" spans="1:11" x14ac:dyDescent="0.25">
      <c r="A174" s="1067" t="s">
        <v>851</v>
      </c>
      <c r="B174" s="1067" t="s">
        <v>39</v>
      </c>
      <c r="C174" s="1067" t="s">
        <v>311</v>
      </c>
      <c r="D174" s="1067">
        <v>97</v>
      </c>
      <c r="E174" s="1067"/>
      <c r="F174" s="1067">
        <v>4</v>
      </c>
      <c r="G174" s="1067"/>
      <c r="H174" s="1067"/>
      <c r="I174" s="1067"/>
      <c r="J174" s="1067"/>
      <c r="K174" s="1067"/>
    </row>
    <row r="175" spans="1:11" x14ac:dyDescent="0.25">
      <c r="A175" s="1067" t="s">
        <v>851</v>
      </c>
      <c r="B175" s="1067" t="s">
        <v>40</v>
      </c>
      <c r="C175" s="1067" t="s">
        <v>285</v>
      </c>
      <c r="D175" s="1067">
        <v>76</v>
      </c>
      <c r="E175" s="1067"/>
      <c r="F175" s="1067">
        <v>2</v>
      </c>
      <c r="G175" s="1067"/>
      <c r="H175" s="1067"/>
      <c r="I175" s="1067"/>
      <c r="J175" s="1067"/>
      <c r="K175" s="1067"/>
    </row>
    <row r="176" spans="1:11" x14ac:dyDescent="0.25">
      <c r="A176" s="1067" t="s">
        <v>851</v>
      </c>
      <c r="B176" s="1067" t="s">
        <v>41</v>
      </c>
      <c r="C176" s="1067" t="s">
        <v>286</v>
      </c>
      <c r="D176" s="1067">
        <v>28</v>
      </c>
      <c r="E176" s="1067"/>
      <c r="F176" s="1067"/>
      <c r="G176" s="1067"/>
      <c r="H176" s="1067"/>
      <c r="I176" s="1067"/>
      <c r="J176" s="1067"/>
      <c r="K176" s="1067"/>
    </row>
    <row r="177" spans="1:11" x14ac:dyDescent="0.25">
      <c r="A177" s="1067" t="s">
        <v>851</v>
      </c>
      <c r="B177" s="1067" t="s">
        <v>42</v>
      </c>
      <c r="C177" s="1067" t="s">
        <v>288</v>
      </c>
      <c r="D177" s="1067">
        <v>144</v>
      </c>
      <c r="E177" s="1067"/>
      <c r="F177" s="1067">
        <v>6</v>
      </c>
      <c r="G177" s="1067"/>
      <c r="H177" s="1067"/>
      <c r="I177" s="1067"/>
      <c r="J177" s="1067"/>
      <c r="K177" s="1067"/>
    </row>
    <row r="178" spans="1:11" x14ac:dyDescent="0.25">
      <c r="A178" s="1067" t="s">
        <v>851</v>
      </c>
      <c r="B178" s="1067" t="s">
        <v>43</v>
      </c>
      <c r="C178" s="1067" t="s">
        <v>430</v>
      </c>
      <c r="D178" s="1067">
        <v>335</v>
      </c>
      <c r="E178" s="1067"/>
      <c r="F178" s="1067">
        <v>82</v>
      </c>
      <c r="G178" s="1067"/>
      <c r="H178" s="1067"/>
      <c r="I178" s="1067"/>
      <c r="J178" s="1067">
        <v>2</v>
      </c>
      <c r="K178" s="1067"/>
    </row>
    <row r="179" spans="1:11" x14ac:dyDescent="0.25">
      <c r="A179" s="1067" t="s">
        <v>851</v>
      </c>
      <c r="B179" s="1067" t="s">
        <v>121</v>
      </c>
      <c r="C179" s="1067" t="s">
        <v>312</v>
      </c>
      <c r="D179" s="1067">
        <v>896</v>
      </c>
      <c r="E179" s="1067"/>
      <c r="F179" s="1067">
        <v>142</v>
      </c>
      <c r="G179" s="1067"/>
      <c r="H179" s="1067"/>
      <c r="I179" s="1067"/>
      <c r="J179" s="1067">
        <v>3</v>
      </c>
      <c r="K179" s="1067"/>
    </row>
    <row r="180" spans="1:11" x14ac:dyDescent="0.25">
      <c r="A180" s="1067" t="s">
        <v>851</v>
      </c>
      <c r="B180" s="1067" t="s">
        <v>121</v>
      </c>
      <c r="C180" s="1067" t="s">
        <v>1076</v>
      </c>
      <c r="D180" s="1067">
        <v>1</v>
      </c>
      <c r="E180" s="1067"/>
      <c r="F180" s="1067"/>
      <c r="G180" s="1067"/>
      <c r="H180" s="1067"/>
      <c r="I180" s="1067"/>
      <c r="J180" s="1067"/>
      <c r="K180" s="1067"/>
    </row>
    <row r="181" spans="1:11" x14ac:dyDescent="0.25">
      <c r="A181" s="1067" t="s">
        <v>851</v>
      </c>
      <c r="B181" s="1067" t="s">
        <v>44</v>
      </c>
      <c r="C181" s="1067" t="s">
        <v>289</v>
      </c>
      <c r="D181" s="1067">
        <v>463</v>
      </c>
      <c r="E181" s="1067"/>
      <c r="F181" s="1067">
        <v>30</v>
      </c>
      <c r="G181" s="1067"/>
      <c r="H181" s="1067"/>
      <c r="I181" s="1067"/>
      <c r="J181" s="1067">
        <v>3</v>
      </c>
      <c r="K181" s="1067"/>
    </row>
    <row r="182" spans="1:11" x14ac:dyDescent="0.25">
      <c r="A182" s="1067" t="s">
        <v>851</v>
      </c>
      <c r="B182" s="1067" t="s">
        <v>45</v>
      </c>
      <c r="C182" s="1067" t="s">
        <v>290</v>
      </c>
      <c r="D182" s="1067">
        <v>51</v>
      </c>
      <c r="E182" s="1067"/>
      <c r="F182" s="1067">
        <v>3</v>
      </c>
      <c r="G182" s="1067"/>
      <c r="H182" s="1067"/>
      <c r="I182" s="1067"/>
      <c r="J182" s="1067"/>
      <c r="K182" s="1067"/>
    </row>
    <row r="183" spans="1:11" x14ac:dyDescent="0.25">
      <c r="A183" s="1067" t="s">
        <v>851</v>
      </c>
      <c r="B183" s="1067" t="s">
        <v>46</v>
      </c>
      <c r="C183" s="1067" t="s">
        <v>291</v>
      </c>
      <c r="D183" s="1067">
        <v>64</v>
      </c>
      <c r="E183" s="1067"/>
      <c r="F183" s="1067">
        <v>6</v>
      </c>
      <c r="G183" s="1067"/>
      <c r="H183" s="1067"/>
      <c r="I183" s="1067"/>
      <c r="J183" s="1067"/>
      <c r="K183" s="1067"/>
    </row>
    <row r="184" spans="1:11" x14ac:dyDescent="0.25">
      <c r="A184" s="1067" t="s">
        <v>851</v>
      </c>
      <c r="B184" s="1067" t="s">
        <v>47</v>
      </c>
      <c r="C184" s="1067" t="s">
        <v>292</v>
      </c>
      <c r="D184" s="1067">
        <v>91</v>
      </c>
      <c r="E184" s="1067"/>
      <c r="F184" s="1067">
        <v>9</v>
      </c>
      <c r="G184" s="1067"/>
      <c r="H184" s="1067"/>
      <c r="I184" s="1067"/>
      <c r="J184" s="1067">
        <v>1</v>
      </c>
      <c r="K184" s="1067"/>
    </row>
    <row r="185" spans="1:11" x14ac:dyDescent="0.25">
      <c r="A185" s="1067" t="s">
        <v>851</v>
      </c>
      <c r="B185" s="1067" t="s">
        <v>1070</v>
      </c>
      <c r="C185" s="1067" t="s">
        <v>1323</v>
      </c>
      <c r="D185" s="1067"/>
      <c r="E185" s="1067"/>
      <c r="F185" s="1067"/>
      <c r="G185" s="1067"/>
      <c r="H185" s="1067"/>
      <c r="I185" s="1067"/>
      <c r="J185" s="1067"/>
      <c r="K185" s="1067"/>
    </row>
    <row r="186" spans="1:11" x14ac:dyDescent="0.25">
      <c r="A186" s="1067" t="s">
        <v>851</v>
      </c>
      <c r="B186" s="1067" t="s">
        <v>49</v>
      </c>
      <c r="C186" s="1067" t="s">
        <v>293</v>
      </c>
      <c r="D186" s="1067">
        <v>145</v>
      </c>
      <c r="E186" s="1067"/>
      <c r="F186" s="1067">
        <v>3</v>
      </c>
      <c r="G186" s="1067"/>
      <c r="H186" s="1067"/>
      <c r="I186" s="1067"/>
      <c r="J186" s="1067"/>
      <c r="K186" s="1067"/>
    </row>
    <row r="187" spans="1:11" x14ac:dyDescent="0.25">
      <c r="A187" s="1067" t="s">
        <v>851</v>
      </c>
      <c r="B187" s="1067" t="s">
        <v>50</v>
      </c>
      <c r="C187" s="1067" t="s">
        <v>310</v>
      </c>
      <c r="D187" s="1067">
        <v>299</v>
      </c>
      <c r="E187" s="1067"/>
      <c r="F187" s="1067">
        <v>7</v>
      </c>
      <c r="G187" s="1067"/>
      <c r="H187" s="1067"/>
      <c r="I187" s="1067"/>
      <c r="J187" s="1067"/>
      <c r="K187" s="1067"/>
    </row>
    <row r="188" spans="1:11" x14ac:dyDescent="0.25">
      <c r="A188" s="1067" t="s">
        <v>851</v>
      </c>
      <c r="B188" s="1067" t="s">
        <v>51</v>
      </c>
      <c r="C188" s="1067" t="s">
        <v>294</v>
      </c>
      <c r="D188" s="1067">
        <v>23</v>
      </c>
      <c r="E188" s="1067"/>
      <c r="F188" s="1067"/>
      <c r="G188" s="1067"/>
      <c r="H188" s="1067"/>
      <c r="I188" s="1067"/>
      <c r="J188" s="1067"/>
      <c r="K188" s="1067"/>
    </row>
    <row r="189" spans="1:11" x14ac:dyDescent="0.25">
      <c r="A189" s="1067" t="s">
        <v>851</v>
      </c>
      <c r="B189" s="1067" t="s">
        <v>52</v>
      </c>
      <c r="C189" s="1067" t="s">
        <v>295</v>
      </c>
      <c r="D189" s="1067">
        <v>247</v>
      </c>
      <c r="E189" s="1067"/>
      <c r="F189" s="1067">
        <v>1</v>
      </c>
      <c r="G189" s="1067"/>
      <c r="H189" s="1067"/>
      <c r="I189" s="1067"/>
      <c r="J189" s="1067"/>
      <c r="K189" s="1067"/>
    </row>
    <row r="190" spans="1:11" x14ac:dyDescent="0.25">
      <c r="A190" s="1067" t="s">
        <v>851</v>
      </c>
      <c r="B190" s="1067" t="s">
        <v>53</v>
      </c>
      <c r="C190" s="1067" t="s">
        <v>305</v>
      </c>
      <c r="D190" s="1067">
        <v>140</v>
      </c>
      <c r="E190" s="1067"/>
      <c r="F190" s="1067">
        <v>9</v>
      </c>
      <c r="G190" s="1067"/>
      <c r="H190" s="1067"/>
      <c r="I190" s="1067"/>
      <c r="J190" s="1067"/>
      <c r="K190" s="1067"/>
    </row>
    <row r="191" spans="1:11" x14ac:dyDescent="0.25">
      <c r="A191" s="1067" t="s">
        <v>851</v>
      </c>
      <c r="B191" s="1067" t="s">
        <v>54</v>
      </c>
      <c r="C191" s="1067" t="s">
        <v>296</v>
      </c>
      <c r="D191" s="1067">
        <v>99</v>
      </c>
      <c r="E191" s="1067"/>
      <c r="F191" s="1067">
        <v>5</v>
      </c>
      <c r="G191" s="1067"/>
      <c r="H191" s="1067"/>
      <c r="I191" s="1067"/>
      <c r="J191" s="1067"/>
      <c r="K191" s="1067"/>
    </row>
    <row r="192" spans="1:11" x14ac:dyDescent="0.25">
      <c r="A192" s="1067" t="s">
        <v>851</v>
      </c>
      <c r="B192" s="1067" t="s">
        <v>55</v>
      </c>
      <c r="C192" s="1067" t="s">
        <v>297</v>
      </c>
      <c r="D192" s="1067">
        <v>11</v>
      </c>
      <c r="E192" s="1067"/>
      <c r="F192" s="1067"/>
      <c r="G192" s="1067"/>
      <c r="H192" s="1067"/>
      <c r="I192" s="1067"/>
      <c r="J192" s="1067"/>
      <c r="K192" s="1067"/>
    </row>
    <row r="193" spans="1:11" x14ac:dyDescent="0.25">
      <c r="A193" s="1067" t="s">
        <v>851</v>
      </c>
      <c r="B193" s="1067" t="s">
        <v>56</v>
      </c>
      <c r="C193" s="1067" t="s">
        <v>298</v>
      </c>
      <c r="D193" s="1067">
        <v>220</v>
      </c>
      <c r="E193" s="1067"/>
      <c r="F193" s="1067">
        <v>5</v>
      </c>
      <c r="G193" s="1067"/>
      <c r="H193" s="1067"/>
      <c r="I193" s="1067"/>
      <c r="J193" s="1067"/>
      <c r="K193" s="1067"/>
    </row>
    <row r="194" spans="1:11" x14ac:dyDescent="0.25">
      <c r="A194" s="1067" t="s">
        <v>851</v>
      </c>
      <c r="B194" s="1067" t="s">
        <v>57</v>
      </c>
      <c r="C194" s="1067" t="s">
        <v>299</v>
      </c>
      <c r="D194" s="1067">
        <v>154</v>
      </c>
      <c r="E194" s="1067"/>
      <c r="F194" s="1067">
        <v>5</v>
      </c>
      <c r="G194" s="1067"/>
      <c r="H194" s="1067"/>
      <c r="I194" s="1067"/>
      <c r="J194" s="1067"/>
      <c r="K194" s="1067"/>
    </row>
    <row r="195" spans="1:11" x14ac:dyDescent="0.25">
      <c r="A195" s="1067" t="s">
        <v>851</v>
      </c>
      <c r="B195" s="1067" t="s">
        <v>58</v>
      </c>
      <c r="C195" s="1067" t="s">
        <v>300</v>
      </c>
      <c r="D195" s="1067">
        <v>195</v>
      </c>
      <c r="E195" s="1067"/>
      <c r="F195" s="1067">
        <v>6</v>
      </c>
      <c r="G195" s="1067"/>
      <c r="H195" s="1067"/>
      <c r="I195" s="1067"/>
      <c r="J195" s="1067"/>
      <c r="K195" s="1067"/>
    </row>
    <row r="196" spans="1:11" x14ac:dyDescent="0.25">
      <c r="A196" s="1067" t="s">
        <v>851</v>
      </c>
      <c r="B196" s="1067" t="s">
        <v>59</v>
      </c>
      <c r="C196" s="1067" t="s">
        <v>306</v>
      </c>
      <c r="D196" s="1067">
        <v>125</v>
      </c>
      <c r="E196" s="1067"/>
      <c r="F196" s="1067">
        <v>3</v>
      </c>
      <c r="G196" s="1067"/>
      <c r="H196" s="1067"/>
      <c r="I196" s="1067"/>
      <c r="J196" s="1067"/>
      <c r="K196" s="1067"/>
    </row>
    <row r="197" spans="1:11" x14ac:dyDescent="0.25">
      <c r="A197" s="1067" t="s">
        <v>851</v>
      </c>
      <c r="B197" s="1067" t="s">
        <v>60</v>
      </c>
      <c r="C197" s="1067" t="s">
        <v>307</v>
      </c>
      <c r="D197" s="1067">
        <v>173</v>
      </c>
      <c r="E197" s="1067"/>
      <c r="F197" s="1067">
        <v>1</v>
      </c>
      <c r="G197" s="1067"/>
      <c r="H197" s="1067">
        <v>1</v>
      </c>
      <c r="I197" s="1067"/>
      <c r="J197" s="1067"/>
      <c r="K197" s="1067"/>
    </row>
  </sheetData>
  <sheetProtection algorithmName="SHA-512" hashValue="iUJQ65ViYkTQl2pMI5y+TtdDwgI0Dl/VbAR3gdUCbWLiS51e7LRTFITh7513otdllQiRy2/hDGE8JGprLPgweA==" saltValue="LyiR77Se9qWy6DuWUkxrMg==" spinCount="100000" sheet="1" scenarios="1" formatCells="0" formatColumns="0" formatRows="0" sort="0" autoFilter="0" pivotTables="0"/>
  <pageMargins left="0.7" right="0.7" top="0.75" bottom="0.75" header="0.3" footer="0.3"/>
  <pageSetup paperSize="9" fitToHeight="5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B3FF"/>
  </sheetPr>
  <dimension ref="A1:AG55"/>
  <sheetViews>
    <sheetView topLeftCell="F16" workbookViewId="0">
      <selection activeCell="J25" sqref="J25"/>
    </sheetView>
  </sheetViews>
  <sheetFormatPr defaultRowHeight="15" x14ac:dyDescent="0.25"/>
  <cols>
    <col min="1" max="1" width="14.42578125" customWidth="1"/>
    <col min="2" max="2" width="16.28515625" bestFit="1" customWidth="1"/>
    <col min="3" max="3" width="24.5703125" bestFit="1" customWidth="1"/>
    <col min="4" max="4" width="16.5703125" bestFit="1" customWidth="1"/>
    <col min="5" max="5" width="24.5703125" bestFit="1" customWidth="1"/>
    <col min="6" max="6" width="16.42578125" bestFit="1" customWidth="1"/>
    <col min="7" max="7" width="19.28515625" customWidth="1"/>
    <col min="8" max="8" width="10.140625" customWidth="1"/>
    <col min="9" max="9" width="16.5703125" bestFit="1" customWidth="1"/>
    <col min="10" max="10" width="16.42578125" bestFit="1" customWidth="1"/>
    <col min="11" max="11" width="19.28515625" bestFit="1" customWidth="1"/>
    <col min="12" max="12" width="10.140625" bestFit="1" customWidth="1"/>
    <col min="13" max="13" width="16.42578125" bestFit="1" customWidth="1"/>
    <col min="14" max="14" width="19.28515625" customWidth="1"/>
    <col min="15" max="15" width="10.140625" customWidth="1"/>
    <col min="16" max="16" width="11.28515625" bestFit="1" customWidth="1"/>
    <col min="17" max="17" width="10" customWidth="1"/>
    <col min="18" max="18" width="17.42578125" customWidth="1"/>
    <col min="19" max="19" width="27.5703125" customWidth="1"/>
    <col min="20" max="20" width="19.28515625" customWidth="1"/>
    <col min="21" max="21" width="10.140625" customWidth="1"/>
    <col min="22" max="22" width="25" customWidth="1"/>
    <col min="23" max="23" width="9.140625" bestFit="1" customWidth="1"/>
    <col min="24" max="24" width="11.28515625" bestFit="1" customWidth="1"/>
    <col min="25" max="25" width="10" customWidth="1"/>
    <col min="26" max="26" width="17.42578125" customWidth="1"/>
    <col min="27" max="27" width="27.5703125" customWidth="1"/>
    <col min="28" max="28" width="19.28515625" customWidth="1"/>
    <col min="29" max="29" width="10.140625" customWidth="1"/>
    <col min="30" max="30" width="25" customWidth="1"/>
    <col min="31" max="31" width="11.28515625" customWidth="1"/>
    <col min="32" max="32" width="27.5703125" customWidth="1"/>
    <col min="33" max="33" width="19.28515625" bestFit="1" customWidth="1"/>
    <col min="34" max="34" width="10.140625" bestFit="1" customWidth="1"/>
    <col min="35" max="35" width="25" bestFit="1" customWidth="1"/>
    <col min="36" max="36" width="13.140625" bestFit="1" customWidth="1"/>
    <col min="37" max="37" width="11.28515625" bestFit="1" customWidth="1"/>
  </cols>
  <sheetData>
    <row r="1" spans="1:33" x14ac:dyDescent="0.25">
      <c r="C1" t="s">
        <v>462</v>
      </c>
    </row>
    <row r="4" spans="1:33" x14ac:dyDescent="0.25">
      <c r="A4" s="565" t="s">
        <v>337</v>
      </c>
      <c r="B4" s="565" t="s">
        <v>271</v>
      </c>
    </row>
    <row r="5" spans="1:33" x14ac:dyDescent="0.25">
      <c r="B5" t="s">
        <v>464</v>
      </c>
      <c r="D5" t="s">
        <v>465</v>
      </c>
      <c r="I5" t="s">
        <v>335</v>
      </c>
      <c r="M5" t="s">
        <v>336</v>
      </c>
      <c r="P5" t="s">
        <v>251</v>
      </c>
    </row>
    <row r="6" spans="1:33" x14ac:dyDescent="0.25">
      <c r="A6" s="565" t="s">
        <v>246</v>
      </c>
      <c r="B6" t="s">
        <v>197</v>
      </c>
      <c r="C6" t="s">
        <v>215</v>
      </c>
      <c r="D6" t="s">
        <v>189</v>
      </c>
      <c r="E6" t="s">
        <v>215</v>
      </c>
      <c r="F6" t="s">
        <v>190</v>
      </c>
      <c r="G6" t="s">
        <v>122</v>
      </c>
      <c r="H6" t="s">
        <v>191</v>
      </c>
      <c r="I6" t="s">
        <v>189</v>
      </c>
      <c r="J6" t="s">
        <v>190</v>
      </c>
      <c r="K6" t="s">
        <v>122</v>
      </c>
      <c r="L6" t="s">
        <v>191</v>
      </c>
      <c r="M6" t="s">
        <v>190</v>
      </c>
      <c r="N6" t="s">
        <v>122</v>
      </c>
      <c r="O6" t="s">
        <v>191</v>
      </c>
    </row>
    <row r="7" spans="1:33" x14ac:dyDescent="0.25">
      <c r="A7" s="1068" t="s">
        <v>273</v>
      </c>
      <c r="B7" s="567">
        <v>777</v>
      </c>
      <c r="C7" s="567">
        <v>11</v>
      </c>
      <c r="D7" s="567">
        <v>26</v>
      </c>
      <c r="E7" s="567"/>
      <c r="F7" s="567">
        <v>145</v>
      </c>
      <c r="G7" s="567">
        <v>418</v>
      </c>
      <c r="H7" s="567">
        <v>43</v>
      </c>
      <c r="I7" s="567">
        <v>2</v>
      </c>
      <c r="J7" s="567">
        <v>10</v>
      </c>
      <c r="K7" s="567">
        <v>51</v>
      </c>
      <c r="L7" s="567">
        <v>2</v>
      </c>
      <c r="M7" s="567">
        <v>18</v>
      </c>
      <c r="N7" s="567">
        <v>36</v>
      </c>
      <c r="O7" s="567">
        <v>8</v>
      </c>
      <c r="P7" s="567">
        <v>1547</v>
      </c>
      <c r="AG7" s="567"/>
    </row>
    <row r="8" spans="1:33" x14ac:dyDescent="0.25">
      <c r="A8" s="1068" t="s">
        <v>255</v>
      </c>
      <c r="B8" s="567">
        <v>602</v>
      </c>
      <c r="C8" s="567">
        <v>39</v>
      </c>
      <c r="D8" s="567">
        <v>25</v>
      </c>
      <c r="E8" s="567">
        <v>95</v>
      </c>
      <c r="F8" s="567">
        <v>147</v>
      </c>
      <c r="G8" s="567">
        <v>417</v>
      </c>
      <c r="H8" s="567">
        <v>43</v>
      </c>
      <c r="I8" s="567">
        <v>3</v>
      </c>
      <c r="J8" s="567">
        <v>11</v>
      </c>
      <c r="K8" s="567">
        <v>59</v>
      </c>
      <c r="L8" s="567">
        <v>1</v>
      </c>
      <c r="M8" s="567">
        <v>24</v>
      </c>
      <c r="N8" s="567">
        <v>30</v>
      </c>
      <c r="O8" s="567">
        <v>10</v>
      </c>
      <c r="P8" s="567">
        <v>1506</v>
      </c>
      <c r="AG8" s="567"/>
    </row>
    <row r="9" spans="1:33" x14ac:dyDescent="0.25">
      <c r="A9" s="1068" t="s">
        <v>254</v>
      </c>
      <c r="B9" s="567">
        <v>509</v>
      </c>
      <c r="C9" s="567">
        <v>23</v>
      </c>
      <c r="D9" s="567">
        <v>28</v>
      </c>
      <c r="E9" s="567">
        <v>198</v>
      </c>
      <c r="F9" s="567">
        <v>165</v>
      </c>
      <c r="G9" s="567">
        <v>431</v>
      </c>
      <c r="H9" s="567">
        <v>42</v>
      </c>
      <c r="I9" s="567">
        <v>4</v>
      </c>
      <c r="J9" s="567">
        <v>16</v>
      </c>
      <c r="K9" s="567">
        <v>69</v>
      </c>
      <c r="L9" s="567">
        <v>1</v>
      </c>
      <c r="M9" s="567">
        <v>22</v>
      </c>
      <c r="N9" s="567">
        <v>33</v>
      </c>
      <c r="O9" s="567">
        <v>10</v>
      </c>
      <c r="P9" s="567">
        <v>1551</v>
      </c>
      <c r="AG9" s="567"/>
    </row>
    <row r="10" spans="1:33" x14ac:dyDescent="0.25">
      <c r="A10" s="1068" t="s">
        <v>851</v>
      </c>
      <c r="B10" s="567">
        <v>443</v>
      </c>
      <c r="C10" s="567">
        <v>27</v>
      </c>
      <c r="D10" s="567">
        <v>26</v>
      </c>
      <c r="E10" s="567">
        <v>285</v>
      </c>
      <c r="F10" s="567">
        <v>169</v>
      </c>
      <c r="G10" s="567">
        <v>421</v>
      </c>
      <c r="H10" s="567">
        <v>39</v>
      </c>
      <c r="I10" s="567">
        <v>3</v>
      </c>
      <c r="J10" s="567">
        <v>13</v>
      </c>
      <c r="K10" s="567">
        <v>70</v>
      </c>
      <c r="L10" s="567"/>
      <c r="M10" s="567">
        <v>21</v>
      </c>
      <c r="N10" s="567">
        <v>43</v>
      </c>
      <c r="O10" s="567">
        <v>7</v>
      </c>
      <c r="P10" s="567">
        <v>1567</v>
      </c>
      <c r="AG10" s="567"/>
    </row>
    <row r="17" spans="1:24" x14ac:dyDescent="0.25">
      <c r="C17" t="s">
        <v>463</v>
      </c>
    </row>
    <row r="20" spans="1:24" x14ac:dyDescent="0.25">
      <c r="A20" s="565" t="s">
        <v>362</v>
      </c>
      <c r="B20" s="565" t="s">
        <v>271</v>
      </c>
    </row>
    <row r="21" spans="1:24" x14ac:dyDescent="0.25">
      <c r="B21" t="s">
        <v>464</v>
      </c>
      <c r="C21" t="s">
        <v>465</v>
      </c>
      <c r="J21" t="s">
        <v>335</v>
      </c>
      <c r="Q21" t="s">
        <v>336</v>
      </c>
      <c r="W21" t="s">
        <v>314</v>
      </c>
      <c r="X21" t="s">
        <v>251</v>
      </c>
    </row>
    <row r="22" spans="1:24" x14ac:dyDescent="0.25">
      <c r="A22" s="565" t="s">
        <v>246</v>
      </c>
      <c r="B22" t="s">
        <v>455</v>
      </c>
      <c r="C22" t="s">
        <v>454</v>
      </c>
      <c r="D22" t="s">
        <v>214</v>
      </c>
      <c r="E22" t="s">
        <v>456</v>
      </c>
      <c r="F22" t="s">
        <v>457</v>
      </c>
      <c r="G22" t="s">
        <v>122</v>
      </c>
      <c r="H22" t="s">
        <v>191</v>
      </c>
      <c r="I22" t="s">
        <v>199</v>
      </c>
      <c r="J22" t="s">
        <v>454</v>
      </c>
      <c r="K22" t="s">
        <v>214</v>
      </c>
      <c r="L22" t="s">
        <v>456</v>
      </c>
      <c r="M22" t="s">
        <v>457</v>
      </c>
      <c r="N22" t="s">
        <v>122</v>
      </c>
      <c r="O22" t="s">
        <v>191</v>
      </c>
      <c r="P22" t="s">
        <v>199</v>
      </c>
      <c r="Q22" t="s">
        <v>214</v>
      </c>
      <c r="R22" t="s">
        <v>456</v>
      </c>
      <c r="S22" t="s">
        <v>457</v>
      </c>
      <c r="T22" t="s">
        <v>122</v>
      </c>
      <c r="U22" t="s">
        <v>191</v>
      </c>
      <c r="V22" t="s">
        <v>199</v>
      </c>
      <c r="W22" t="s">
        <v>314</v>
      </c>
    </row>
    <row r="23" spans="1:24" x14ac:dyDescent="0.25">
      <c r="A23" s="1068" t="s">
        <v>273</v>
      </c>
      <c r="B23" s="567">
        <v>787</v>
      </c>
      <c r="C23" s="567">
        <v>26</v>
      </c>
      <c r="D23" s="567">
        <v>26</v>
      </c>
      <c r="E23" s="567">
        <v>68</v>
      </c>
      <c r="F23" s="567">
        <v>17</v>
      </c>
      <c r="G23" s="567">
        <v>418</v>
      </c>
      <c r="H23" s="567">
        <v>43</v>
      </c>
      <c r="I23" s="567">
        <v>34</v>
      </c>
      <c r="J23" s="567">
        <v>2</v>
      </c>
      <c r="K23" s="567">
        <v>3</v>
      </c>
      <c r="L23" s="567">
        <v>5</v>
      </c>
      <c r="M23" s="567"/>
      <c r="N23" s="567">
        <v>51</v>
      </c>
      <c r="O23" s="567">
        <v>2</v>
      </c>
      <c r="P23" s="567">
        <v>2</v>
      </c>
      <c r="Q23" s="567">
        <v>8</v>
      </c>
      <c r="R23" s="567">
        <v>10</v>
      </c>
      <c r="S23" s="567"/>
      <c r="T23" s="567">
        <v>36</v>
      </c>
      <c r="U23" s="567">
        <v>8</v>
      </c>
      <c r="V23" s="567"/>
      <c r="W23" s="567"/>
      <c r="X23" s="567">
        <v>1546</v>
      </c>
    </row>
    <row r="24" spans="1:24" x14ac:dyDescent="0.25">
      <c r="A24" s="1068" t="s">
        <v>255</v>
      </c>
      <c r="B24" s="567">
        <v>735</v>
      </c>
      <c r="C24" s="567">
        <v>25</v>
      </c>
      <c r="D24" s="567">
        <v>27</v>
      </c>
      <c r="E24" s="567">
        <v>59</v>
      </c>
      <c r="F24" s="567">
        <v>20</v>
      </c>
      <c r="G24" s="567">
        <v>417</v>
      </c>
      <c r="H24" s="567">
        <v>43</v>
      </c>
      <c r="I24" s="567">
        <v>41</v>
      </c>
      <c r="J24" s="567">
        <v>3</v>
      </c>
      <c r="K24" s="567">
        <v>3</v>
      </c>
      <c r="L24" s="567">
        <v>5</v>
      </c>
      <c r="M24" s="567"/>
      <c r="N24" s="567">
        <v>59</v>
      </c>
      <c r="O24" s="567">
        <v>1</v>
      </c>
      <c r="P24" s="567">
        <v>3</v>
      </c>
      <c r="Q24" s="567">
        <v>8</v>
      </c>
      <c r="R24" s="567">
        <v>14</v>
      </c>
      <c r="S24" s="567">
        <v>1</v>
      </c>
      <c r="T24" s="567">
        <v>30</v>
      </c>
      <c r="U24" s="567">
        <v>10</v>
      </c>
      <c r="V24" s="567">
        <v>1</v>
      </c>
      <c r="W24" s="567"/>
      <c r="X24" s="567">
        <v>1505</v>
      </c>
    </row>
    <row r="25" spans="1:24" x14ac:dyDescent="0.25">
      <c r="A25" s="1068" t="s">
        <v>254</v>
      </c>
      <c r="B25" s="567">
        <v>729</v>
      </c>
      <c r="C25" s="567">
        <v>28</v>
      </c>
      <c r="D25" s="567">
        <v>39</v>
      </c>
      <c r="E25" s="567">
        <v>62</v>
      </c>
      <c r="F25" s="567">
        <v>25</v>
      </c>
      <c r="G25" s="567">
        <v>431</v>
      </c>
      <c r="H25" s="567">
        <v>42</v>
      </c>
      <c r="I25" s="567">
        <v>39</v>
      </c>
      <c r="J25" s="567">
        <v>4</v>
      </c>
      <c r="K25" s="567">
        <v>4</v>
      </c>
      <c r="L25" s="567">
        <v>7</v>
      </c>
      <c r="M25" s="567">
        <v>1</v>
      </c>
      <c r="N25" s="567">
        <v>69</v>
      </c>
      <c r="O25" s="567">
        <v>1</v>
      </c>
      <c r="P25" s="567">
        <v>4</v>
      </c>
      <c r="Q25" s="567">
        <v>8</v>
      </c>
      <c r="R25" s="567">
        <v>12</v>
      </c>
      <c r="S25" s="567">
        <v>1</v>
      </c>
      <c r="T25" s="567">
        <v>33</v>
      </c>
      <c r="U25" s="567">
        <v>10</v>
      </c>
      <c r="V25" s="567">
        <v>1</v>
      </c>
      <c r="W25" s="567"/>
      <c r="X25" s="567">
        <v>1550</v>
      </c>
    </row>
    <row r="26" spans="1:24" x14ac:dyDescent="0.25">
      <c r="A26" s="1068" t="s">
        <v>851</v>
      </c>
      <c r="B26" s="567">
        <v>754</v>
      </c>
      <c r="C26" s="567">
        <v>26</v>
      </c>
      <c r="D26" s="567">
        <v>41</v>
      </c>
      <c r="E26" s="567">
        <v>63</v>
      </c>
      <c r="F26" s="567">
        <v>29</v>
      </c>
      <c r="G26" s="567">
        <v>421</v>
      </c>
      <c r="H26" s="567">
        <v>39</v>
      </c>
      <c r="I26" s="567">
        <v>36</v>
      </c>
      <c r="J26" s="567">
        <v>3</v>
      </c>
      <c r="K26" s="567">
        <v>5</v>
      </c>
      <c r="L26" s="567">
        <v>5</v>
      </c>
      <c r="M26" s="567"/>
      <c r="N26" s="567">
        <v>70</v>
      </c>
      <c r="O26" s="567"/>
      <c r="P26" s="567">
        <v>3</v>
      </c>
      <c r="Q26" s="567">
        <v>8</v>
      </c>
      <c r="R26" s="567">
        <v>11</v>
      </c>
      <c r="S26" s="567">
        <v>1</v>
      </c>
      <c r="T26" s="567">
        <v>43</v>
      </c>
      <c r="U26" s="567">
        <v>7</v>
      </c>
      <c r="V26" s="567">
        <v>1</v>
      </c>
      <c r="W26" s="567"/>
      <c r="X26" s="567">
        <v>1566</v>
      </c>
    </row>
    <row r="27" spans="1:24" x14ac:dyDescent="0.25">
      <c r="A27" s="1068" t="s">
        <v>314</v>
      </c>
      <c r="B27" s="567"/>
      <c r="C27" s="567"/>
      <c r="D27" s="567"/>
      <c r="E27" s="567"/>
      <c r="F27" s="567"/>
      <c r="G27" s="567"/>
      <c r="H27" s="567"/>
      <c r="I27" s="567"/>
      <c r="J27" s="567"/>
      <c r="K27" s="567"/>
      <c r="L27" s="567"/>
      <c r="M27" s="567"/>
      <c r="N27" s="567"/>
      <c r="O27" s="567"/>
      <c r="P27" s="567"/>
      <c r="Q27" s="567"/>
      <c r="R27" s="567"/>
      <c r="S27" s="567"/>
      <c r="T27" s="567"/>
      <c r="U27" s="567"/>
      <c r="V27" s="567"/>
      <c r="W27" s="567"/>
      <c r="X27" s="567"/>
    </row>
    <row r="51" spans="4:5" x14ac:dyDescent="0.25">
      <c r="D51" s="567"/>
      <c r="E51" s="567"/>
    </row>
    <row r="52" spans="4:5" x14ac:dyDescent="0.25">
      <c r="D52" s="567"/>
      <c r="E52" s="567"/>
    </row>
    <row r="53" spans="4:5" x14ac:dyDescent="0.25">
      <c r="D53" s="567"/>
      <c r="E53" s="567"/>
    </row>
    <row r="54" spans="4:5" x14ac:dyDescent="0.25">
      <c r="D54" s="567"/>
      <c r="E54" s="567"/>
    </row>
    <row r="55" spans="4:5" x14ac:dyDescent="0.25">
      <c r="D55" s="567"/>
      <c r="E55" s="567"/>
    </row>
  </sheetData>
  <sheetProtection algorithmName="SHA-512" hashValue="N8KTiklsIZt2KPSFYIvhSMLo1rDubIWJe1DWr7asTWQ9VQhOXMyVAwQfIrJHqSv+L19C9mux/AlXJ26KF9AyaA==" saltValue="dg7beeYPhu+ewvcK3j9yXg==" spinCount="100000" sheet="1" scenarios="1" formatCells="0" formatColumns="0" formatRows="0" sort="0" autoFilter="0" pivotTables="0"/>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C197"/>
  <sheetViews>
    <sheetView zoomScale="85" zoomScaleNormal="85" workbookViewId="0">
      <pane ySplit="4" topLeftCell="A5" activePane="bottomLeft" state="frozen"/>
      <selection pane="bottomLeft"/>
    </sheetView>
  </sheetViews>
  <sheetFormatPr defaultRowHeight="15" x14ac:dyDescent="0.25"/>
  <sheetData>
    <row r="4" spans="1:3" x14ac:dyDescent="0.25">
      <c r="A4" s="1066" t="s">
        <v>329</v>
      </c>
      <c r="B4" s="1066" t="s">
        <v>928</v>
      </c>
      <c r="C4" s="1066" t="s">
        <v>1324</v>
      </c>
    </row>
    <row r="5" spans="1:3" x14ac:dyDescent="0.25">
      <c r="A5" s="1067" t="s">
        <v>203</v>
      </c>
      <c r="B5" s="1067" t="s">
        <v>121</v>
      </c>
      <c r="C5" s="1067">
        <v>1122</v>
      </c>
    </row>
    <row r="6" spans="1:3" x14ac:dyDescent="0.25">
      <c r="A6" s="1067" t="s">
        <v>203</v>
      </c>
      <c r="B6" s="1067" t="s">
        <v>258</v>
      </c>
      <c r="C6" s="1067">
        <v>956</v>
      </c>
    </row>
    <row r="7" spans="1:3" x14ac:dyDescent="0.25">
      <c r="A7" s="1067" t="s">
        <v>203</v>
      </c>
      <c r="B7" s="1067" t="s">
        <v>43</v>
      </c>
      <c r="C7" s="1067">
        <v>498</v>
      </c>
    </row>
    <row r="8" spans="1:3" x14ac:dyDescent="0.25">
      <c r="A8" s="1067" t="s">
        <v>203</v>
      </c>
      <c r="B8" s="1067" t="s">
        <v>37</v>
      </c>
      <c r="C8" s="1067">
        <v>460</v>
      </c>
    </row>
    <row r="9" spans="1:3" x14ac:dyDescent="0.25">
      <c r="A9" s="1067" t="s">
        <v>203</v>
      </c>
      <c r="B9" s="1067" t="s">
        <v>54</v>
      </c>
      <c r="C9" s="1067">
        <v>381</v>
      </c>
    </row>
    <row r="10" spans="1:3" x14ac:dyDescent="0.25">
      <c r="A10" s="1067" t="s">
        <v>203</v>
      </c>
      <c r="B10" s="1067" t="s">
        <v>31</v>
      </c>
      <c r="C10" s="1067">
        <v>369</v>
      </c>
    </row>
    <row r="11" spans="1:3" x14ac:dyDescent="0.25">
      <c r="A11" s="1067" t="s">
        <v>203</v>
      </c>
      <c r="B11" s="1067" t="s">
        <v>50</v>
      </c>
      <c r="C11" s="1067">
        <v>301</v>
      </c>
    </row>
    <row r="12" spans="1:3" x14ac:dyDescent="0.25">
      <c r="A12" s="1067" t="s">
        <v>203</v>
      </c>
      <c r="B12" s="1067" t="s">
        <v>57</v>
      </c>
      <c r="C12" s="1067">
        <v>286</v>
      </c>
    </row>
    <row r="13" spans="1:3" x14ac:dyDescent="0.25">
      <c r="A13" s="1067" t="s">
        <v>203</v>
      </c>
      <c r="B13" s="1067" t="s">
        <v>44</v>
      </c>
      <c r="C13" s="1067">
        <v>276</v>
      </c>
    </row>
    <row r="14" spans="1:3" x14ac:dyDescent="0.25">
      <c r="A14" s="1067" t="s">
        <v>203</v>
      </c>
      <c r="B14" s="1067" t="s">
        <v>32</v>
      </c>
      <c r="C14" s="1067">
        <v>267</v>
      </c>
    </row>
    <row r="15" spans="1:3" x14ac:dyDescent="0.25">
      <c r="A15" s="1067" t="s">
        <v>203</v>
      </c>
      <c r="B15" s="1067" t="s">
        <v>34</v>
      </c>
      <c r="C15" s="1067">
        <v>253</v>
      </c>
    </row>
    <row r="16" spans="1:3" x14ac:dyDescent="0.25">
      <c r="A16" s="1067" t="s">
        <v>203</v>
      </c>
      <c r="B16" s="1067" t="s">
        <v>56</v>
      </c>
      <c r="C16" s="1067">
        <v>247</v>
      </c>
    </row>
    <row r="17" spans="1:3" x14ac:dyDescent="0.25">
      <c r="A17" s="1067" t="s">
        <v>203</v>
      </c>
      <c r="B17" s="1067" t="s">
        <v>52</v>
      </c>
      <c r="C17" s="1067">
        <v>247</v>
      </c>
    </row>
    <row r="18" spans="1:3" x14ac:dyDescent="0.25">
      <c r="A18" s="1067" t="s">
        <v>203</v>
      </c>
      <c r="B18" s="1067" t="s">
        <v>42</v>
      </c>
      <c r="C18" s="1067">
        <v>243</v>
      </c>
    </row>
    <row r="19" spans="1:3" x14ac:dyDescent="0.25">
      <c r="A19" s="1067" t="s">
        <v>203</v>
      </c>
      <c r="B19" s="1067" t="s">
        <v>60</v>
      </c>
      <c r="C19" s="1067">
        <v>238</v>
      </c>
    </row>
    <row r="20" spans="1:3" x14ac:dyDescent="0.25">
      <c r="A20" s="1067" t="s">
        <v>203</v>
      </c>
      <c r="B20" s="1067" t="s">
        <v>58</v>
      </c>
      <c r="C20" s="1067">
        <v>217</v>
      </c>
    </row>
    <row r="21" spans="1:3" x14ac:dyDescent="0.25">
      <c r="A21" s="1067" t="s">
        <v>203</v>
      </c>
      <c r="B21" s="1067" t="s">
        <v>53</v>
      </c>
      <c r="C21" s="1067">
        <v>215</v>
      </c>
    </row>
    <row r="22" spans="1:3" x14ac:dyDescent="0.25">
      <c r="A22" s="1067" t="s">
        <v>203</v>
      </c>
      <c r="B22" s="1067" t="s">
        <v>36</v>
      </c>
      <c r="C22" s="1067">
        <v>213</v>
      </c>
    </row>
    <row r="23" spans="1:3" x14ac:dyDescent="0.25">
      <c r="A23" s="1067" t="s">
        <v>203</v>
      </c>
      <c r="B23" s="1067" t="s">
        <v>33</v>
      </c>
      <c r="C23" s="1067">
        <v>206</v>
      </c>
    </row>
    <row r="24" spans="1:3" x14ac:dyDescent="0.25">
      <c r="A24" s="1067" t="s">
        <v>203</v>
      </c>
      <c r="B24" s="1067" t="s">
        <v>38</v>
      </c>
      <c r="C24" s="1067">
        <v>153</v>
      </c>
    </row>
    <row r="25" spans="1:3" x14ac:dyDescent="0.25">
      <c r="A25" s="1067" t="s">
        <v>203</v>
      </c>
      <c r="B25" s="1067" t="s">
        <v>45</v>
      </c>
      <c r="C25" s="1067">
        <v>147</v>
      </c>
    </row>
    <row r="26" spans="1:3" x14ac:dyDescent="0.25">
      <c r="A26" s="1067" t="s">
        <v>203</v>
      </c>
      <c r="B26" s="1067" t="s">
        <v>46</v>
      </c>
      <c r="C26" s="1067">
        <v>126</v>
      </c>
    </row>
    <row r="27" spans="1:3" x14ac:dyDescent="0.25">
      <c r="A27" s="1067" t="s">
        <v>203</v>
      </c>
      <c r="B27" s="1067" t="s">
        <v>41</v>
      </c>
      <c r="C27" s="1067">
        <v>119</v>
      </c>
    </row>
    <row r="28" spans="1:3" x14ac:dyDescent="0.25">
      <c r="A28" s="1067" t="s">
        <v>203</v>
      </c>
      <c r="B28" s="1067" t="s">
        <v>47</v>
      </c>
      <c r="C28" s="1067">
        <v>114</v>
      </c>
    </row>
    <row r="29" spans="1:3" x14ac:dyDescent="0.25">
      <c r="A29" s="1067" t="s">
        <v>203</v>
      </c>
      <c r="B29" s="1067" t="s">
        <v>49</v>
      </c>
      <c r="C29" s="1067">
        <v>109</v>
      </c>
    </row>
    <row r="30" spans="1:3" x14ac:dyDescent="0.25">
      <c r="A30" s="1067" t="s">
        <v>203</v>
      </c>
      <c r="B30" s="1067" t="s">
        <v>40</v>
      </c>
      <c r="C30" s="1067">
        <v>102</v>
      </c>
    </row>
    <row r="31" spans="1:3" x14ac:dyDescent="0.25">
      <c r="A31" s="1067" t="s">
        <v>203</v>
      </c>
      <c r="B31" s="1067" t="s">
        <v>39</v>
      </c>
      <c r="C31" s="1067">
        <v>54</v>
      </c>
    </row>
    <row r="32" spans="1:3" x14ac:dyDescent="0.25">
      <c r="A32" s="1067" t="s">
        <v>203</v>
      </c>
      <c r="B32" s="1067" t="s">
        <v>35</v>
      </c>
      <c r="C32" s="1067">
        <v>44</v>
      </c>
    </row>
    <row r="33" spans="1:3" x14ac:dyDescent="0.25">
      <c r="A33" s="1067" t="s">
        <v>203</v>
      </c>
      <c r="B33" s="1067" t="s">
        <v>48</v>
      </c>
      <c r="C33" s="1067">
        <v>19</v>
      </c>
    </row>
    <row r="34" spans="1:3" x14ac:dyDescent="0.25">
      <c r="A34" s="1067" t="s">
        <v>203</v>
      </c>
      <c r="B34" s="1067" t="s">
        <v>59</v>
      </c>
      <c r="C34" s="1067"/>
    </row>
    <row r="35" spans="1:3" x14ac:dyDescent="0.25">
      <c r="A35" s="1067" t="s">
        <v>203</v>
      </c>
      <c r="B35" s="1067" t="s">
        <v>51</v>
      </c>
      <c r="C35" s="1067"/>
    </row>
    <row r="36" spans="1:3" x14ac:dyDescent="0.25">
      <c r="A36" s="1067" t="s">
        <v>203</v>
      </c>
      <c r="B36" s="1067" t="s">
        <v>55</v>
      </c>
      <c r="C36" s="1067"/>
    </row>
    <row r="37" spans="1:3" x14ac:dyDescent="0.25">
      <c r="A37" s="1067" t="s">
        <v>202</v>
      </c>
      <c r="B37" s="1067" t="s">
        <v>121</v>
      </c>
      <c r="C37" s="1067">
        <v>1956</v>
      </c>
    </row>
    <row r="38" spans="1:3" x14ac:dyDescent="0.25">
      <c r="A38" s="1067" t="s">
        <v>202</v>
      </c>
      <c r="B38" s="1067" t="s">
        <v>258</v>
      </c>
      <c r="C38" s="1067">
        <v>857</v>
      </c>
    </row>
    <row r="39" spans="1:3" x14ac:dyDescent="0.25">
      <c r="A39" s="1067" t="s">
        <v>202</v>
      </c>
      <c r="B39" s="1067" t="s">
        <v>43</v>
      </c>
      <c r="C39" s="1067">
        <v>618</v>
      </c>
    </row>
    <row r="40" spans="1:3" x14ac:dyDescent="0.25">
      <c r="A40" s="1067" t="s">
        <v>202</v>
      </c>
      <c r="B40" s="1067" t="s">
        <v>37</v>
      </c>
      <c r="C40" s="1067">
        <v>598</v>
      </c>
    </row>
    <row r="41" spans="1:3" x14ac:dyDescent="0.25">
      <c r="A41" s="1067" t="s">
        <v>202</v>
      </c>
      <c r="B41" s="1067" t="s">
        <v>50</v>
      </c>
      <c r="C41" s="1067">
        <v>554</v>
      </c>
    </row>
    <row r="42" spans="1:3" x14ac:dyDescent="0.25">
      <c r="A42" s="1067" t="s">
        <v>202</v>
      </c>
      <c r="B42" s="1067" t="s">
        <v>32</v>
      </c>
      <c r="C42" s="1067">
        <v>373</v>
      </c>
    </row>
    <row r="43" spans="1:3" x14ac:dyDescent="0.25">
      <c r="A43" s="1067" t="s">
        <v>202</v>
      </c>
      <c r="B43" s="1067" t="s">
        <v>34</v>
      </c>
      <c r="C43" s="1067">
        <v>341</v>
      </c>
    </row>
    <row r="44" spans="1:3" x14ac:dyDescent="0.25">
      <c r="A44" s="1067" t="s">
        <v>202</v>
      </c>
      <c r="B44" s="1067" t="s">
        <v>58</v>
      </c>
      <c r="C44" s="1067">
        <v>340</v>
      </c>
    </row>
    <row r="45" spans="1:3" x14ac:dyDescent="0.25">
      <c r="A45" s="1067" t="s">
        <v>202</v>
      </c>
      <c r="B45" s="1067" t="s">
        <v>44</v>
      </c>
      <c r="C45" s="1067">
        <v>336</v>
      </c>
    </row>
    <row r="46" spans="1:3" x14ac:dyDescent="0.25">
      <c r="A46" s="1067" t="s">
        <v>202</v>
      </c>
      <c r="B46" s="1067" t="s">
        <v>31</v>
      </c>
      <c r="C46" s="1067">
        <v>315</v>
      </c>
    </row>
    <row r="47" spans="1:3" x14ac:dyDescent="0.25">
      <c r="A47" s="1067" t="s">
        <v>202</v>
      </c>
      <c r="B47" s="1067" t="s">
        <v>36</v>
      </c>
      <c r="C47" s="1067">
        <v>296</v>
      </c>
    </row>
    <row r="48" spans="1:3" x14ac:dyDescent="0.25">
      <c r="A48" s="1067" t="s">
        <v>202</v>
      </c>
      <c r="B48" s="1067" t="s">
        <v>54</v>
      </c>
      <c r="C48" s="1067">
        <v>290</v>
      </c>
    </row>
    <row r="49" spans="1:3" x14ac:dyDescent="0.25">
      <c r="A49" s="1067" t="s">
        <v>202</v>
      </c>
      <c r="B49" s="1067" t="s">
        <v>56</v>
      </c>
      <c r="C49" s="1067">
        <v>288</v>
      </c>
    </row>
    <row r="50" spans="1:3" x14ac:dyDescent="0.25">
      <c r="A50" s="1067" t="s">
        <v>202</v>
      </c>
      <c r="B50" s="1067" t="s">
        <v>52</v>
      </c>
      <c r="C50" s="1067">
        <v>270</v>
      </c>
    </row>
    <row r="51" spans="1:3" x14ac:dyDescent="0.25">
      <c r="A51" s="1067" t="s">
        <v>202</v>
      </c>
      <c r="B51" s="1067" t="s">
        <v>49</v>
      </c>
      <c r="C51" s="1067">
        <v>263</v>
      </c>
    </row>
    <row r="52" spans="1:3" x14ac:dyDescent="0.25">
      <c r="A52" s="1067" t="s">
        <v>202</v>
      </c>
      <c r="B52" s="1067" t="s">
        <v>57</v>
      </c>
      <c r="C52" s="1067">
        <v>250</v>
      </c>
    </row>
    <row r="53" spans="1:3" x14ac:dyDescent="0.25">
      <c r="A53" s="1067" t="s">
        <v>202</v>
      </c>
      <c r="B53" s="1067" t="s">
        <v>59</v>
      </c>
      <c r="C53" s="1067">
        <v>220</v>
      </c>
    </row>
    <row r="54" spans="1:3" x14ac:dyDescent="0.25">
      <c r="A54" s="1067" t="s">
        <v>202</v>
      </c>
      <c r="B54" s="1067" t="s">
        <v>47</v>
      </c>
      <c r="C54" s="1067">
        <v>193</v>
      </c>
    </row>
    <row r="55" spans="1:3" x14ac:dyDescent="0.25">
      <c r="A55" s="1067" t="s">
        <v>202</v>
      </c>
      <c r="B55" s="1067" t="s">
        <v>60</v>
      </c>
      <c r="C55" s="1067">
        <v>176</v>
      </c>
    </row>
    <row r="56" spans="1:3" x14ac:dyDescent="0.25">
      <c r="A56" s="1067" t="s">
        <v>202</v>
      </c>
      <c r="B56" s="1067" t="s">
        <v>33</v>
      </c>
      <c r="C56" s="1067">
        <v>174</v>
      </c>
    </row>
    <row r="57" spans="1:3" x14ac:dyDescent="0.25">
      <c r="A57" s="1067" t="s">
        <v>202</v>
      </c>
      <c r="B57" s="1067" t="s">
        <v>42</v>
      </c>
      <c r="C57" s="1067">
        <v>160</v>
      </c>
    </row>
    <row r="58" spans="1:3" x14ac:dyDescent="0.25">
      <c r="A58" s="1067" t="s">
        <v>202</v>
      </c>
      <c r="B58" s="1067" t="s">
        <v>40</v>
      </c>
      <c r="C58" s="1067">
        <v>156</v>
      </c>
    </row>
    <row r="59" spans="1:3" x14ac:dyDescent="0.25">
      <c r="A59" s="1067" t="s">
        <v>202</v>
      </c>
      <c r="B59" s="1067" t="s">
        <v>38</v>
      </c>
      <c r="C59" s="1067">
        <v>143</v>
      </c>
    </row>
    <row r="60" spans="1:3" x14ac:dyDescent="0.25">
      <c r="A60" s="1067" t="s">
        <v>202</v>
      </c>
      <c r="B60" s="1067" t="s">
        <v>46</v>
      </c>
      <c r="C60" s="1067">
        <v>98</v>
      </c>
    </row>
    <row r="61" spans="1:3" x14ac:dyDescent="0.25">
      <c r="A61" s="1067" t="s">
        <v>202</v>
      </c>
      <c r="B61" s="1067" t="s">
        <v>39</v>
      </c>
      <c r="C61" s="1067">
        <v>95</v>
      </c>
    </row>
    <row r="62" spans="1:3" x14ac:dyDescent="0.25">
      <c r="A62" s="1067" t="s">
        <v>202</v>
      </c>
      <c r="B62" s="1067" t="s">
        <v>45</v>
      </c>
      <c r="C62" s="1067">
        <v>63</v>
      </c>
    </row>
    <row r="63" spans="1:3" x14ac:dyDescent="0.25">
      <c r="A63" s="1067" t="s">
        <v>202</v>
      </c>
      <c r="B63" s="1067" t="s">
        <v>41</v>
      </c>
      <c r="C63" s="1067">
        <v>57</v>
      </c>
    </row>
    <row r="64" spans="1:3" x14ac:dyDescent="0.25">
      <c r="A64" s="1067" t="s">
        <v>202</v>
      </c>
      <c r="B64" s="1067" t="s">
        <v>51</v>
      </c>
      <c r="C64" s="1067">
        <v>32</v>
      </c>
    </row>
    <row r="65" spans="1:3" x14ac:dyDescent="0.25">
      <c r="A65" s="1067" t="s">
        <v>202</v>
      </c>
      <c r="B65" s="1067" t="s">
        <v>48</v>
      </c>
      <c r="C65" s="1067">
        <v>9</v>
      </c>
    </row>
    <row r="66" spans="1:3" x14ac:dyDescent="0.25">
      <c r="A66" s="1067" t="s">
        <v>202</v>
      </c>
      <c r="B66" s="1067" t="s">
        <v>53</v>
      </c>
      <c r="C66" s="1067"/>
    </row>
    <row r="67" spans="1:3" x14ac:dyDescent="0.25">
      <c r="A67" s="1067" t="s">
        <v>202</v>
      </c>
      <c r="B67" s="1067" t="s">
        <v>35</v>
      </c>
      <c r="C67" s="1067"/>
    </row>
    <row r="68" spans="1:3" x14ac:dyDescent="0.25">
      <c r="A68" s="1067" t="s">
        <v>202</v>
      </c>
      <c r="B68" s="1067" t="s">
        <v>55</v>
      </c>
      <c r="C68" s="1067"/>
    </row>
    <row r="69" spans="1:3" x14ac:dyDescent="0.25">
      <c r="A69" s="1067" t="s">
        <v>273</v>
      </c>
      <c r="B69" s="1067" t="s">
        <v>121</v>
      </c>
      <c r="C69" s="1067">
        <v>1562</v>
      </c>
    </row>
    <row r="70" spans="1:3" x14ac:dyDescent="0.25">
      <c r="A70" s="1067" t="s">
        <v>273</v>
      </c>
      <c r="B70" s="1067" t="s">
        <v>258</v>
      </c>
      <c r="C70" s="1067">
        <v>783</v>
      </c>
    </row>
    <row r="71" spans="1:3" x14ac:dyDescent="0.25">
      <c r="A71" s="1067" t="s">
        <v>273</v>
      </c>
      <c r="B71" s="1067" t="s">
        <v>37</v>
      </c>
      <c r="C71" s="1067">
        <v>656</v>
      </c>
    </row>
    <row r="72" spans="1:3" x14ac:dyDescent="0.25">
      <c r="A72" s="1067" t="s">
        <v>273</v>
      </c>
      <c r="B72" s="1067" t="s">
        <v>50</v>
      </c>
      <c r="C72" s="1067">
        <v>496</v>
      </c>
    </row>
    <row r="73" spans="1:3" x14ac:dyDescent="0.25">
      <c r="A73" s="1067" t="s">
        <v>273</v>
      </c>
      <c r="B73" s="1067" t="s">
        <v>43</v>
      </c>
      <c r="C73" s="1067">
        <v>482</v>
      </c>
    </row>
    <row r="74" spans="1:3" x14ac:dyDescent="0.25">
      <c r="A74" s="1067" t="s">
        <v>273</v>
      </c>
      <c r="B74" s="1067" t="s">
        <v>31</v>
      </c>
      <c r="C74" s="1067">
        <v>435</v>
      </c>
    </row>
    <row r="75" spans="1:3" x14ac:dyDescent="0.25">
      <c r="A75" s="1067" t="s">
        <v>273</v>
      </c>
      <c r="B75" s="1067" t="s">
        <v>36</v>
      </c>
      <c r="C75" s="1067">
        <v>363</v>
      </c>
    </row>
    <row r="76" spans="1:3" x14ac:dyDescent="0.25">
      <c r="A76" s="1067" t="s">
        <v>273</v>
      </c>
      <c r="B76" s="1067" t="s">
        <v>32</v>
      </c>
      <c r="C76" s="1067">
        <v>362</v>
      </c>
    </row>
    <row r="77" spans="1:3" x14ac:dyDescent="0.25">
      <c r="A77" s="1067" t="s">
        <v>273</v>
      </c>
      <c r="B77" s="1067" t="s">
        <v>34</v>
      </c>
      <c r="C77" s="1067">
        <v>331</v>
      </c>
    </row>
    <row r="78" spans="1:3" x14ac:dyDescent="0.25">
      <c r="A78" s="1067" t="s">
        <v>273</v>
      </c>
      <c r="B78" s="1067" t="s">
        <v>56</v>
      </c>
      <c r="C78" s="1067">
        <v>310</v>
      </c>
    </row>
    <row r="79" spans="1:3" x14ac:dyDescent="0.25">
      <c r="A79" s="1067" t="s">
        <v>273</v>
      </c>
      <c r="B79" s="1067" t="s">
        <v>52</v>
      </c>
      <c r="C79" s="1067">
        <v>287</v>
      </c>
    </row>
    <row r="80" spans="1:3" x14ac:dyDescent="0.25">
      <c r="A80" s="1067" t="s">
        <v>273</v>
      </c>
      <c r="B80" s="1067" t="s">
        <v>54</v>
      </c>
      <c r="C80" s="1067">
        <v>285</v>
      </c>
    </row>
    <row r="81" spans="1:3" x14ac:dyDescent="0.25">
      <c r="A81" s="1067" t="s">
        <v>273</v>
      </c>
      <c r="B81" s="1067" t="s">
        <v>44</v>
      </c>
      <c r="C81" s="1067">
        <v>268</v>
      </c>
    </row>
    <row r="82" spans="1:3" x14ac:dyDescent="0.25">
      <c r="A82" s="1067" t="s">
        <v>273</v>
      </c>
      <c r="B82" s="1067" t="s">
        <v>57</v>
      </c>
      <c r="C82" s="1067">
        <v>251</v>
      </c>
    </row>
    <row r="83" spans="1:3" x14ac:dyDescent="0.25">
      <c r="A83" s="1067" t="s">
        <v>273</v>
      </c>
      <c r="B83" s="1067" t="s">
        <v>49</v>
      </c>
      <c r="C83" s="1067">
        <v>230</v>
      </c>
    </row>
    <row r="84" spans="1:3" x14ac:dyDescent="0.25">
      <c r="A84" s="1067" t="s">
        <v>273</v>
      </c>
      <c r="B84" s="1067" t="s">
        <v>60</v>
      </c>
      <c r="C84" s="1067">
        <v>177</v>
      </c>
    </row>
    <row r="85" spans="1:3" x14ac:dyDescent="0.25">
      <c r="A85" s="1067" t="s">
        <v>273</v>
      </c>
      <c r="B85" s="1067" t="s">
        <v>53</v>
      </c>
      <c r="C85" s="1067">
        <v>169</v>
      </c>
    </row>
    <row r="86" spans="1:3" x14ac:dyDescent="0.25">
      <c r="A86" s="1067" t="s">
        <v>273</v>
      </c>
      <c r="B86" s="1067" t="s">
        <v>38</v>
      </c>
      <c r="C86" s="1067">
        <v>164</v>
      </c>
    </row>
    <row r="87" spans="1:3" x14ac:dyDescent="0.25">
      <c r="A87" s="1067" t="s">
        <v>273</v>
      </c>
      <c r="B87" s="1067" t="s">
        <v>42</v>
      </c>
      <c r="C87" s="1067">
        <v>160</v>
      </c>
    </row>
    <row r="88" spans="1:3" x14ac:dyDescent="0.25">
      <c r="A88" s="1067" t="s">
        <v>273</v>
      </c>
      <c r="B88" s="1067" t="s">
        <v>58</v>
      </c>
      <c r="C88" s="1067">
        <v>160</v>
      </c>
    </row>
    <row r="89" spans="1:3" x14ac:dyDescent="0.25">
      <c r="A89" s="1067" t="s">
        <v>273</v>
      </c>
      <c r="B89" s="1067" t="s">
        <v>47</v>
      </c>
      <c r="C89" s="1067">
        <v>142</v>
      </c>
    </row>
    <row r="90" spans="1:3" x14ac:dyDescent="0.25">
      <c r="A90" s="1067" t="s">
        <v>273</v>
      </c>
      <c r="B90" s="1067" t="s">
        <v>40</v>
      </c>
      <c r="C90" s="1067">
        <v>139</v>
      </c>
    </row>
    <row r="91" spans="1:3" x14ac:dyDescent="0.25">
      <c r="A91" s="1067" t="s">
        <v>273</v>
      </c>
      <c r="B91" s="1067" t="s">
        <v>59</v>
      </c>
      <c r="C91" s="1067">
        <v>121</v>
      </c>
    </row>
    <row r="92" spans="1:3" x14ac:dyDescent="0.25">
      <c r="A92" s="1067" t="s">
        <v>273</v>
      </c>
      <c r="B92" s="1067" t="s">
        <v>45</v>
      </c>
      <c r="C92" s="1067">
        <v>115</v>
      </c>
    </row>
    <row r="93" spans="1:3" x14ac:dyDescent="0.25">
      <c r="A93" s="1067" t="s">
        <v>273</v>
      </c>
      <c r="B93" s="1067" t="s">
        <v>33</v>
      </c>
      <c r="C93" s="1067">
        <v>99</v>
      </c>
    </row>
    <row r="94" spans="1:3" x14ac:dyDescent="0.25">
      <c r="A94" s="1067" t="s">
        <v>273</v>
      </c>
      <c r="B94" s="1067" t="s">
        <v>46</v>
      </c>
      <c r="C94" s="1067">
        <v>97</v>
      </c>
    </row>
    <row r="95" spans="1:3" x14ac:dyDescent="0.25">
      <c r="A95" s="1067" t="s">
        <v>273</v>
      </c>
      <c r="B95" s="1067" t="s">
        <v>39</v>
      </c>
      <c r="C95" s="1067">
        <v>81</v>
      </c>
    </row>
    <row r="96" spans="1:3" x14ac:dyDescent="0.25">
      <c r="A96" s="1067" t="s">
        <v>273</v>
      </c>
      <c r="B96" s="1067" t="s">
        <v>41</v>
      </c>
      <c r="C96" s="1067">
        <v>80</v>
      </c>
    </row>
    <row r="97" spans="1:3" x14ac:dyDescent="0.25">
      <c r="A97" s="1067" t="s">
        <v>273</v>
      </c>
      <c r="B97" s="1067" t="s">
        <v>35</v>
      </c>
      <c r="C97" s="1067">
        <v>68</v>
      </c>
    </row>
    <row r="98" spans="1:3" x14ac:dyDescent="0.25">
      <c r="A98" s="1067" t="s">
        <v>273</v>
      </c>
      <c r="B98" s="1067" t="s">
        <v>51</v>
      </c>
      <c r="C98" s="1067">
        <v>29</v>
      </c>
    </row>
    <row r="99" spans="1:3" x14ac:dyDescent="0.25">
      <c r="A99" s="1067" t="s">
        <v>273</v>
      </c>
      <c r="B99" s="1067" t="s">
        <v>48</v>
      </c>
      <c r="C99" s="1067">
        <v>21</v>
      </c>
    </row>
    <row r="100" spans="1:3" x14ac:dyDescent="0.25">
      <c r="A100" s="1067" t="s">
        <v>273</v>
      </c>
      <c r="B100" s="1067" t="s">
        <v>55</v>
      </c>
      <c r="C100" s="1067">
        <v>16</v>
      </c>
    </row>
    <row r="101" spans="1:3" x14ac:dyDescent="0.25">
      <c r="A101" s="1067" t="s">
        <v>255</v>
      </c>
      <c r="B101" s="1067" t="s">
        <v>121</v>
      </c>
      <c r="C101" s="1067">
        <v>1187</v>
      </c>
    </row>
    <row r="102" spans="1:3" x14ac:dyDescent="0.25">
      <c r="A102" s="1067" t="s">
        <v>255</v>
      </c>
      <c r="B102" s="1067" t="s">
        <v>258</v>
      </c>
      <c r="C102" s="1067">
        <v>744</v>
      </c>
    </row>
    <row r="103" spans="1:3" x14ac:dyDescent="0.25">
      <c r="A103" s="1067" t="s">
        <v>255</v>
      </c>
      <c r="B103" s="1067" t="s">
        <v>43</v>
      </c>
      <c r="C103" s="1067">
        <v>464</v>
      </c>
    </row>
    <row r="104" spans="1:3" x14ac:dyDescent="0.25">
      <c r="A104" s="1067" t="s">
        <v>255</v>
      </c>
      <c r="B104" s="1067" t="s">
        <v>36</v>
      </c>
      <c r="C104" s="1067">
        <v>379</v>
      </c>
    </row>
    <row r="105" spans="1:3" x14ac:dyDescent="0.25">
      <c r="A105" s="1067" t="s">
        <v>255</v>
      </c>
      <c r="B105" s="1067" t="s">
        <v>50</v>
      </c>
      <c r="C105" s="1067">
        <v>351</v>
      </c>
    </row>
    <row r="106" spans="1:3" x14ac:dyDescent="0.25">
      <c r="A106" s="1067" t="s">
        <v>255</v>
      </c>
      <c r="B106" s="1067" t="s">
        <v>32</v>
      </c>
      <c r="C106" s="1067">
        <v>344</v>
      </c>
    </row>
    <row r="107" spans="1:3" x14ac:dyDescent="0.25">
      <c r="A107" s="1067" t="s">
        <v>255</v>
      </c>
      <c r="B107" s="1067" t="s">
        <v>57</v>
      </c>
      <c r="C107" s="1067">
        <v>333</v>
      </c>
    </row>
    <row r="108" spans="1:3" x14ac:dyDescent="0.25">
      <c r="A108" s="1067" t="s">
        <v>255</v>
      </c>
      <c r="B108" s="1067" t="s">
        <v>56</v>
      </c>
      <c r="C108" s="1067">
        <v>319</v>
      </c>
    </row>
    <row r="109" spans="1:3" x14ac:dyDescent="0.25">
      <c r="A109" s="1067" t="s">
        <v>255</v>
      </c>
      <c r="B109" s="1067" t="s">
        <v>31</v>
      </c>
      <c r="C109" s="1067">
        <v>315</v>
      </c>
    </row>
    <row r="110" spans="1:3" x14ac:dyDescent="0.25">
      <c r="A110" s="1067" t="s">
        <v>255</v>
      </c>
      <c r="B110" s="1067" t="s">
        <v>37</v>
      </c>
      <c r="C110" s="1067">
        <v>306</v>
      </c>
    </row>
    <row r="111" spans="1:3" x14ac:dyDescent="0.25">
      <c r="A111" s="1067" t="s">
        <v>255</v>
      </c>
      <c r="B111" s="1067" t="s">
        <v>52</v>
      </c>
      <c r="C111" s="1067">
        <v>293</v>
      </c>
    </row>
    <row r="112" spans="1:3" x14ac:dyDescent="0.25">
      <c r="A112" s="1067" t="s">
        <v>255</v>
      </c>
      <c r="B112" s="1067" t="s">
        <v>44</v>
      </c>
      <c r="C112" s="1067">
        <v>286</v>
      </c>
    </row>
    <row r="113" spans="1:3" x14ac:dyDescent="0.25">
      <c r="A113" s="1067" t="s">
        <v>255</v>
      </c>
      <c r="B113" s="1067" t="s">
        <v>54</v>
      </c>
      <c r="C113" s="1067">
        <v>231</v>
      </c>
    </row>
    <row r="114" spans="1:3" x14ac:dyDescent="0.25">
      <c r="A114" s="1067" t="s">
        <v>255</v>
      </c>
      <c r="B114" s="1067" t="s">
        <v>58</v>
      </c>
      <c r="C114" s="1067">
        <v>224</v>
      </c>
    </row>
    <row r="115" spans="1:3" x14ac:dyDescent="0.25">
      <c r="A115" s="1067" t="s">
        <v>255</v>
      </c>
      <c r="B115" s="1067" t="s">
        <v>47</v>
      </c>
      <c r="C115" s="1067">
        <v>216</v>
      </c>
    </row>
    <row r="116" spans="1:3" x14ac:dyDescent="0.25">
      <c r="A116" s="1067" t="s">
        <v>255</v>
      </c>
      <c r="B116" s="1067" t="s">
        <v>34</v>
      </c>
      <c r="C116" s="1067">
        <v>185</v>
      </c>
    </row>
    <row r="117" spans="1:3" x14ac:dyDescent="0.25">
      <c r="A117" s="1067" t="s">
        <v>255</v>
      </c>
      <c r="B117" s="1067" t="s">
        <v>38</v>
      </c>
      <c r="C117" s="1067">
        <v>165</v>
      </c>
    </row>
    <row r="118" spans="1:3" x14ac:dyDescent="0.25">
      <c r="A118" s="1067" t="s">
        <v>255</v>
      </c>
      <c r="B118" s="1067" t="s">
        <v>60</v>
      </c>
      <c r="C118" s="1067">
        <v>164</v>
      </c>
    </row>
    <row r="119" spans="1:3" x14ac:dyDescent="0.25">
      <c r="A119" s="1067" t="s">
        <v>255</v>
      </c>
      <c r="B119" s="1067" t="s">
        <v>42</v>
      </c>
      <c r="C119" s="1067">
        <v>159</v>
      </c>
    </row>
    <row r="120" spans="1:3" x14ac:dyDescent="0.25">
      <c r="A120" s="1067" t="s">
        <v>255</v>
      </c>
      <c r="B120" s="1067" t="s">
        <v>40</v>
      </c>
      <c r="C120" s="1067">
        <v>144</v>
      </c>
    </row>
    <row r="121" spans="1:3" x14ac:dyDescent="0.25">
      <c r="A121" s="1067" t="s">
        <v>255</v>
      </c>
      <c r="B121" s="1067" t="s">
        <v>33</v>
      </c>
      <c r="C121" s="1067">
        <v>119</v>
      </c>
    </row>
    <row r="122" spans="1:3" x14ac:dyDescent="0.25">
      <c r="A122" s="1067" t="s">
        <v>255</v>
      </c>
      <c r="B122" s="1067" t="s">
        <v>59</v>
      </c>
      <c r="C122" s="1067">
        <v>109</v>
      </c>
    </row>
    <row r="123" spans="1:3" x14ac:dyDescent="0.25">
      <c r="A123" s="1067" t="s">
        <v>255</v>
      </c>
      <c r="B123" s="1067" t="s">
        <v>49</v>
      </c>
      <c r="C123" s="1067">
        <v>102</v>
      </c>
    </row>
    <row r="124" spans="1:3" x14ac:dyDescent="0.25">
      <c r="A124" s="1067" t="s">
        <v>255</v>
      </c>
      <c r="B124" s="1067" t="s">
        <v>46</v>
      </c>
      <c r="C124" s="1067">
        <v>95</v>
      </c>
    </row>
    <row r="125" spans="1:3" x14ac:dyDescent="0.25">
      <c r="A125" s="1067" t="s">
        <v>255</v>
      </c>
      <c r="B125" s="1067" t="s">
        <v>39</v>
      </c>
      <c r="C125" s="1067">
        <v>92</v>
      </c>
    </row>
    <row r="126" spans="1:3" x14ac:dyDescent="0.25">
      <c r="A126" s="1067" t="s">
        <v>255</v>
      </c>
      <c r="B126" s="1067" t="s">
        <v>53</v>
      </c>
      <c r="C126" s="1067">
        <v>91</v>
      </c>
    </row>
    <row r="127" spans="1:3" x14ac:dyDescent="0.25">
      <c r="A127" s="1067" t="s">
        <v>255</v>
      </c>
      <c r="B127" s="1067" t="s">
        <v>45</v>
      </c>
      <c r="C127" s="1067">
        <v>65</v>
      </c>
    </row>
    <row r="128" spans="1:3" x14ac:dyDescent="0.25">
      <c r="A128" s="1067" t="s">
        <v>255</v>
      </c>
      <c r="B128" s="1067" t="s">
        <v>35</v>
      </c>
      <c r="C128" s="1067">
        <v>64</v>
      </c>
    </row>
    <row r="129" spans="1:3" x14ac:dyDescent="0.25">
      <c r="A129" s="1067" t="s">
        <v>255</v>
      </c>
      <c r="B129" s="1067" t="s">
        <v>41</v>
      </c>
      <c r="C129" s="1067">
        <v>30</v>
      </c>
    </row>
    <row r="130" spans="1:3" x14ac:dyDescent="0.25">
      <c r="A130" s="1067" t="s">
        <v>255</v>
      </c>
      <c r="B130" s="1067" t="s">
        <v>48</v>
      </c>
      <c r="C130" s="1067">
        <v>23</v>
      </c>
    </row>
    <row r="131" spans="1:3" x14ac:dyDescent="0.25">
      <c r="A131" s="1067" t="s">
        <v>255</v>
      </c>
      <c r="B131" s="1067" t="s">
        <v>55</v>
      </c>
      <c r="C131" s="1067">
        <v>23</v>
      </c>
    </row>
    <row r="132" spans="1:3" x14ac:dyDescent="0.25">
      <c r="A132" s="1067" t="s">
        <v>255</v>
      </c>
      <c r="B132" s="1067" t="s">
        <v>51</v>
      </c>
      <c r="C132" s="1067">
        <v>13</v>
      </c>
    </row>
    <row r="133" spans="1:3" x14ac:dyDescent="0.25">
      <c r="A133" s="1067" t="s">
        <v>254</v>
      </c>
      <c r="B133" s="1067" t="s">
        <v>121</v>
      </c>
      <c r="C133" s="1067">
        <v>1126</v>
      </c>
    </row>
    <row r="134" spans="1:3" x14ac:dyDescent="0.25">
      <c r="A134" s="1067" t="s">
        <v>254</v>
      </c>
      <c r="B134" s="1067" t="s">
        <v>258</v>
      </c>
      <c r="C134" s="1067">
        <v>714</v>
      </c>
    </row>
    <row r="135" spans="1:3" x14ac:dyDescent="0.25">
      <c r="A135" s="1067" t="s">
        <v>254</v>
      </c>
      <c r="B135" s="1067" t="s">
        <v>43</v>
      </c>
      <c r="C135" s="1067">
        <v>657</v>
      </c>
    </row>
    <row r="136" spans="1:3" x14ac:dyDescent="0.25">
      <c r="A136" s="1067" t="s">
        <v>254</v>
      </c>
      <c r="B136" s="1067" t="s">
        <v>36</v>
      </c>
      <c r="C136" s="1067">
        <v>440</v>
      </c>
    </row>
    <row r="137" spans="1:3" x14ac:dyDescent="0.25">
      <c r="A137" s="1067" t="s">
        <v>254</v>
      </c>
      <c r="B137" s="1067" t="s">
        <v>37</v>
      </c>
      <c r="C137" s="1067">
        <v>381</v>
      </c>
    </row>
    <row r="138" spans="1:3" x14ac:dyDescent="0.25">
      <c r="A138" s="1067" t="s">
        <v>254</v>
      </c>
      <c r="B138" s="1067" t="s">
        <v>32</v>
      </c>
      <c r="C138" s="1067">
        <v>373</v>
      </c>
    </row>
    <row r="139" spans="1:3" x14ac:dyDescent="0.25">
      <c r="A139" s="1067" t="s">
        <v>254</v>
      </c>
      <c r="B139" s="1067" t="s">
        <v>31</v>
      </c>
      <c r="C139" s="1067">
        <v>364</v>
      </c>
    </row>
    <row r="140" spans="1:3" x14ac:dyDescent="0.25">
      <c r="A140" s="1067" t="s">
        <v>254</v>
      </c>
      <c r="B140" s="1067" t="s">
        <v>50</v>
      </c>
      <c r="C140" s="1067">
        <v>307</v>
      </c>
    </row>
    <row r="141" spans="1:3" x14ac:dyDescent="0.25">
      <c r="A141" s="1067" t="s">
        <v>254</v>
      </c>
      <c r="B141" s="1067" t="s">
        <v>52</v>
      </c>
      <c r="C141" s="1067">
        <v>293</v>
      </c>
    </row>
    <row r="142" spans="1:3" x14ac:dyDescent="0.25">
      <c r="A142" s="1067" t="s">
        <v>254</v>
      </c>
      <c r="B142" s="1067" t="s">
        <v>57</v>
      </c>
      <c r="C142" s="1067">
        <v>252</v>
      </c>
    </row>
    <row r="143" spans="1:3" x14ac:dyDescent="0.25">
      <c r="A143" s="1067" t="s">
        <v>254</v>
      </c>
      <c r="B143" s="1067" t="s">
        <v>49</v>
      </c>
      <c r="C143" s="1067">
        <v>244</v>
      </c>
    </row>
    <row r="144" spans="1:3" x14ac:dyDescent="0.25">
      <c r="A144" s="1067" t="s">
        <v>254</v>
      </c>
      <c r="B144" s="1067" t="s">
        <v>56</v>
      </c>
      <c r="C144" s="1067">
        <v>229</v>
      </c>
    </row>
    <row r="145" spans="1:3" x14ac:dyDescent="0.25">
      <c r="A145" s="1067" t="s">
        <v>254</v>
      </c>
      <c r="B145" s="1067" t="s">
        <v>34</v>
      </c>
      <c r="C145" s="1067">
        <v>220</v>
      </c>
    </row>
    <row r="146" spans="1:3" x14ac:dyDescent="0.25">
      <c r="A146" s="1067" t="s">
        <v>254</v>
      </c>
      <c r="B146" s="1067" t="s">
        <v>54</v>
      </c>
      <c r="C146" s="1067">
        <v>219</v>
      </c>
    </row>
    <row r="147" spans="1:3" x14ac:dyDescent="0.25">
      <c r="A147" s="1067" t="s">
        <v>254</v>
      </c>
      <c r="B147" s="1067" t="s">
        <v>60</v>
      </c>
      <c r="C147" s="1067">
        <v>213</v>
      </c>
    </row>
    <row r="148" spans="1:3" x14ac:dyDescent="0.25">
      <c r="A148" s="1067" t="s">
        <v>254</v>
      </c>
      <c r="B148" s="1067" t="s">
        <v>44</v>
      </c>
      <c r="C148" s="1067">
        <v>196</v>
      </c>
    </row>
    <row r="149" spans="1:3" x14ac:dyDescent="0.25">
      <c r="A149" s="1067" t="s">
        <v>254</v>
      </c>
      <c r="B149" s="1067" t="s">
        <v>58</v>
      </c>
      <c r="C149" s="1067">
        <v>193</v>
      </c>
    </row>
    <row r="150" spans="1:3" x14ac:dyDescent="0.25">
      <c r="A150" s="1067" t="s">
        <v>254</v>
      </c>
      <c r="B150" s="1067" t="s">
        <v>53</v>
      </c>
      <c r="C150" s="1067">
        <v>169</v>
      </c>
    </row>
    <row r="151" spans="1:3" x14ac:dyDescent="0.25">
      <c r="A151" s="1067" t="s">
        <v>254</v>
      </c>
      <c r="B151" s="1067" t="s">
        <v>40</v>
      </c>
      <c r="C151" s="1067">
        <v>149</v>
      </c>
    </row>
    <row r="152" spans="1:3" x14ac:dyDescent="0.25">
      <c r="A152" s="1067" t="s">
        <v>254</v>
      </c>
      <c r="B152" s="1067" t="s">
        <v>38</v>
      </c>
      <c r="C152" s="1067">
        <v>145</v>
      </c>
    </row>
    <row r="153" spans="1:3" x14ac:dyDescent="0.25">
      <c r="A153" s="1067" t="s">
        <v>254</v>
      </c>
      <c r="B153" s="1067" t="s">
        <v>46</v>
      </c>
      <c r="C153" s="1067">
        <v>138</v>
      </c>
    </row>
    <row r="154" spans="1:3" x14ac:dyDescent="0.25">
      <c r="A154" s="1067" t="s">
        <v>254</v>
      </c>
      <c r="B154" s="1067" t="s">
        <v>47</v>
      </c>
      <c r="C154" s="1067">
        <v>130</v>
      </c>
    </row>
    <row r="155" spans="1:3" x14ac:dyDescent="0.25">
      <c r="A155" s="1067" t="s">
        <v>254</v>
      </c>
      <c r="B155" s="1067" t="s">
        <v>33</v>
      </c>
      <c r="C155" s="1067">
        <v>126</v>
      </c>
    </row>
    <row r="156" spans="1:3" x14ac:dyDescent="0.25">
      <c r="A156" s="1067" t="s">
        <v>254</v>
      </c>
      <c r="B156" s="1067" t="s">
        <v>39</v>
      </c>
      <c r="C156" s="1067">
        <v>84</v>
      </c>
    </row>
    <row r="157" spans="1:3" x14ac:dyDescent="0.25">
      <c r="A157" s="1067" t="s">
        <v>254</v>
      </c>
      <c r="B157" s="1067" t="s">
        <v>59</v>
      </c>
      <c r="C157" s="1067">
        <v>79</v>
      </c>
    </row>
    <row r="158" spans="1:3" x14ac:dyDescent="0.25">
      <c r="A158" s="1067" t="s">
        <v>254</v>
      </c>
      <c r="B158" s="1067" t="s">
        <v>45</v>
      </c>
      <c r="C158" s="1067">
        <v>78</v>
      </c>
    </row>
    <row r="159" spans="1:3" x14ac:dyDescent="0.25">
      <c r="A159" s="1067" t="s">
        <v>254</v>
      </c>
      <c r="B159" s="1067" t="s">
        <v>35</v>
      </c>
      <c r="C159" s="1067">
        <v>70</v>
      </c>
    </row>
    <row r="160" spans="1:3" x14ac:dyDescent="0.25">
      <c r="A160" s="1067" t="s">
        <v>254</v>
      </c>
      <c r="B160" s="1067" t="s">
        <v>41</v>
      </c>
      <c r="C160" s="1067">
        <v>36</v>
      </c>
    </row>
    <row r="161" spans="1:3" x14ac:dyDescent="0.25">
      <c r="A161" s="1067" t="s">
        <v>254</v>
      </c>
      <c r="B161" s="1067" t="s">
        <v>55</v>
      </c>
      <c r="C161" s="1067">
        <v>16</v>
      </c>
    </row>
    <row r="162" spans="1:3" x14ac:dyDescent="0.25">
      <c r="A162" s="1067" t="s">
        <v>254</v>
      </c>
      <c r="B162" s="1067" t="s">
        <v>42</v>
      </c>
      <c r="C162" s="1067"/>
    </row>
    <row r="163" spans="1:3" x14ac:dyDescent="0.25">
      <c r="A163" s="1067" t="s">
        <v>254</v>
      </c>
      <c r="B163" s="1067" t="s">
        <v>48</v>
      </c>
      <c r="C163" s="1067"/>
    </row>
    <row r="164" spans="1:3" x14ac:dyDescent="0.25">
      <c r="A164" s="1067" t="s">
        <v>254</v>
      </c>
      <c r="B164" s="1067" t="s">
        <v>51</v>
      </c>
      <c r="C164" s="1067"/>
    </row>
    <row r="165" spans="1:3" x14ac:dyDescent="0.25">
      <c r="A165" s="1067" t="s">
        <v>851</v>
      </c>
      <c r="B165" s="1067" t="s">
        <v>121</v>
      </c>
      <c r="C165" s="1067">
        <v>1038</v>
      </c>
    </row>
    <row r="166" spans="1:3" x14ac:dyDescent="0.25">
      <c r="A166" s="1067" t="s">
        <v>851</v>
      </c>
      <c r="B166" s="1067" t="s">
        <v>258</v>
      </c>
      <c r="C166" s="1067">
        <v>648</v>
      </c>
    </row>
    <row r="167" spans="1:3" x14ac:dyDescent="0.25">
      <c r="A167" s="1067" t="s">
        <v>851</v>
      </c>
      <c r="B167" s="1067" t="s">
        <v>44</v>
      </c>
      <c r="C167" s="1067">
        <v>493</v>
      </c>
    </row>
    <row r="168" spans="1:3" x14ac:dyDescent="0.25">
      <c r="A168" s="1067" t="s">
        <v>851</v>
      </c>
      <c r="B168" s="1067" t="s">
        <v>36</v>
      </c>
      <c r="C168" s="1067">
        <v>435</v>
      </c>
    </row>
    <row r="169" spans="1:3" x14ac:dyDescent="0.25">
      <c r="A169" s="1067" t="s">
        <v>851</v>
      </c>
      <c r="B169" s="1067" t="s">
        <v>31</v>
      </c>
      <c r="C169" s="1067">
        <v>433</v>
      </c>
    </row>
    <row r="170" spans="1:3" x14ac:dyDescent="0.25">
      <c r="A170" s="1067" t="s">
        <v>851</v>
      </c>
      <c r="B170" s="1067" t="s">
        <v>37</v>
      </c>
      <c r="C170" s="1067">
        <v>424</v>
      </c>
    </row>
    <row r="171" spans="1:3" x14ac:dyDescent="0.25">
      <c r="A171" s="1067" t="s">
        <v>851</v>
      </c>
      <c r="B171" s="1067" t="s">
        <v>43</v>
      </c>
      <c r="C171" s="1067">
        <v>417</v>
      </c>
    </row>
    <row r="172" spans="1:3" x14ac:dyDescent="0.25">
      <c r="A172" s="1067" t="s">
        <v>851</v>
      </c>
      <c r="B172" s="1067" t="s">
        <v>32</v>
      </c>
      <c r="C172" s="1067">
        <v>351</v>
      </c>
    </row>
    <row r="173" spans="1:3" x14ac:dyDescent="0.25">
      <c r="A173" s="1067" t="s">
        <v>851</v>
      </c>
      <c r="B173" s="1067" t="s">
        <v>50</v>
      </c>
      <c r="C173" s="1067">
        <v>306</v>
      </c>
    </row>
    <row r="174" spans="1:3" x14ac:dyDescent="0.25">
      <c r="A174" s="1067" t="s">
        <v>851</v>
      </c>
      <c r="B174" s="1067" t="s">
        <v>34</v>
      </c>
      <c r="C174" s="1067">
        <v>282</v>
      </c>
    </row>
    <row r="175" spans="1:3" x14ac:dyDescent="0.25">
      <c r="A175" s="1067" t="s">
        <v>851</v>
      </c>
      <c r="B175" s="1067" t="s">
        <v>52</v>
      </c>
      <c r="C175" s="1067">
        <v>248</v>
      </c>
    </row>
    <row r="176" spans="1:3" x14ac:dyDescent="0.25">
      <c r="A176" s="1067" t="s">
        <v>851</v>
      </c>
      <c r="B176" s="1067" t="s">
        <v>56</v>
      </c>
      <c r="C176" s="1067">
        <v>225</v>
      </c>
    </row>
    <row r="177" spans="1:3" x14ac:dyDescent="0.25">
      <c r="A177" s="1067" t="s">
        <v>851</v>
      </c>
      <c r="B177" s="1067" t="s">
        <v>58</v>
      </c>
      <c r="C177" s="1067">
        <v>201</v>
      </c>
    </row>
    <row r="178" spans="1:3" x14ac:dyDescent="0.25">
      <c r="A178" s="1067" t="s">
        <v>851</v>
      </c>
      <c r="B178" s="1067" t="s">
        <v>60</v>
      </c>
      <c r="C178" s="1067">
        <v>174</v>
      </c>
    </row>
    <row r="179" spans="1:3" x14ac:dyDescent="0.25">
      <c r="A179" s="1067" t="s">
        <v>851</v>
      </c>
      <c r="B179" s="1067" t="s">
        <v>57</v>
      </c>
      <c r="C179" s="1067">
        <v>159</v>
      </c>
    </row>
    <row r="180" spans="1:3" x14ac:dyDescent="0.25">
      <c r="A180" s="1067" t="s">
        <v>851</v>
      </c>
      <c r="B180" s="1067" t="s">
        <v>42</v>
      </c>
      <c r="C180" s="1067">
        <v>150</v>
      </c>
    </row>
    <row r="181" spans="1:3" x14ac:dyDescent="0.25">
      <c r="A181" s="1067" t="s">
        <v>851</v>
      </c>
      <c r="B181" s="1067" t="s">
        <v>53</v>
      </c>
      <c r="C181" s="1067">
        <v>149</v>
      </c>
    </row>
    <row r="182" spans="1:3" x14ac:dyDescent="0.25">
      <c r="A182" s="1067" t="s">
        <v>851</v>
      </c>
      <c r="B182" s="1067" t="s">
        <v>49</v>
      </c>
      <c r="C182" s="1067">
        <v>148</v>
      </c>
    </row>
    <row r="183" spans="1:3" x14ac:dyDescent="0.25">
      <c r="A183" s="1067" t="s">
        <v>851</v>
      </c>
      <c r="B183" s="1067" t="s">
        <v>59</v>
      </c>
      <c r="C183" s="1067">
        <v>128</v>
      </c>
    </row>
    <row r="184" spans="1:3" x14ac:dyDescent="0.25">
      <c r="A184" s="1067" t="s">
        <v>851</v>
      </c>
      <c r="B184" s="1067" t="s">
        <v>38</v>
      </c>
      <c r="C184" s="1067">
        <v>110</v>
      </c>
    </row>
    <row r="185" spans="1:3" x14ac:dyDescent="0.25">
      <c r="A185" s="1067" t="s">
        <v>851</v>
      </c>
      <c r="B185" s="1067" t="s">
        <v>54</v>
      </c>
      <c r="C185" s="1067">
        <v>104</v>
      </c>
    </row>
    <row r="186" spans="1:3" x14ac:dyDescent="0.25">
      <c r="A186" s="1067" t="s">
        <v>851</v>
      </c>
      <c r="B186" s="1067" t="s">
        <v>39</v>
      </c>
      <c r="C186" s="1067">
        <v>101</v>
      </c>
    </row>
    <row r="187" spans="1:3" x14ac:dyDescent="0.25">
      <c r="A187" s="1067" t="s">
        <v>851</v>
      </c>
      <c r="B187" s="1067" t="s">
        <v>47</v>
      </c>
      <c r="C187" s="1067">
        <v>100</v>
      </c>
    </row>
    <row r="188" spans="1:3" x14ac:dyDescent="0.25">
      <c r="A188" s="1067" t="s">
        <v>851</v>
      </c>
      <c r="B188" s="1067" t="s">
        <v>40</v>
      </c>
      <c r="C188" s="1067">
        <v>78</v>
      </c>
    </row>
    <row r="189" spans="1:3" x14ac:dyDescent="0.25">
      <c r="A189" s="1067" t="s">
        <v>851</v>
      </c>
      <c r="B189" s="1067" t="s">
        <v>46</v>
      </c>
      <c r="C189" s="1067">
        <v>70</v>
      </c>
    </row>
    <row r="190" spans="1:3" x14ac:dyDescent="0.25">
      <c r="A190" s="1067" t="s">
        <v>851</v>
      </c>
      <c r="B190" s="1067" t="s">
        <v>45</v>
      </c>
      <c r="C190" s="1067">
        <v>54</v>
      </c>
    </row>
    <row r="191" spans="1:3" x14ac:dyDescent="0.25">
      <c r="A191" s="1067" t="s">
        <v>851</v>
      </c>
      <c r="B191" s="1067" t="s">
        <v>51</v>
      </c>
      <c r="C191" s="1067"/>
    </row>
    <row r="192" spans="1:3" x14ac:dyDescent="0.25">
      <c r="A192" s="1067" t="s">
        <v>851</v>
      </c>
      <c r="B192" s="1067" t="s">
        <v>1070</v>
      </c>
      <c r="C192" s="1067"/>
    </row>
    <row r="193" spans="1:3" x14ac:dyDescent="0.25">
      <c r="A193" s="1067" t="s">
        <v>851</v>
      </c>
      <c r="B193" s="1067" t="s">
        <v>55</v>
      </c>
      <c r="C193" s="1067"/>
    </row>
    <row r="194" spans="1:3" x14ac:dyDescent="0.25">
      <c r="A194" s="1067" t="s">
        <v>851</v>
      </c>
      <c r="B194" s="1067" t="s">
        <v>121</v>
      </c>
      <c r="C194" s="1067"/>
    </row>
    <row r="195" spans="1:3" x14ac:dyDescent="0.25">
      <c r="A195" s="1067" t="s">
        <v>851</v>
      </c>
      <c r="B195" s="1067" t="s">
        <v>35</v>
      </c>
      <c r="C195" s="1067"/>
    </row>
    <row r="196" spans="1:3" x14ac:dyDescent="0.25">
      <c r="A196" s="1067" t="s">
        <v>851</v>
      </c>
      <c r="B196" s="1067" t="s">
        <v>33</v>
      </c>
      <c r="C196" s="1067"/>
    </row>
    <row r="197" spans="1:3" x14ac:dyDescent="0.25">
      <c r="A197" s="1067" t="s">
        <v>851</v>
      </c>
      <c r="B197" s="1067" t="s">
        <v>41</v>
      </c>
      <c r="C197" s="1067"/>
    </row>
  </sheetData>
  <sheetProtection algorithmName="SHA-512" hashValue="XJjWFYt8PZKohGOKliTquDRH2ConVXGL1LUDlo3IOMOZOvKKQLsqH+P+n+giGbcHHFcGkATmelkPPv4w1v0SRw==" saltValue="t1KL0EGWilys25G3bs1+RQ==" spinCount="100000" sheet="1" scenarios="1" formatCells="0" formatColumns="0" formatRows="0" sort="0" autoFilter="0" pivotTables="0"/>
  <pageMargins left="0.7" right="0.7" top="0.75" bottom="0.75" header="0.3" footer="0.3"/>
  <pageSetup paperSize="9" fitToHeight="50" orientation="landscape"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I94"/>
  <sheetViews>
    <sheetView zoomScale="85" zoomScaleNormal="85" workbookViewId="0">
      <pane ySplit="4" topLeftCell="A5" activePane="bottomLeft" state="frozen"/>
      <selection pane="bottomLeft"/>
    </sheetView>
  </sheetViews>
  <sheetFormatPr defaultRowHeight="15" x14ac:dyDescent="0.25"/>
  <sheetData>
    <row r="4" spans="1:9" x14ac:dyDescent="0.25">
      <c r="A4" s="1066" t="s">
        <v>329</v>
      </c>
      <c r="B4" s="1066" t="s">
        <v>1311</v>
      </c>
      <c r="C4" s="1066" t="s">
        <v>1312</v>
      </c>
      <c r="D4" s="1066" t="s">
        <v>26</v>
      </c>
      <c r="E4" s="1066" t="s">
        <v>436</v>
      </c>
      <c r="F4" s="1066" t="s">
        <v>439</v>
      </c>
      <c r="G4" s="1066" t="s">
        <v>440</v>
      </c>
      <c r="H4" s="1066" t="s">
        <v>1325</v>
      </c>
      <c r="I4" s="1066" t="s">
        <v>1326</v>
      </c>
    </row>
    <row r="5" spans="1:9" x14ac:dyDescent="0.25">
      <c r="A5" s="1067" t="s">
        <v>203</v>
      </c>
      <c r="B5" s="1067" t="s">
        <v>431</v>
      </c>
      <c r="C5" s="1067" t="s">
        <v>143</v>
      </c>
      <c r="D5" s="1067">
        <v>334</v>
      </c>
      <c r="E5" s="1067">
        <v>93</v>
      </c>
      <c r="F5" s="1067">
        <v>14</v>
      </c>
      <c r="G5" s="1067">
        <v>164</v>
      </c>
      <c r="H5" s="1067">
        <v>60</v>
      </c>
      <c r="I5" s="1067">
        <v>3</v>
      </c>
    </row>
    <row r="6" spans="1:9" x14ac:dyDescent="0.25">
      <c r="A6" s="1067" t="s">
        <v>203</v>
      </c>
      <c r="B6" s="1067" t="s">
        <v>432</v>
      </c>
      <c r="C6" s="1067" t="s">
        <v>144</v>
      </c>
      <c r="D6" s="1067">
        <v>1506</v>
      </c>
      <c r="E6" s="1067">
        <v>191</v>
      </c>
      <c r="F6" s="1067">
        <v>538</v>
      </c>
      <c r="G6" s="1067">
        <v>711</v>
      </c>
      <c r="H6" s="1067">
        <v>15</v>
      </c>
      <c r="I6" s="1067">
        <v>51</v>
      </c>
    </row>
    <row r="7" spans="1:9" x14ac:dyDescent="0.25">
      <c r="A7" s="1067" t="s">
        <v>203</v>
      </c>
      <c r="B7" s="1067" t="s">
        <v>433</v>
      </c>
      <c r="C7" s="1067" t="s">
        <v>160</v>
      </c>
      <c r="D7" s="1067">
        <v>1947</v>
      </c>
      <c r="E7" s="1067">
        <v>55</v>
      </c>
      <c r="F7" s="1067">
        <v>247</v>
      </c>
      <c r="G7" s="1067">
        <v>1599</v>
      </c>
      <c r="H7" s="1067">
        <v>1</v>
      </c>
      <c r="I7" s="1067">
        <v>45</v>
      </c>
    </row>
    <row r="8" spans="1:9" x14ac:dyDescent="0.25">
      <c r="A8" s="1067" t="s">
        <v>203</v>
      </c>
      <c r="B8" s="1067" t="s">
        <v>434</v>
      </c>
      <c r="C8" s="1067" t="s">
        <v>145</v>
      </c>
      <c r="D8" s="1067">
        <v>138</v>
      </c>
      <c r="E8" s="1067">
        <v>83</v>
      </c>
      <c r="F8" s="1067">
        <v>6</v>
      </c>
      <c r="G8" s="1067">
        <v>37</v>
      </c>
      <c r="H8" s="1067">
        <v>12</v>
      </c>
      <c r="I8" s="1067"/>
    </row>
    <row r="9" spans="1:9" x14ac:dyDescent="0.25">
      <c r="A9" s="1067" t="s">
        <v>203</v>
      </c>
      <c r="B9" s="1067" t="s">
        <v>435</v>
      </c>
      <c r="C9" s="1067" t="s">
        <v>146</v>
      </c>
      <c r="D9" s="1067">
        <v>1109</v>
      </c>
      <c r="E9" s="1067">
        <v>487</v>
      </c>
      <c r="F9" s="1067">
        <v>18</v>
      </c>
      <c r="G9" s="1067">
        <v>517</v>
      </c>
      <c r="H9" s="1067">
        <v>86</v>
      </c>
      <c r="I9" s="1067">
        <v>1</v>
      </c>
    </row>
    <row r="10" spans="1:9" x14ac:dyDescent="0.25">
      <c r="A10" s="1067" t="s">
        <v>203</v>
      </c>
      <c r="B10" s="1067" t="s">
        <v>436</v>
      </c>
      <c r="C10" s="1067" t="s">
        <v>147</v>
      </c>
      <c r="D10" s="1067">
        <v>251</v>
      </c>
      <c r="E10" s="1067">
        <v>20</v>
      </c>
      <c r="F10" s="1067">
        <v>86</v>
      </c>
      <c r="G10" s="1067">
        <v>137</v>
      </c>
      <c r="H10" s="1067">
        <v>1</v>
      </c>
      <c r="I10" s="1067">
        <v>7</v>
      </c>
    </row>
    <row r="11" spans="1:9" x14ac:dyDescent="0.25">
      <c r="A11" s="1067" t="s">
        <v>203</v>
      </c>
      <c r="B11" s="1067" t="s">
        <v>437</v>
      </c>
      <c r="C11" s="1067" t="s">
        <v>148</v>
      </c>
      <c r="D11" s="1067">
        <v>28</v>
      </c>
      <c r="E11" s="1067">
        <v>18</v>
      </c>
      <c r="F11" s="1067"/>
      <c r="G11" s="1067">
        <v>9</v>
      </c>
      <c r="H11" s="1067">
        <v>1</v>
      </c>
      <c r="I11" s="1067"/>
    </row>
    <row r="12" spans="1:9" x14ac:dyDescent="0.25">
      <c r="A12" s="1067" t="s">
        <v>203</v>
      </c>
      <c r="B12" s="1067" t="s">
        <v>438</v>
      </c>
      <c r="C12" s="1067" t="s">
        <v>149</v>
      </c>
      <c r="D12" s="1067">
        <v>68</v>
      </c>
      <c r="E12" s="1067">
        <v>37</v>
      </c>
      <c r="F12" s="1067">
        <v>2</v>
      </c>
      <c r="G12" s="1067">
        <v>27</v>
      </c>
      <c r="H12" s="1067"/>
      <c r="I12" s="1067">
        <v>2</v>
      </c>
    </row>
    <row r="13" spans="1:9" x14ac:dyDescent="0.25">
      <c r="A13" s="1067" t="s">
        <v>203</v>
      </c>
      <c r="B13" s="1067" t="s">
        <v>439</v>
      </c>
      <c r="C13" s="1067" t="s">
        <v>150</v>
      </c>
      <c r="D13" s="1067">
        <v>596</v>
      </c>
      <c r="E13" s="1067">
        <v>83</v>
      </c>
      <c r="F13" s="1067">
        <v>165</v>
      </c>
      <c r="G13" s="1067">
        <v>331</v>
      </c>
      <c r="H13" s="1067">
        <v>3</v>
      </c>
      <c r="I13" s="1067">
        <v>14</v>
      </c>
    </row>
    <row r="14" spans="1:9" x14ac:dyDescent="0.25">
      <c r="A14" s="1067" t="s">
        <v>203</v>
      </c>
      <c r="B14" s="1067" t="s">
        <v>440</v>
      </c>
      <c r="C14" s="1067" t="s">
        <v>151</v>
      </c>
      <c r="D14" s="1067">
        <v>260</v>
      </c>
      <c r="E14" s="1067">
        <v>23</v>
      </c>
      <c r="F14" s="1067">
        <v>113</v>
      </c>
      <c r="G14" s="1067">
        <v>114</v>
      </c>
      <c r="H14" s="1067">
        <v>2</v>
      </c>
      <c r="I14" s="1067">
        <v>8</v>
      </c>
    </row>
    <row r="15" spans="1:9" x14ac:dyDescent="0.25">
      <c r="A15" s="1067" t="s">
        <v>203</v>
      </c>
      <c r="B15" s="1067" t="s">
        <v>441</v>
      </c>
      <c r="C15" s="1067" t="s">
        <v>152</v>
      </c>
      <c r="D15" s="1067">
        <v>683</v>
      </c>
      <c r="E15" s="1067">
        <v>222</v>
      </c>
      <c r="F15" s="1067">
        <v>259</v>
      </c>
      <c r="G15" s="1067">
        <v>173</v>
      </c>
      <c r="H15" s="1067">
        <v>2</v>
      </c>
      <c r="I15" s="1067">
        <v>27</v>
      </c>
    </row>
    <row r="16" spans="1:9" x14ac:dyDescent="0.25">
      <c r="A16" s="1067" t="s">
        <v>203</v>
      </c>
      <c r="B16" s="1067" t="s">
        <v>442</v>
      </c>
      <c r="C16" s="1067" t="s">
        <v>153</v>
      </c>
      <c r="D16" s="1067">
        <v>356</v>
      </c>
      <c r="E16" s="1067">
        <v>165</v>
      </c>
      <c r="F16" s="1067">
        <v>13</v>
      </c>
      <c r="G16" s="1067">
        <v>170</v>
      </c>
      <c r="H16" s="1067">
        <v>5</v>
      </c>
      <c r="I16" s="1067">
        <v>3</v>
      </c>
    </row>
    <row r="17" spans="1:9" x14ac:dyDescent="0.25">
      <c r="A17" s="1067" t="s">
        <v>203</v>
      </c>
      <c r="B17" s="1067" t="s">
        <v>443</v>
      </c>
      <c r="C17" s="1067" t="s">
        <v>154</v>
      </c>
      <c r="D17" s="1067">
        <v>412</v>
      </c>
      <c r="E17" s="1067">
        <v>50</v>
      </c>
      <c r="F17" s="1067">
        <v>113</v>
      </c>
      <c r="G17" s="1067">
        <v>243</v>
      </c>
      <c r="H17" s="1067">
        <v>4</v>
      </c>
      <c r="I17" s="1067">
        <v>2</v>
      </c>
    </row>
    <row r="18" spans="1:9" x14ac:dyDescent="0.25">
      <c r="A18" s="1067" t="s">
        <v>203</v>
      </c>
      <c r="B18" s="1067" t="s">
        <v>444</v>
      </c>
      <c r="C18" s="1067" t="s">
        <v>155</v>
      </c>
      <c r="D18" s="1067">
        <v>344</v>
      </c>
      <c r="E18" s="1067">
        <v>68</v>
      </c>
      <c r="F18" s="1067">
        <v>49</v>
      </c>
      <c r="G18" s="1067">
        <v>209</v>
      </c>
      <c r="H18" s="1067">
        <v>1</v>
      </c>
      <c r="I18" s="1067">
        <v>17</v>
      </c>
    </row>
    <row r="19" spans="1:9" x14ac:dyDescent="0.25">
      <c r="A19" s="1067" t="s">
        <v>203</v>
      </c>
      <c r="B19" s="1067" t="s">
        <v>445</v>
      </c>
      <c r="C19" s="1067" t="s">
        <v>1310</v>
      </c>
      <c r="D19" s="1067">
        <v>174</v>
      </c>
      <c r="E19" s="1067">
        <v>32</v>
      </c>
      <c r="F19" s="1067">
        <v>10</v>
      </c>
      <c r="G19" s="1067">
        <v>127</v>
      </c>
      <c r="H19" s="1067">
        <v>5</v>
      </c>
      <c r="I19" s="1067"/>
    </row>
    <row r="20" spans="1:9" x14ac:dyDescent="0.25">
      <c r="A20" s="1067" t="s">
        <v>202</v>
      </c>
      <c r="B20" s="1067" t="s">
        <v>431</v>
      </c>
      <c r="C20" s="1067" t="s">
        <v>143</v>
      </c>
      <c r="D20" s="1067">
        <v>451</v>
      </c>
      <c r="E20" s="1067">
        <v>118</v>
      </c>
      <c r="F20" s="1067">
        <v>24</v>
      </c>
      <c r="G20" s="1067">
        <v>255</v>
      </c>
      <c r="H20" s="1067">
        <v>45</v>
      </c>
      <c r="I20" s="1067">
        <v>9</v>
      </c>
    </row>
    <row r="21" spans="1:9" x14ac:dyDescent="0.25">
      <c r="A21" s="1067" t="s">
        <v>202</v>
      </c>
      <c r="B21" s="1067" t="s">
        <v>432</v>
      </c>
      <c r="C21" s="1067" t="s">
        <v>144</v>
      </c>
      <c r="D21" s="1067">
        <v>1760</v>
      </c>
      <c r="E21" s="1067">
        <v>241</v>
      </c>
      <c r="F21" s="1067">
        <v>598</v>
      </c>
      <c r="G21" s="1067">
        <v>822</v>
      </c>
      <c r="H21" s="1067">
        <v>24</v>
      </c>
      <c r="I21" s="1067">
        <v>75</v>
      </c>
    </row>
    <row r="22" spans="1:9" x14ac:dyDescent="0.25">
      <c r="A22" s="1067" t="s">
        <v>202</v>
      </c>
      <c r="B22" s="1067" t="s">
        <v>433</v>
      </c>
      <c r="C22" s="1067" t="s">
        <v>160</v>
      </c>
      <c r="D22" s="1067">
        <v>3062</v>
      </c>
      <c r="E22" s="1067">
        <v>91</v>
      </c>
      <c r="F22" s="1067">
        <v>272</v>
      </c>
      <c r="G22" s="1067">
        <v>2548</v>
      </c>
      <c r="H22" s="1067">
        <v>10</v>
      </c>
      <c r="I22" s="1067">
        <v>141</v>
      </c>
    </row>
    <row r="23" spans="1:9" x14ac:dyDescent="0.25">
      <c r="A23" s="1067" t="s">
        <v>202</v>
      </c>
      <c r="B23" s="1067" t="s">
        <v>434</v>
      </c>
      <c r="C23" s="1067" t="s">
        <v>145</v>
      </c>
      <c r="D23" s="1067">
        <v>119</v>
      </c>
      <c r="E23" s="1067">
        <v>43</v>
      </c>
      <c r="F23" s="1067">
        <v>5</v>
      </c>
      <c r="G23" s="1067">
        <v>49</v>
      </c>
      <c r="H23" s="1067">
        <v>21</v>
      </c>
      <c r="I23" s="1067">
        <v>1</v>
      </c>
    </row>
    <row r="24" spans="1:9" x14ac:dyDescent="0.25">
      <c r="A24" s="1067" t="s">
        <v>202</v>
      </c>
      <c r="B24" s="1067" t="s">
        <v>435</v>
      </c>
      <c r="C24" s="1067" t="s">
        <v>146</v>
      </c>
      <c r="D24" s="1067">
        <v>1263</v>
      </c>
      <c r="E24" s="1067">
        <v>329</v>
      </c>
      <c r="F24" s="1067">
        <v>53</v>
      </c>
      <c r="G24" s="1067">
        <v>815</v>
      </c>
      <c r="H24" s="1067">
        <v>65</v>
      </c>
      <c r="I24" s="1067">
        <v>1</v>
      </c>
    </row>
    <row r="25" spans="1:9" x14ac:dyDescent="0.25">
      <c r="A25" s="1067" t="s">
        <v>202</v>
      </c>
      <c r="B25" s="1067" t="s">
        <v>436</v>
      </c>
      <c r="C25" s="1067" t="s">
        <v>147</v>
      </c>
      <c r="D25" s="1067">
        <v>351</v>
      </c>
      <c r="E25" s="1067">
        <v>41</v>
      </c>
      <c r="F25" s="1067">
        <v>82</v>
      </c>
      <c r="G25" s="1067">
        <v>198</v>
      </c>
      <c r="H25" s="1067">
        <v>1</v>
      </c>
      <c r="I25" s="1067">
        <v>29</v>
      </c>
    </row>
    <row r="26" spans="1:9" x14ac:dyDescent="0.25">
      <c r="A26" s="1067" t="s">
        <v>202</v>
      </c>
      <c r="B26" s="1067" t="s">
        <v>437</v>
      </c>
      <c r="C26" s="1067" t="s">
        <v>148</v>
      </c>
      <c r="D26" s="1067">
        <v>36</v>
      </c>
      <c r="E26" s="1067">
        <v>15</v>
      </c>
      <c r="F26" s="1067"/>
      <c r="G26" s="1067">
        <v>21</v>
      </c>
      <c r="H26" s="1067"/>
      <c r="I26" s="1067"/>
    </row>
    <row r="27" spans="1:9" x14ac:dyDescent="0.25">
      <c r="A27" s="1067" t="s">
        <v>202</v>
      </c>
      <c r="B27" s="1067" t="s">
        <v>438</v>
      </c>
      <c r="C27" s="1067" t="s">
        <v>149</v>
      </c>
      <c r="D27" s="1067">
        <v>49</v>
      </c>
      <c r="E27" s="1067">
        <v>24</v>
      </c>
      <c r="F27" s="1067">
        <v>3</v>
      </c>
      <c r="G27" s="1067">
        <v>22</v>
      </c>
      <c r="H27" s="1067"/>
      <c r="I27" s="1067"/>
    </row>
    <row r="28" spans="1:9" x14ac:dyDescent="0.25">
      <c r="A28" s="1067" t="s">
        <v>202</v>
      </c>
      <c r="B28" s="1067" t="s">
        <v>439</v>
      </c>
      <c r="C28" s="1067" t="s">
        <v>150</v>
      </c>
      <c r="D28" s="1067">
        <v>494</v>
      </c>
      <c r="E28" s="1067">
        <v>74</v>
      </c>
      <c r="F28" s="1067">
        <v>148</v>
      </c>
      <c r="G28" s="1067">
        <v>250</v>
      </c>
      <c r="H28" s="1067">
        <v>5</v>
      </c>
      <c r="I28" s="1067">
        <v>17</v>
      </c>
    </row>
    <row r="29" spans="1:9" x14ac:dyDescent="0.25">
      <c r="A29" s="1067" t="s">
        <v>202</v>
      </c>
      <c r="B29" s="1067" t="s">
        <v>440</v>
      </c>
      <c r="C29" s="1067" t="s">
        <v>151</v>
      </c>
      <c r="D29" s="1067">
        <v>228</v>
      </c>
      <c r="E29" s="1067">
        <v>41</v>
      </c>
      <c r="F29" s="1067">
        <v>53</v>
      </c>
      <c r="G29" s="1067">
        <v>125</v>
      </c>
      <c r="H29" s="1067"/>
      <c r="I29" s="1067">
        <v>9</v>
      </c>
    </row>
    <row r="30" spans="1:9" x14ac:dyDescent="0.25">
      <c r="A30" s="1067" t="s">
        <v>202</v>
      </c>
      <c r="B30" s="1067" t="s">
        <v>441</v>
      </c>
      <c r="C30" s="1067" t="s">
        <v>152</v>
      </c>
      <c r="D30" s="1067">
        <v>639</v>
      </c>
      <c r="E30" s="1067">
        <v>172</v>
      </c>
      <c r="F30" s="1067">
        <v>197</v>
      </c>
      <c r="G30" s="1067">
        <v>228</v>
      </c>
      <c r="H30" s="1067">
        <v>6</v>
      </c>
      <c r="I30" s="1067">
        <v>36</v>
      </c>
    </row>
    <row r="31" spans="1:9" x14ac:dyDescent="0.25">
      <c r="A31" s="1067" t="s">
        <v>202</v>
      </c>
      <c r="B31" s="1067" t="s">
        <v>442</v>
      </c>
      <c r="C31" s="1067" t="s">
        <v>153</v>
      </c>
      <c r="D31" s="1067">
        <v>320</v>
      </c>
      <c r="E31" s="1067">
        <v>84</v>
      </c>
      <c r="F31" s="1067">
        <v>8</v>
      </c>
      <c r="G31" s="1067">
        <v>217</v>
      </c>
      <c r="H31" s="1067">
        <v>7</v>
      </c>
      <c r="I31" s="1067">
        <v>4</v>
      </c>
    </row>
    <row r="32" spans="1:9" x14ac:dyDescent="0.25">
      <c r="A32" s="1067" t="s">
        <v>202</v>
      </c>
      <c r="B32" s="1067" t="s">
        <v>443</v>
      </c>
      <c r="C32" s="1067" t="s">
        <v>154</v>
      </c>
      <c r="D32" s="1067">
        <v>485</v>
      </c>
      <c r="E32" s="1067">
        <v>44</v>
      </c>
      <c r="F32" s="1067">
        <v>170</v>
      </c>
      <c r="G32" s="1067">
        <v>267</v>
      </c>
      <c r="H32" s="1067">
        <v>3</v>
      </c>
      <c r="I32" s="1067">
        <v>1</v>
      </c>
    </row>
    <row r="33" spans="1:9" x14ac:dyDescent="0.25">
      <c r="A33" s="1067" t="s">
        <v>202</v>
      </c>
      <c r="B33" s="1067" t="s">
        <v>444</v>
      </c>
      <c r="C33" s="1067" t="s">
        <v>155</v>
      </c>
      <c r="D33" s="1067">
        <v>379</v>
      </c>
      <c r="E33" s="1067">
        <v>84</v>
      </c>
      <c r="F33" s="1067">
        <v>35</v>
      </c>
      <c r="G33" s="1067">
        <v>240</v>
      </c>
      <c r="H33" s="1067">
        <v>5</v>
      </c>
      <c r="I33" s="1067">
        <v>15</v>
      </c>
    </row>
    <row r="34" spans="1:9" x14ac:dyDescent="0.25">
      <c r="A34" s="1067" t="s">
        <v>202</v>
      </c>
      <c r="B34" s="1067" t="s">
        <v>445</v>
      </c>
      <c r="C34" s="1067" t="s">
        <v>1310</v>
      </c>
      <c r="D34" s="1067">
        <v>198</v>
      </c>
      <c r="E34" s="1067">
        <v>26</v>
      </c>
      <c r="F34" s="1067">
        <v>39</v>
      </c>
      <c r="G34" s="1067">
        <v>128</v>
      </c>
      <c r="H34" s="1067">
        <v>5</v>
      </c>
      <c r="I34" s="1067"/>
    </row>
    <row r="35" spans="1:9" x14ac:dyDescent="0.25">
      <c r="A35" s="1067" t="s">
        <v>273</v>
      </c>
      <c r="B35" s="1067" t="s">
        <v>431</v>
      </c>
      <c r="C35" s="1067" t="s">
        <v>143</v>
      </c>
      <c r="D35" s="1067">
        <v>396</v>
      </c>
      <c r="E35" s="1067">
        <v>51</v>
      </c>
      <c r="F35" s="1067">
        <v>17</v>
      </c>
      <c r="G35" s="1067">
        <v>314</v>
      </c>
      <c r="H35" s="1067">
        <v>6</v>
      </c>
      <c r="I35" s="1067">
        <v>8</v>
      </c>
    </row>
    <row r="36" spans="1:9" x14ac:dyDescent="0.25">
      <c r="A36" s="1067" t="s">
        <v>273</v>
      </c>
      <c r="B36" s="1067" t="s">
        <v>432</v>
      </c>
      <c r="C36" s="1067" t="s">
        <v>144</v>
      </c>
      <c r="D36" s="1067">
        <v>1719</v>
      </c>
      <c r="E36" s="1067">
        <v>219</v>
      </c>
      <c r="F36" s="1067">
        <v>638</v>
      </c>
      <c r="G36" s="1067">
        <v>783</v>
      </c>
      <c r="H36" s="1067">
        <v>12</v>
      </c>
      <c r="I36" s="1067">
        <v>67</v>
      </c>
    </row>
    <row r="37" spans="1:9" x14ac:dyDescent="0.25">
      <c r="A37" s="1067" t="s">
        <v>273</v>
      </c>
      <c r="B37" s="1067" t="s">
        <v>433</v>
      </c>
      <c r="C37" s="1067" t="s">
        <v>160</v>
      </c>
      <c r="D37" s="1067">
        <v>2650</v>
      </c>
      <c r="E37" s="1067">
        <v>106</v>
      </c>
      <c r="F37" s="1067">
        <v>343</v>
      </c>
      <c r="G37" s="1067">
        <v>2130</v>
      </c>
      <c r="H37" s="1067">
        <v>2</v>
      </c>
      <c r="I37" s="1067">
        <v>69</v>
      </c>
    </row>
    <row r="38" spans="1:9" x14ac:dyDescent="0.25">
      <c r="A38" s="1067" t="s">
        <v>273</v>
      </c>
      <c r="B38" s="1067" t="s">
        <v>434</v>
      </c>
      <c r="C38" s="1067" t="s">
        <v>145</v>
      </c>
      <c r="D38" s="1067">
        <v>128</v>
      </c>
      <c r="E38" s="1067">
        <v>27</v>
      </c>
      <c r="F38" s="1067">
        <v>10</v>
      </c>
      <c r="G38" s="1067">
        <v>83</v>
      </c>
      <c r="H38" s="1067">
        <v>3</v>
      </c>
      <c r="I38" s="1067">
        <v>5</v>
      </c>
    </row>
    <row r="39" spans="1:9" x14ac:dyDescent="0.25">
      <c r="A39" s="1067" t="s">
        <v>273</v>
      </c>
      <c r="B39" s="1067" t="s">
        <v>435</v>
      </c>
      <c r="C39" s="1067" t="s">
        <v>146</v>
      </c>
      <c r="D39" s="1067">
        <v>1138</v>
      </c>
      <c r="E39" s="1067">
        <v>248</v>
      </c>
      <c r="F39" s="1067">
        <v>57</v>
      </c>
      <c r="G39" s="1067">
        <v>800</v>
      </c>
      <c r="H39" s="1067">
        <v>33</v>
      </c>
      <c r="I39" s="1067"/>
    </row>
    <row r="40" spans="1:9" x14ac:dyDescent="0.25">
      <c r="A40" s="1067" t="s">
        <v>273</v>
      </c>
      <c r="B40" s="1067" t="s">
        <v>436</v>
      </c>
      <c r="C40" s="1067" t="s">
        <v>147</v>
      </c>
      <c r="D40" s="1067">
        <v>371</v>
      </c>
      <c r="E40" s="1067">
        <v>35</v>
      </c>
      <c r="F40" s="1067">
        <v>84</v>
      </c>
      <c r="G40" s="1067">
        <v>245</v>
      </c>
      <c r="H40" s="1067"/>
      <c r="I40" s="1067">
        <v>7</v>
      </c>
    </row>
    <row r="41" spans="1:9" x14ac:dyDescent="0.25">
      <c r="A41" s="1067" t="s">
        <v>273</v>
      </c>
      <c r="B41" s="1067" t="s">
        <v>437</v>
      </c>
      <c r="C41" s="1067" t="s">
        <v>148</v>
      </c>
      <c r="D41" s="1067">
        <v>21</v>
      </c>
      <c r="E41" s="1067">
        <v>3</v>
      </c>
      <c r="F41" s="1067"/>
      <c r="G41" s="1067">
        <v>16</v>
      </c>
      <c r="H41" s="1067">
        <v>1</v>
      </c>
      <c r="I41" s="1067">
        <v>1</v>
      </c>
    </row>
    <row r="42" spans="1:9" x14ac:dyDescent="0.25">
      <c r="A42" s="1067" t="s">
        <v>273</v>
      </c>
      <c r="B42" s="1067" t="s">
        <v>438</v>
      </c>
      <c r="C42" s="1067" t="s">
        <v>149</v>
      </c>
      <c r="D42" s="1067">
        <v>66</v>
      </c>
      <c r="E42" s="1067">
        <v>10</v>
      </c>
      <c r="F42" s="1067">
        <v>1</v>
      </c>
      <c r="G42" s="1067">
        <v>55</v>
      </c>
      <c r="H42" s="1067"/>
      <c r="I42" s="1067"/>
    </row>
    <row r="43" spans="1:9" x14ac:dyDescent="0.25">
      <c r="A43" s="1067" t="s">
        <v>273</v>
      </c>
      <c r="B43" s="1067" t="s">
        <v>439</v>
      </c>
      <c r="C43" s="1067" t="s">
        <v>150</v>
      </c>
      <c r="D43" s="1067">
        <v>482</v>
      </c>
      <c r="E43" s="1067">
        <v>85</v>
      </c>
      <c r="F43" s="1067">
        <v>55</v>
      </c>
      <c r="G43" s="1067">
        <v>327</v>
      </c>
      <c r="H43" s="1067">
        <v>8</v>
      </c>
      <c r="I43" s="1067">
        <v>7</v>
      </c>
    </row>
    <row r="44" spans="1:9" x14ac:dyDescent="0.25">
      <c r="A44" s="1067" t="s">
        <v>273</v>
      </c>
      <c r="B44" s="1067" t="s">
        <v>440</v>
      </c>
      <c r="C44" s="1067" t="s">
        <v>151</v>
      </c>
      <c r="D44" s="1067">
        <v>363</v>
      </c>
      <c r="E44" s="1067">
        <v>55</v>
      </c>
      <c r="F44" s="1067">
        <v>38</v>
      </c>
      <c r="G44" s="1067">
        <v>241</v>
      </c>
      <c r="H44" s="1067">
        <v>10</v>
      </c>
      <c r="I44" s="1067">
        <v>19</v>
      </c>
    </row>
    <row r="45" spans="1:9" x14ac:dyDescent="0.25">
      <c r="A45" s="1067" t="s">
        <v>273</v>
      </c>
      <c r="B45" s="1067" t="s">
        <v>441</v>
      </c>
      <c r="C45" s="1067" t="s">
        <v>152</v>
      </c>
      <c r="D45" s="1067">
        <v>523</v>
      </c>
      <c r="E45" s="1067">
        <v>52</v>
      </c>
      <c r="F45" s="1067">
        <v>46</v>
      </c>
      <c r="G45" s="1067">
        <v>346</v>
      </c>
      <c r="H45" s="1067">
        <v>2</v>
      </c>
      <c r="I45" s="1067">
        <v>77</v>
      </c>
    </row>
    <row r="46" spans="1:9" x14ac:dyDescent="0.25">
      <c r="A46" s="1067" t="s">
        <v>273</v>
      </c>
      <c r="B46" s="1067" t="s">
        <v>442</v>
      </c>
      <c r="C46" s="1067" t="s">
        <v>153</v>
      </c>
      <c r="D46" s="1067">
        <v>235</v>
      </c>
      <c r="E46" s="1067">
        <v>59</v>
      </c>
      <c r="F46" s="1067">
        <v>8</v>
      </c>
      <c r="G46" s="1067">
        <v>160</v>
      </c>
      <c r="H46" s="1067">
        <v>2</v>
      </c>
      <c r="I46" s="1067">
        <v>6</v>
      </c>
    </row>
    <row r="47" spans="1:9" x14ac:dyDescent="0.25">
      <c r="A47" s="1067" t="s">
        <v>273</v>
      </c>
      <c r="B47" s="1067" t="s">
        <v>443</v>
      </c>
      <c r="C47" s="1067" t="s">
        <v>154</v>
      </c>
      <c r="D47" s="1067">
        <v>329</v>
      </c>
      <c r="E47" s="1067">
        <v>52</v>
      </c>
      <c r="F47" s="1067">
        <v>49</v>
      </c>
      <c r="G47" s="1067">
        <v>225</v>
      </c>
      <c r="H47" s="1067">
        <v>3</v>
      </c>
      <c r="I47" s="1067"/>
    </row>
    <row r="48" spans="1:9" x14ac:dyDescent="0.25">
      <c r="A48" s="1067" t="s">
        <v>273</v>
      </c>
      <c r="B48" s="1067" t="s">
        <v>444</v>
      </c>
      <c r="C48" s="1067" t="s">
        <v>155</v>
      </c>
      <c r="D48" s="1067">
        <v>275</v>
      </c>
      <c r="E48" s="1067">
        <v>46</v>
      </c>
      <c r="F48" s="1067">
        <v>25</v>
      </c>
      <c r="G48" s="1067">
        <v>191</v>
      </c>
      <c r="H48" s="1067">
        <v>8</v>
      </c>
      <c r="I48" s="1067">
        <v>5</v>
      </c>
    </row>
    <row r="49" spans="1:9" x14ac:dyDescent="0.25">
      <c r="A49" s="1067" t="s">
        <v>273</v>
      </c>
      <c r="B49" s="1067" t="s">
        <v>445</v>
      </c>
      <c r="C49" s="1067" t="s">
        <v>1310</v>
      </c>
      <c r="D49" s="1067">
        <v>243</v>
      </c>
      <c r="E49" s="1067">
        <v>56</v>
      </c>
      <c r="F49" s="1067">
        <v>38</v>
      </c>
      <c r="G49" s="1067">
        <v>145</v>
      </c>
      <c r="H49" s="1067">
        <v>4</v>
      </c>
      <c r="I49" s="1067"/>
    </row>
    <row r="50" spans="1:9" x14ac:dyDescent="0.25">
      <c r="A50" s="1067" t="s">
        <v>255</v>
      </c>
      <c r="B50" s="1067" t="s">
        <v>431</v>
      </c>
      <c r="C50" s="1067" t="s">
        <v>143</v>
      </c>
      <c r="D50" s="1067">
        <v>367</v>
      </c>
      <c r="E50" s="1067">
        <v>71</v>
      </c>
      <c r="F50" s="1067">
        <v>25</v>
      </c>
      <c r="G50" s="1067">
        <v>262</v>
      </c>
      <c r="H50" s="1067">
        <v>4</v>
      </c>
      <c r="I50" s="1067">
        <v>5</v>
      </c>
    </row>
    <row r="51" spans="1:9" x14ac:dyDescent="0.25">
      <c r="A51" s="1067" t="s">
        <v>255</v>
      </c>
      <c r="B51" s="1067" t="s">
        <v>432</v>
      </c>
      <c r="C51" s="1067" t="s">
        <v>144</v>
      </c>
      <c r="D51" s="1067">
        <v>1653</v>
      </c>
      <c r="E51" s="1067">
        <v>201</v>
      </c>
      <c r="F51" s="1067">
        <v>580</v>
      </c>
      <c r="G51" s="1067">
        <v>791</v>
      </c>
      <c r="H51" s="1067">
        <v>9</v>
      </c>
      <c r="I51" s="1067">
        <v>72</v>
      </c>
    </row>
    <row r="52" spans="1:9" x14ac:dyDescent="0.25">
      <c r="A52" s="1067" t="s">
        <v>255</v>
      </c>
      <c r="B52" s="1067" t="s">
        <v>433</v>
      </c>
      <c r="C52" s="1067" t="s">
        <v>160</v>
      </c>
      <c r="D52" s="1067">
        <v>2077</v>
      </c>
      <c r="E52" s="1067">
        <v>203</v>
      </c>
      <c r="F52" s="1067">
        <v>246</v>
      </c>
      <c r="G52" s="1067">
        <v>1559</v>
      </c>
      <c r="H52" s="1067"/>
      <c r="I52" s="1067">
        <v>69</v>
      </c>
    </row>
    <row r="53" spans="1:9" x14ac:dyDescent="0.25">
      <c r="A53" s="1067" t="s">
        <v>255</v>
      </c>
      <c r="B53" s="1067" t="s">
        <v>434</v>
      </c>
      <c r="C53" s="1067" t="s">
        <v>145</v>
      </c>
      <c r="D53" s="1067">
        <v>104</v>
      </c>
      <c r="E53" s="1067">
        <v>21</v>
      </c>
      <c r="F53" s="1067">
        <v>12</v>
      </c>
      <c r="G53" s="1067">
        <v>63</v>
      </c>
      <c r="H53" s="1067">
        <v>2</v>
      </c>
      <c r="I53" s="1067">
        <v>6</v>
      </c>
    </row>
    <row r="54" spans="1:9" x14ac:dyDescent="0.25">
      <c r="A54" s="1067" t="s">
        <v>255</v>
      </c>
      <c r="B54" s="1067" t="s">
        <v>435</v>
      </c>
      <c r="C54" s="1067" t="s">
        <v>146</v>
      </c>
      <c r="D54" s="1067">
        <v>1167</v>
      </c>
      <c r="E54" s="1067">
        <v>256</v>
      </c>
      <c r="F54" s="1067">
        <v>73</v>
      </c>
      <c r="G54" s="1067">
        <v>819</v>
      </c>
      <c r="H54" s="1067">
        <v>17</v>
      </c>
      <c r="I54" s="1067">
        <v>2</v>
      </c>
    </row>
    <row r="55" spans="1:9" x14ac:dyDescent="0.25">
      <c r="A55" s="1067" t="s">
        <v>255</v>
      </c>
      <c r="B55" s="1067" t="s">
        <v>436</v>
      </c>
      <c r="C55" s="1067" t="s">
        <v>147</v>
      </c>
      <c r="D55" s="1067">
        <v>408</v>
      </c>
      <c r="E55" s="1067">
        <v>53</v>
      </c>
      <c r="F55" s="1067">
        <v>81</v>
      </c>
      <c r="G55" s="1067">
        <v>273</v>
      </c>
      <c r="H55" s="1067"/>
      <c r="I55" s="1067">
        <v>1</v>
      </c>
    </row>
    <row r="56" spans="1:9" x14ac:dyDescent="0.25">
      <c r="A56" s="1067" t="s">
        <v>255</v>
      </c>
      <c r="B56" s="1067" t="s">
        <v>437</v>
      </c>
      <c r="C56" s="1067" t="s">
        <v>148</v>
      </c>
      <c r="D56" s="1067">
        <v>37</v>
      </c>
      <c r="E56" s="1067">
        <v>14</v>
      </c>
      <c r="F56" s="1067"/>
      <c r="G56" s="1067">
        <v>21</v>
      </c>
      <c r="H56" s="1067">
        <v>1</v>
      </c>
      <c r="I56" s="1067">
        <v>1</v>
      </c>
    </row>
    <row r="57" spans="1:9" x14ac:dyDescent="0.25">
      <c r="A57" s="1067" t="s">
        <v>255</v>
      </c>
      <c r="B57" s="1067" t="s">
        <v>438</v>
      </c>
      <c r="C57" s="1067" t="s">
        <v>149</v>
      </c>
      <c r="D57" s="1067">
        <v>59</v>
      </c>
      <c r="E57" s="1067">
        <v>12</v>
      </c>
      <c r="F57" s="1067">
        <v>2</v>
      </c>
      <c r="G57" s="1067">
        <v>42</v>
      </c>
      <c r="H57" s="1067">
        <v>2</v>
      </c>
      <c r="I57" s="1067">
        <v>1</v>
      </c>
    </row>
    <row r="58" spans="1:9" x14ac:dyDescent="0.25">
      <c r="A58" s="1067" t="s">
        <v>255</v>
      </c>
      <c r="B58" s="1067" t="s">
        <v>439</v>
      </c>
      <c r="C58" s="1067" t="s">
        <v>150</v>
      </c>
      <c r="D58" s="1067">
        <v>332</v>
      </c>
      <c r="E58" s="1067">
        <v>70</v>
      </c>
      <c r="F58" s="1067">
        <v>35</v>
      </c>
      <c r="G58" s="1067">
        <v>219</v>
      </c>
      <c r="H58" s="1067">
        <v>3</v>
      </c>
      <c r="I58" s="1067">
        <v>5</v>
      </c>
    </row>
    <row r="59" spans="1:9" x14ac:dyDescent="0.25">
      <c r="A59" s="1067" t="s">
        <v>255</v>
      </c>
      <c r="B59" s="1067" t="s">
        <v>440</v>
      </c>
      <c r="C59" s="1067" t="s">
        <v>151</v>
      </c>
      <c r="D59" s="1067">
        <v>268</v>
      </c>
      <c r="E59" s="1067">
        <v>29</v>
      </c>
      <c r="F59" s="1067">
        <v>35</v>
      </c>
      <c r="G59" s="1067">
        <v>178</v>
      </c>
      <c r="H59" s="1067">
        <v>2</v>
      </c>
      <c r="I59" s="1067">
        <v>24</v>
      </c>
    </row>
    <row r="60" spans="1:9" x14ac:dyDescent="0.25">
      <c r="A60" s="1067" t="s">
        <v>255</v>
      </c>
      <c r="B60" s="1067" t="s">
        <v>441</v>
      </c>
      <c r="C60" s="1067" t="s">
        <v>152</v>
      </c>
      <c r="D60" s="1067">
        <v>362</v>
      </c>
      <c r="E60" s="1067">
        <v>55</v>
      </c>
      <c r="F60" s="1067">
        <v>48</v>
      </c>
      <c r="G60" s="1067">
        <v>231</v>
      </c>
      <c r="H60" s="1067">
        <v>1</v>
      </c>
      <c r="I60" s="1067">
        <v>27</v>
      </c>
    </row>
    <row r="61" spans="1:9" x14ac:dyDescent="0.25">
      <c r="A61" s="1067" t="s">
        <v>255</v>
      </c>
      <c r="B61" s="1067" t="s">
        <v>442</v>
      </c>
      <c r="C61" s="1067" t="s">
        <v>153</v>
      </c>
      <c r="D61" s="1067">
        <v>240</v>
      </c>
      <c r="E61" s="1067">
        <v>62</v>
      </c>
      <c r="F61" s="1067">
        <v>6</v>
      </c>
      <c r="G61" s="1067">
        <v>166</v>
      </c>
      <c r="H61" s="1067">
        <v>2</v>
      </c>
      <c r="I61" s="1067">
        <v>4</v>
      </c>
    </row>
    <row r="62" spans="1:9" x14ac:dyDescent="0.25">
      <c r="A62" s="1067" t="s">
        <v>255</v>
      </c>
      <c r="B62" s="1067" t="s">
        <v>443</v>
      </c>
      <c r="C62" s="1067" t="s">
        <v>154</v>
      </c>
      <c r="D62" s="1067">
        <v>228</v>
      </c>
      <c r="E62" s="1067">
        <v>44</v>
      </c>
      <c r="F62" s="1067">
        <v>32</v>
      </c>
      <c r="G62" s="1067">
        <v>150</v>
      </c>
      <c r="H62" s="1067"/>
      <c r="I62" s="1067">
        <v>2</v>
      </c>
    </row>
    <row r="63" spans="1:9" x14ac:dyDescent="0.25">
      <c r="A63" s="1067" t="s">
        <v>255</v>
      </c>
      <c r="B63" s="1067" t="s">
        <v>444</v>
      </c>
      <c r="C63" s="1067" t="s">
        <v>155</v>
      </c>
      <c r="D63" s="1067">
        <v>220</v>
      </c>
      <c r="E63" s="1067">
        <v>55</v>
      </c>
      <c r="F63" s="1067">
        <v>18</v>
      </c>
      <c r="G63" s="1067">
        <v>140</v>
      </c>
      <c r="H63" s="1067">
        <v>3</v>
      </c>
      <c r="I63" s="1067">
        <v>4</v>
      </c>
    </row>
    <row r="64" spans="1:9" x14ac:dyDescent="0.25">
      <c r="A64" s="1067" t="s">
        <v>255</v>
      </c>
      <c r="B64" s="1067" t="s">
        <v>445</v>
      </c>
      <c r="C64" s="1067" t="s">
        <v>1310</v>
      </c>
      <c r="D64" s="1067">
        <v>113</v>
      </c>
      <c r="E64" s="1067">
        <v>17</v>
      </c>
      <c r="F64" s="1067">
        <v>19</v>
      </c>
      <c r="G64" s="1067">
        <v>72</v>
      </c>
      <c r="H64" s="1067">
        <v>4</v>
      </c>
      <c r="I64" s="1067">
        <v>1</v>
      </c>
    </row>
    <row r="65" spans="1:9" x14ac:dyDescent="0.25">
      <c r="A65" s="1067" t="s">
        <v>254</v>
      </c>
      <c r="B65" s="1067" t="s">
        <v>431</v>
      </c>
      <c r="C65" s="1067" t="s">
        <v>143</v>
      </c>
      <c r="D65" s="1067">
        <v>471</v>
      </c>
      <c r="E65" s="1067">
        <v>70</v>
      </c>
      <c r="F65" s="1067">
        <v>36</v>
      </c>
      <c r="G65" s="1067">
        <v>353</v>
      </c>
      <c r="H65" s="1067">
        <v>5</v>
      </c>
      <c r="I65" s="1067">
        <v>7</v>
      </c>
    </row>
    <row r="66" spans="1:9" x14ac:dyDescent="0.25">
      <c r="A66" s="1067" t="s">
        <v>254</v>
      </c>
      <c r="B66" s="1067" t="s">
        <v>432</v>
      </c>
      <c r="C66" s="1067" t="s">
        <v>144</v>
      </c>
      <c r="D66" s="1067">
        <v>1775</v>
      </c>
      <c r="E66" s="1067">
        <v>201</v>
      </c>
      <c r="F66" s="1067">
        <v>668</v>
      </c>
      <c r="G66" s="1067">
        <v>807</v>
      </c>
      <c r="H66" s="1067">
        <v>7</v>
      </c>
      <c r="I66" s="1067">
        <v>92</v>
      </c>
    </row>
    <row r="67" spans="1:9" x14ac:dyDescent="0.25">
      <c r="A67" s="1067" t="s">
        <v>254</v>
      </c>
      <c r="B67" s="1067" t="s">
        <v>433</v>
      </c>
      <c r="C67" s="1067" t="s">
        <v>160</v>
      </c>
      <c r="D67" s="1067">
        <v>1862</v>
      </c>
      <c r="E67" s="1067">
        <v>109</v>
      </c>
      <c r="F67" s="1067">
        <v>263</v>
      </c>
      <c r="G67" s="1067">
        <v>1407</v>
      </c>
      <c r="H67" s="1067">
        <v>2</v>
      </c>
      <c r="I67" s="1067">
        <v>81</v>
      </c>
    </row>
    <row r="68" spans="1:9" x14ac:dyDescent="0.25">
      <c r="A68" s="1067" t="s">
        <v>254</v>
      </c>
      <c r="B68" s="1067" t="s">
        <v>434</v>
      </c>
      <c r="C68" s="1067" t="s">
        <v>145</v>
      </c>
      <c r="D68" s="1067">
        <v>88</v>
      </c>
      <c r="E68" s="1067">
        <v>12</v>
      </c>
      <c r="F68" s="1067">
        <v>10</v>
      </c>
      <c r="G68" s="1067">
        <v>59</v>
      </c>
      <c r="H68" s="1067">
        <v>2</v>
      </c>
      <c r="I68" s="1067">
        <v>5</v>
      </c>
    </row>
    <row r="69" spans="1:9" x14ac:dyDescent="0.25">
      <c r="A69" s="1067" t="s">
        <v>254</v>
      </c>
      <c r="B69" s="1067" t="s">
        <v>435</v>
      </c>
      <c r="C69" s="1067" t="s">
        <v>146</v>
      </c>
      <c r="D69" s="1067">
        <v>1030</v>
      </c>
      <c r="E69" s="1067">
        <v>209</v>
      </c>
      <c r="F69" s="1067">
        <v>70</v>
      </c>
      <c r="G69" s="1067">
        <v>734</v>
      </c>
      <c r="H69" s="1067">
        <v>17</v>
      </c>
      <c r="I69" s="1067"/>
    </row>
    <row r="70" spans="1:9" x14ac:dyDescent="0.25">
      <c r="A70" s="1067" t="s">
        <v>254</v>
      </c>
      <c r="B70" s="1067" t="s">
        <v>436</v>
      </c>
      <c r="C70" s="1067" t="s">
        <v>147</v>
      </c>
      <c r="D70" s="1067">
        <v>323</v>
      </c>
      <c r="E70" s="1067">
        <v>28</v>
      </c>
      <c r="F70" s="1067">
        <v>92</v>
      </c>
      <c r="G70" s="1067">
        <v>199</v>
      </c>
      <c r="H70" s="1067"/>
      <c r="I70" s="1067">
        <v>4</v>
      </c>
    </row>
    <row r="71" spans="1:9" x14ac:dyDescent="0.25">
      <c r="A71" s="1067" t="s">
        <v>254</v>
      </c>
      <c r="B71" s="1067" t="s">
        <v>437</v>
      </c>
      <c r="C71" s="1067" t="s">
        <v>148</v>
      </c>
      <c r="D71" s="1067">
        <v>31</v>
      </c>
      <c r="E71" s="1067">
        <v>5</v>
      </c>
      <c r="F71" s="1067">
        <v>2</v>
      </c>
      <c r="G71" s="1067">
        <v>23</v>
      </c>
      <c r="H71" s="1067"/>
      <c r="I71" s="1067">
        <v>1</v>
      </c>
    </row>
    <row r="72" spans="1:9" x14ac:dyDescent="0.25">
      <c r="A72" s="1067" t="s">
        <v>254</v>
      </c>
      <c r="B72" s="1067" t="s">
        <v>438</v>
      </c>
      <c r="C72" s="1067" t="s">
        <v>149</v>
      </c>
      <c r="D72" s="1067">
        <v>60</v>
      </c>
      <c r="E72" s="1067">
        <v>14</v>
      </c>
      <c r="F72" s="1067">
        <v>2</v>
      </c>
      <c r="G72" s="1067">
        <v>43</v>
      </c>
      <c r="H72" s="1067"/>
      <c r="I72" s="1067">
        <v>1</v>
      </c>
    </row>
    <row r="73" spans="1:9" x14ac:dyDescent="0.25">
      <c r="A73" s="1067" t="s">
        <v>254</v>
      </c>
      <c r="B73" s="1067" t="s">
        <v>439</v>
      </c>
      <c r="C73" s="1067" t="s">
        <v>150</v>
      </c>
      <c r="D73" s="1067">
        <v>374</v>
      </c>
      <c r="E73" s="1067">
        <v>84</v>
      </c>
      <c r="F73" s="1067">
        <v>36</v>
      </c>
      <c r="G73" s="1067">
        <v>247</v>
      </c>
      <c r="H73" s="1067">
        <v>1</v>
      </c>
      <c r="I73" s="1067">
        <v>6</v>
      </c>
    </row>
    <row r="74" spans="1:9" x14ac:dyDescent="0.25">
      <c r="A74" s="1067" t="s">
        <v>254</v>
      </c>
      <c r="B74" s="1067" t="s">
        <v>440</v>
      </c>
      <c r="C74" s="1067" t="s">
        <v>151</v>
      </c>
      <c r="D74" s="1067">
        <v>470</v>
      </c>
      <c r="E74" s="1067">
        <v>66</v>
      </c>
      <c r="F74" s="1067">
        <v>41</v>
      </c>
      <c r="G74" s="1067">
        <v>325</v>
      </c>
      <c r="H74" s="1067">
        <v>3</v>
      </c>
      <c r="I74" s="1067">
        <v>35</v>
      </c>
    </row>
    <row r="75" spans="1:9" x14ac:dyDescent="0.25">
      <c r="A75" s="1067" t="s">
        <v>254</v>
      </c>
      <c r="B75" s="1067" t="s">
        <v>441</v>
      </c>
      <c r="C75" s="1067" t="s">
        <v>152</v>
      </c>
      <c r="D75" s="1067">
        <v>382</v>
      </c>
      <c r="E75" s="1067">
        <v>45</v>
      </c>
      <c r="F75" s="1067">
        <v>49</v>
      </c>
      <c r="G75" s="1067">
        <v>267</v>
      </c>
      <c r="H75" s="1067">
        <v>3</v>
      </c>
      <c r="I75" s="1067">
        <v>18</v>
      </c>
    </row>
    <row r="76" spans="1:9" x14ac:dyDescent="0.25">
      <c r="A76" s="1067" t="s">
        <v>254</v>
      </c>
      <c r="B76" s="1067" t="s">
        <v>442</v>
      </c>
      <c r="C76" s="1067" t="s">
        <v>153</v>
      </c>
      <c r="D76" s="1067">
        <v>283</v>
      </c>
      <c r="E76" s="1067">
        <v>59</v>
      </c>
      <c r="F76" s="1067">
        <v>20</v>
      </c>
      <c r="G76" s="1067">
        <v>196</v>
      </c>
      <c r="H76" s="1067">
        <v>6</v>
      </c>
      <c r="I76" s="1067">
        <v>2</v>
      </c>
    </row>
    <row r="77" spans="1:9" x14ac:dyDescent="0.25">
      <c r="A77" s="1067" t="s">
        <v>254</v>
      </c>
      <c r="B77" s="1067" t="s">
        <v>443</v>
      </c>
      <c r="C77" s="1067" t="s">
        <v>154</v>
      </c>
      <c r="D77" s="1067">
        <v>267</v>
      </c>
      <c r="E77" s="1067">
        <v>51</v>
      </c>
      <c r="F77" s="1067">
        <v>42</v>
      </c>
      <c r="G77" s="1067">
        <v>173</v>
      </c>
      <c r="H77" s="1067">
        <v>1</v>
      </c>
      <c r="I77" s="1067"/>
    </row>
    <row r="78" spans="1:9" x14ac:dyDescent="0.25">
      <c r="A78" s="1067" t="s">
        <v>254</v>
      </c>
      <c r="B78" s="1067" t="s">
        <v>444</v>
      </c>
      <c r="C78" s="1067" t="s">
        <v>155</v>
      </c>
      <c r="D78" s="1067">
        <v>267</v>
      </c>
      <c r="E78" s="1067">
        <v>62</v>
      </c>
      <c r="F78" s="1067">
        <v>29</v>
      </c>
      <c r="G78" s="1067">
        <v>170</v>
      </c>
      <c r="H78" s="1067">
        <v>4</v>
      </c>
      <c r="I78" s="1067">
        <v>2</v>
      </c>
    </row>
    <row r="79" spans="1:9" x14ac:dyDescent="0.25">
      <c r="A79" s="1067" t="s">
        <v>254</v>
      </c>
      <c r="B79" s="1067" t="s">
        <v>445</v>
      </c>
      <c r="C79" s="1067" t="s">
        <v>1310</v>
      </c>
      <c r="D79" s="1067">
        <v>189</v>
      </c>
      <c r="E79" s="1067">
        <v>33</v>
      </c>
      <c r="F79" s="1067">
        <v>34</v>
      </c>
      <c r="G79" s="1067">
        <v>121</v>
      </c>
      <c r="H79" s="1067">
        <v>1</v>
      </c>
      <c r="I79" s="1067"/>
    </row>
    <row r="80" spans="1:9" x14ac:dyDescent="0.25">
      <c r="A80" s="1067" t="s">
        <v>851</v>
      </c>
      <c r="B80" s="1067" t="s">
        <v>431</v>
      </c>
      <c r="C80" s="1067" t="s">
        <v>143</v>
      </c>
      <c r="D80" s="1067">
        <v>298</v>
      </c>
      <c r="E80" s="1067">
        <v>27</v>
      </c>
      <c r="F80" s="1067">
        <v>19</v>
      </c>
      <c r="G80" s="1067">
        <v>239</v>
      </c>
      <c r="H80" s="1067">
        <v>2</v>
      </c>
      <c r="I80" s="1067">
        <v>11</v>
      </c>
    </row>
    <row r="81" spans="1:9" x14ac:dyDescent="0.25">
      <c r="A81" s="1067" t="s">
        <v>851</v>
      </c>
      <c r="B81" s="1067" t="s">
        <v>432</v>
      </c>
      <c r="C81" s="1067" t="s">
        <v>144</v>
      </c>
      <c r="D81" s="1067">
        <v>1486</v>
      </c>
      <c r="E81" s="1067">
        <v>187</v>
      </c>
      <c r="F81" s="1067">
        <v>634</v>
      </c>
      <c r="G81" s="1067">
        <v>562</v>
      </c>
      <c r="H81" s="1067">
        <v>8</v>
      </c>
      <c r="I81" s="1067">
        <v>95</v>
      </c>
    </row>
    <row r="82" spans="1:9" x14ac:dyDescent="0.25">
      <c r="A82" s="1067" t="s">
        <v>851</v>
      </c>
      <c r="B82" s="1067" t="s">
        <v>433</v>
      </c>
      <c r="C82" s="1067" t="s">
        <v>160</v>
      </c>
      <c r="D82" s="1067">
        <v>1951</v>
      </c>
      <c r="E82" s="1067">
        <v>154</v>
      </c>
      <c r="F82" s="1067">
        <v>218</v>
      </c>
      <c r="G82" s="1067">
        <v>1510</v>
      </c>
      <c r="H82" s="1067"/>
      <c r="I82" s="1067">
        <v>69</v>
      </c>
    </row>
    <row r="83" spans="1:9" x14ac:dyDescent="0.25">
      <c r="A83" s="1067" t="s">
        <v>851</v>
      </c>
      <c r="B83" s="1067" t="s">
        <v>434</v>
      </c>
      <c r="C83" s="1067" t="s">
        <v>145</v>
      </c>
      <c r="D83" s="1067">
        <v>71</v>
      </c>
      <c r="E83" s="1067">
        <v>13</v>
      </c>
      <c r="F83" s="1067">
        <v>8</v>
      </c>
      <c r="G83" s="1067">
        <v>42</v>
      </c>
      <c r="H83" s="1067">
        <v>2</v>
      </c>
      <c r="I83" s="1067">
        <v>6</v>
      </c>
    </row>
    <row r="84" spans="1:9" x14ac:dyDescent="0.25">
      <c r="A84" s="1067" t="s">
        <v>851</v>
      </c>
      <c r="B84" s="1067" t="s">
        <v>435</v>
      </c>
      <c r="C84" s="1067" t="s">
        <v>146</v>
      </c>
      <c r="D84" s="1067">
        <v>1081</v>
      </c>
      <c r="E84" s="1067">
        <v>191</v>
      </c>
      <c r="F84" s="1067">
        <v>131</v>
      </c>
      <c r="G84" s="1067">
        <v>746</v>
      </c>
      <c r="H84" s="1067">
        <v>12</v>
      </c>
      <c r="I84" s="1067">
        <v>1</v>
      </c>
    </row>
    <row r="85" spans="1:9" x14ac:dyDescent="0.25">
      <c r="A85" s="1067" t="s">
        <v>851</v>
      </c>
      <c r="B85" s="1067" t="s">
        <v>436</v>
      </c>
      <c r="C85" s="1067" t="s">
        <v>147</v>
      </c>
      <c r="D85" s="1067">
        <v>470</v>
      </c>
      <c r="E85" s="1067">
        <v>28</v>
      </c>
      <c r="F85" s="1067">
        <v>92</v>
      </c>
      <c r="G85" s="1067">
        <v>335</v>
      </c>
      <c r="H85" s="1067"/>
      <c r="I85" s="1067">
        <v>15</v>
      </c>
    </row>
    <row r="86" spans="1:9" x14ac:dyDescent="0.25">
      <c r="A86" s="1067" t="s">
        <v>851</v>
      </c>
      <c r="B86" s="1067" t="s">
        <v>437</v>
      </c>
      <c r="C86" s="1067" t="s">
        <v>148</v>
      </c>
      <c r="D86" s="1067">
        <v>25</v>
      </c>
      <c r="E86" s="1067">
        <v>2</v>
      </c>
      <c r="F86" s="1067">
        <v>5</v>
      </c>
      <c r="G86" s="1067">
        <v>18</v>
      </c>
      <c r="H86" s="1067"/>
      <c r="I86" s="1067"/>
    </row>
    <row r="87" spans="1:9" x14ac:dyDescent="0.25">
      <c r="A87" s="1067" t="s">
        <v>851</v>
      </c>
      <c r="B87" s="1067" t="s">
        <v>438</v>
      </c>
      <c r="C87" s="1067" t="s">
        <v>149</v>
      </c>
      <c r="D87" s="1067">
        <v>39</v>
      </c>
      <c r="E87" s="1067">
        <v>12</v>
      </c>
      <c r="F87" s="1067">
        <v>3</v>
      </c>
      <c r="G87" s="1067">
        <v>24</v>
      </c>
      <c r="H87" s="1067"/>
      <c r="I87" s="1067"/>
    </row>
    <row r="88" spans="1:9" x14ac:dyDescent="0.25">
      <c r="A88" s="1067" t="s">
        <v>851</v>
      </c>
      <c r="B88" s="1067" t="s">
        <v>439</v>
      </c>
      <c r="C88" s="1067" t="s">
        <v>150</v>
      </c>
      <c r="D88" s="1067">
        <v>289</v>
      </c>
      <c r="E88" s="1067">
        <v>73</v>
      </c>
      <c r="F88" s="1067">
        <v>38</v>
      </c>
      <c r="G88" s="1067">
        <v>167</v>
      </c>
      <c r="H88" s="1067">
        <v>2</v>
      </c>
      <c r="I88" s="1067">
        <v>9</v>
      </c>
    </row>
    <row r="89" spans="1:9" x14ac:dyDescent="0.25">
      <c r="A89" s="1067" t="s">
        <v>851</v>
      </c>
      <c r="B89" s="1067" t="s">
        <v>440</v>
      </c>
      <c r="C89" s="1067" t="s">
        <v>151</v>
      </c>
      <c r="D89" s="1067">
        <v>271</v>
      </c>
      <c r="E89" s="1067">
        <v>44</v>
      </c>
      <c r="F89" s="1067">
        <v>30</v>
      </c>
      <c r="G89" s="1067">
        <v>170</v>
      </c>
      <c r="H89" s="1067">
        <v>4</v>
      </c>
      <c r="I89" s="1067">
        <v>23</v>
      </c>
    </row>
    <row r="90" spans="1:9" x14ac:dyDescent="0.25">
      <c r="A90" s="1067" t="s">
        <v>851</v>
      </c>
      <c r="B90" s="1067" t="s">
        <v>441</v>
      </c>
      <c r="C90" s="1067" t="s">
        <v>152</v>
      </c>
      <c r="D90" s="1067">
        <v>358</v>
      </c>
      <c r="E90" s="1067">
        <v>46</v>
      </c>
      <c r="F90" s="1067">
        <v>72</v>
      </c>
      <c r="G90" s="1067">
        <v>179</v>
      </c>
      <c r="H90" s="1067"/>
      <c r="I90" s="1067">
        <v>61</v>
      </c>
    </row>
    <row r="91" spans="1:9" x14ac:dyDescent="0.25">
      <c r="A91" s="1067" t="s">
        <v>851</v>
      </c>
      <c r="B91" s="1067" t="s">
        <v>442</v>
      </c>
      <c r="C91" s="1067" t="s">
        <v>153</v>
      </c>
      <c r="D91" s="1067">
        <v>279</v>
      </c>
      <c r="E91" s="1067">
        <v>66</v>
      </c>
      <c r="F91" s="1067">
        <v>8</v>
      </c>
      <c r="G91" s="1067">
        <v>202</v>
      </c>
      <c r="H91" s="1067">
        <v>1</v>
      </c>
      <c r="I91" s="1067">
        <v>2</v>
      </c>
    </row>
    <row r="92" spans="1:9" x14ac:dyDescent="0.25">
      <c r="A92" s="1067" t="s">
        <v>851</v>
      </c>
      <c r="B92" s="1067" t="s">
        <v>443</v>
      </c>
      <c r="C92" s="1067" t="s">
        <v>154</v>
      </c>
      <c r="D92" s="1067">
        <v>241</v>
      </c>
      <c r="E92" s="1067">
        <v>53</v>
      </c>
      <c r="F92" s="1067">
        <v>46</v>
      </c>
      <c r="G92" s="1067">
        <v>137</v>
      </c>
      <c r="H92" s="1067">
        <v>2</v>
      </c>
      <c r="I92" s="1067">
        <v>3</v>
      </c>
    </row>
    <row r="93" spans="1:9" x14ac:dyDescent="0.25">
      <c r="A93" s="1067" t="s">
        <v>851</v>
      </c>
      <c r="B93" s="1067" t="s">
        <v>444</v>
      </c>
      <c r="C93" s="1067" t="s">
        <v>155</v>
      </c>
      <c r="D93" s="1067">
        <v>285</v>
      </c>
      <c r="E93" s="1067">
        <v>90</v>
      </c>
      <c r="F93" s="1067">
        <v>19</v>
      </c>
      <c r="G93" s="1067">
        <v>168</v>
      </c>
      <c r="H93" s="1067">
        <v>4</v>
      </c>
      <c r="I93" s="1067">
        <v>4</v>
      </c>
    </row>
    <row r="94" spans="1:9" x14ac:dyDescent="0.25">
      <c r="A94" s="1067" t="s">
        <v>851</v>
      </c>
      <c r="B94" s="1067" t="s">
        <v>445</v>
      </c>
      <c r="C94" s="1067" t="s">
        <v>1310</v>
      </c>
      <c r="D94" s="1067">
        <v>117</v>
      </c>
      <c r="E94" s="1067">
        <v>41</v>
      </c>
      <c r="F94" s="1067">
        <v>23</v>
      </c>
      <c r="G94" s="1067">
        <v>51</v>
      </c>
      <c r="H94" s="1067">
        <v>2</v>
      </c>
      <c r="I94" s="1067"/>
    </row>
  </sheetData>
  <sheetProtection algorithmName="SHA-512" hashValue="vb8NKYtOTj2MioFgP29m0RcTzhcvkexVd+7xcis0ARP8djAF6xf1JamMr9ZP1Am5XXoyWLaqrqi7LRi2309Qnw==" saltValue="cUWccYsP9Hd9cCESxU5VHg==" spinCount="100000" sheet="1" scenarios="1" formatCells="0" formatColumns="0" formatRows="0" sort="0" autoFilter="0" pivotTables="0"/>
  <pageMargins left="0.7" right="0.7" top="0.75" bottom="0.75" header="0.3" footer="0.3"/>
  <pageSetup paperSize="9" fitToHeight="50"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C94"/>
  <sheetViews>
    <sheetView zoomScale="85" zoomScaleNormal="85" workbookViewId="0">
      <pane ySplit="4" topLeftCell="A5" activePane="bottomLeft" state="frozen"/>
      <selection pane="bottomLeft"/>
    </sheetView>
  </sheetViews>
  <sheetFormatPr defaultRowHeight="15" x14ac:dyDescent="0.25"/>
  <sheetData>
    <row r="4" spans="1:3" x14ac:dyDescent="0.25">
      <c r="A4" s="1066" t="s">
        <v>329</v>
      </c>
      <c r="B4" s="1066" t="s">
        <v>1312</v>
      </c>
      <c r="C4" s="1066" t="s">
        <v>26</v>
      </c>
    </row>
    <row r="5" spans="1:3" x14ac:dyDescent="0.25">
      <c r="A5" s="1067" t="s">
        <v>203</v>
      </c>
      <c r="B5" s="1067" t="s">
        <v>160</v>
      </c>
      <c r="C5" s="1067">
        <v>1947</v>
      </c>
    </row>
    <row r="6" spans="1:3" x14ac:dyDescent="0.25">
      <c r="A6" s="1067" t="s">
        <v>203</v>
      </c>
      <c r="B6" s="1067" t="s">
        <v>144</v>
      </c>
      <c r="C6" s="1067">
        <v>1506</v>
      </c>
    </row>
    <row r="7" spans="1:3" x14ac:dyDescent="0.25">
      <c r="A7" s="1067" t="s">
        <v>203</v>
      </c>
      <c r="B7" s="1067" t="s">
        <v>146</v>
      </c>
      <c r="C7" s="1067">
        <v>1109</v>
      </c>
    </row>
    <row r="8" spans="1:3" x14ac:dyDescent="0.25">
      <c r="A8" s="1067" t="s">
        <v>203</v>
      </c>
      <c r="B8" s="1067" t="s">
        <v>152</v>
      </c>
      <c r="C8" s="1067">
        <v>683</v>
      </c>
    </row>
    <row r="9" spans="1:3" x14ac:dyDescent="0.25">
      <c r="A9" s="1067" t="s">
        <v>203</v>
      </c>
      <c r="B9" s="1067" t="s">
        <v>150</v>
      </c>
      <c r="C9" s="1067">
        <v>596</v>
      </c>
    </row>
    <row r="10" spans="1:3" x14ac:dyDescent="0.25">
      <c r="A10" s="1067" t="s">
        <v>203</v>
      </c>
      <c r="B10" s="1067" t="s">
        <v>154</v>
      </c>
      <c r="C10" s="1067">
        <v>412</v>
      </c>
    </row>
    <row r="11" spans="1:3" x14ac:dyDescent="0.25">
      <c r="A11" s="1067" t="s">
        <v>203</v>
      </c>
      <c r="B11" s="1067" t="s">
        <v>153</v>
      </c>
      <c r="C11" s="1067">
        <v>356</v>
      </c>
    </row>
    <row r="12" spans="1:3" x14ac:dyDescent="0.25">
      <c r="A12" s="1067" t="s">
        <v>203</v>
      </c>
      <c r="B12" s="1067" t="s">
        <v>155</v>
      </c>
      <c r="C12" s="1067">
        <v>344</v>
      </c>
    </row>
    <row r="13" spans="1:3" x14ac:dyDescent="0.25">
      <c r="A13" s="1067" t="s">
        <v>203</v>
      </c>
      <c r="B13" s="1067" t="s">
        <v>143</v>
      </c>
      <c r="C13" s="1067">
        <v>334</v>
      </c>
    </row>
    <row r="14" spans="1:3" x14ac:dyDescent="0.25">
      <c r="A14" s="1067" t="s">
        <v>203</v>
      </c>
      <c r="B14" s="1067" t="s">
        <v>151</v>
      </c>
      <c r="C14" s="1067">
        <v>260</v>
      </c>
    </row>
    <row r="15" spans="1:3" x14ac:dyDescent="0.25">
      <c r="A15" s="1067" t="s">
        <v>203</v>
      </c>
      <c r="B15" s="1067" t="s">
        <v>147</v>
      </c>
      <c r="C15" s="1067">
        <v>251</v>
      </c>
    </row>
    <row r="16" spans="1:3" x14ac:dyDescent="0.25">
      <c r="A16" s="1067" t="s">
        <v>203</v>
      </c>
      <c r="B16" s="1067" t="s">
        <v>1310</v>
      </c>
      <c r="C16" s="1067">
        <v>174</v>
      </c>
    </row>
    <row r="17" spans="1:3" x14ac:dyDescent="0.25">
      <c r="A17" s="1067" t="s">
        <v>203</v>
      </c>
      <c r="B17" s="1067" t="s">
        <v>145</v>
      </c>
      <c r="C17" s="1067">
        <v>138</v>
      </c>
    </row>
    <row r="18" spans="1:3" x14ac:dyDescent="0.25">
      <c r="A18" s="1067" t="s">
        <v>203</v>
      </c>
      <c r="B18" s="1067" t="s">
        <v>149</v>
      </c>
      <c r="C18" s="1067">
        <v>68</v>
      </c>
    </row>
    <row r="19" spans="1:3" x14ac:dyDescent="0.25">
      <c r="A19" s="1067" t="s">
        <v>203</v>
      </c>
      <c r="B19" s="1067" t="s">
        <v>148</v>
      </c>
      <c r="C19" s="1067">
        <v>28</v>
      </c>
    </row>
    <row r="20" spans="1:3" x14ac:dyDescent="0.25">
      <c r="A20" s="1067" t="s">
        <v>202</v>
      </c>
      <c r="B20" s="1067" t="s">
        <v>160</v>
      </c>
      <c r="C20" s="1067">
        <v>3062</v>
      </c>
    </row>
    <row r="21" spans="1:3" x14ac:dyDescent="0.25">
      <c r="A21" s="1067" t="s">
        <v>202</v>
      </c>
      <c r="B21" s="1067" t="s">
        <v>144</v>
      </c>
      <c r="C21" s="1067">
        <v>1760</v>
      </c>
    </row>
    <row r="22" spans="1:3" x14ac:dyDescent="0.25">
      <c r="A22" s="1067" t="s">
        <v>202</v>
      </c>
      <c r="B22" s="1067" t="s">
        <v>146</v>
      </c>
      <c r="C22" s="1067">
        <v>1263</v>
      </c>
    </row>
    <row r="23" spans="1:3" x14ac:dyDescent="0.25">
      <c r="A23" s="1067" t="s">
        <v>202</v>
      </c>
      <c r="B23" s="1067" t="s">
        <v>152</v>
      </c>
      <c r="C23" s="1067">
        <v>639</v>
      </c>
    </row>
    <row r="24" spans="1:3" x14ac:dyDescent="0.25">
      <c r="A24" s="1067" t="s">
        <v>202</v>
      </c>
      <c r="B24" s="1067" t="s">
        <v>150</v>
      </c>
      <c r="C24" s="1067">
        <v>494</v>
      </c>
    </row>
    <row r="25" spans="1:3" x14ac:dyDescent="0.25">
      <c r="A25" s="1067" t="s">
        <v>202</v>
      </c>
      <c r="B25" s="1067" t="s">
        <v>154</v>
      </c>
      <c r="C25" s="1067">
        <v>485</v>
      </c>
    </row>
    <row r="26" spans="1:3" x14ac:dyDescent="0.25">
      <c r="A26" s="1067" t="s">
        <v>202</v>
      </c>
      <c r="B26" s="1067" t="s">
        <v>143</v>
      </c>
      <c r="C26" s="1067">
        <v>451</v>
      </c>
    </row>
    <row r="27" spans="1:3" x14ac:dyDescent="0.25">
      <c r="A27" s="1067" t="s">
        <v>202</v>
      </c>
      <c r="B27" s="1067" t="s">
        <v>155</v>
      </c>
      <c r="C27" s="1067">
        <v>379</v>
      </c>
    </row>
    <row r="28" spans="1:3" x14ac:dyDescent="0.25">
      <c r="A28" s="1067" t="s">
        <v>202</v>
      </c>
      <c r="B28" s="1067" t="s">
        <v>147</v>
      </c>
      <c r="C28" s="1067">
        <v>351</v>
      </c>
    </row>
    <row r="29" spans="1:3" x14ac:dyDescent="0.25">
      <c r="A29" s="1067" t="s">
        <v>202</v>
      </c>
      <c r="B29" s="1067" t="s">
        <v>153</v>
      </c>
      <c r="C29" s="1067">
        <v>320</v>
      </c>
    </row>
    <row r="30" spans="1:3" x14ac:dyDescent="0.25">
      <c r="A30" s="1067" t="s">
        <v>202</v>
      </c>
      <c r="B30" s="1067" t="s">
        <v>151</v>
      </c>
      <c r="C30" s="1067">
        <v>228</v>
      </c>
    </row>
    <row r="31" spans="1:3" x14ac:dyDescent="0.25">
      <c r="A31" s="1067" t="s">
        <v>202</v>
      </c>
      <c r="B31" s="1067" t="s">
        <v>1310</v>
      </c>
      <c r="C31" s="1067">
        <v>198</v>
      </c>
    </row>
    <row r="32" spans="1:3" x14ac:dyDescent="0.25">
      <c r="A32" s="1067" t="s">
        <v>202</v>
      </c>
      <c r="B32" s="1067" t="s">
        <v>145</v>
      </c>
      <c r="C32" s="1067">
        <v>119</v>
      </c>
    </row>
    <row r="33" spans="1:3" x14ac:dyDescent="0.25">
      <c r="A33" s="1067" t="s">
        <v>202</v>
      </c>
      <c r="B33" s="1067" t="s">
        <v>149</v>
      </c>
      <c r="C33" s="1067">
        <v>49</v>
      </c>
    </row>
    <row r="34" spans="1:3" x14ac:dyDescent="0.25">
      <c r="A34" s="1067" t="s">
        <v>202</v>
      </c>
      <c r="B34" s="1067" t="s">
        <v>148</v>
      </c>
      <c r="C34" s="1067">
        <v>36</v>
      </c>
    </row>
    <row r="35" spans="1:3" x14ac:dyDescent="0.25">
      <c r="A35" s="1067" t="s">
        <v>273</v>
      </c>
      <c r="B35" s="1067" t="s">
        <v>160</v>
      </c>
      <c r="C35" s="1067">
        <v>2650</v>
      </c>
    </row>
    <row r="36" spans="1:3" x14ac:dyDescent="0.25">
      <c r="A36" s="1067" t="s">
        <v>273</v>
      </c>
      <c r="B36" s="1067" t="s">
        <v>144</v>
      </c>
      <c r="C36" s="1067">
        <v>1719</v>
      </c>
    </row>
    <row r="37" spans="1:3" x14ac:dyDescent="0.25">
      <c r="A37" s="1067" t="s">
        <v>273</v>
      </c>
      <c r="B37" s="1067" t="s">
        <v>146</v>
      </c>
      <c r="C37" s="1067">
        <v>1138</v>
      </c>
    </row>
    <row r="38" spans="1:3" x14ac:dyDescent="0.25">
      <c r="A38" s="1067" t="s">
        <v>273</v>
      </c>
      <c r="B38" s="1067" t="s">
        <v>152</v>
      </c>
      <c r="C38" s="1067">
        <v>523</v>
      </c>
    </row>
    <row r="39" spans="1:3" x14ac:dyDescent="0.25">
      <c r="A39" s="1067" t="s">
        <v>273</v>
      </c>
      <c r="B39" s="1067" t="s">
        <v>150</v>
      </c>
      <c r="C39" s="1067">
        <v>482</v>
      </c>
    </row>
    <row r="40" spans="1:3" x14ac:dyDescent="0.25">
      <c r="A40" s="1067" t="s">
        <v>273</v>
      </c>
      <c r="B40" s="1067" t="s">
        <v>143</v>
      </c>
      <c r="C40" s="1067">
        <v>396</v>
      </c>
    </row>
    <row r="41" spans="1:3" x14ac:dyDescent="0.25">
      <c r="A41" s="1067" t="s">
        <v>273</v>
      </c>
      <c r="B41" s="1067" t="s">
        <v>147</v>
      </c>
      <c r="C41" s="1067">
        <v>371</v>
      </c>
    </row>
    <row r="42" spans="1:3" x14ac:dyDescent="0.25">
      <c r="A42" s="1067" t="s">
        <v>273</v>
      </c>
      <c r="B42" s="1067" t="s">
        <v>151</v>
      </c>
      <c r="C42" s="1067">
        <v>363</v>
      </c>
    </row>
    <row r="43" spans="1:3" x14ac:dyDescent="0.25">
      <c r="A43" s="1067" t="s">
        <v>273</v>
      </c>
      <c r="B43" s="1067" t="s">
        <v>154</v>
      </c>
      <c r="C43" s="1067">
        <v>329</v>
      </c>
    </row>
    <row r="44" spans="1:3" x14ac:dyDescent="0.25">
      <c r="A44" s="1067" t="s">
        <v>273</v>
      </c>
      <c r="B44" s="1067" t="s">
        <v>155</v>
      </c>
      <c r="C44" s="1067">
        <v>275</v>
      </c>
    </row>
    <row r="45" spans="1:3" x14ac:dyDescent="0.25">
      <c r="A45" s="1067" t="s">
        <v>273</v>
      </c>
      <c r="B45" s="1067" t="s">
        <v>1310</v>
      </c>
      <c r="C45" s="1067">
        <v>243</v>
      </c>
    </row>
    <row r="46" spans="1:3" x14ac:dyDescent="0.25">
      <c r="A46" s="1067" t="s">
        <v>273</v>
      </c>
      <c r="B46" s="1067" t="s">
        <v>153</v>
      </c>
      <c r="C46" s="1067">
        <v>235</v>
      </c>
    </row>
    <row r="47" spans="1:3" x14ac:dyDescent="0.25">
      <c r="A47" s="1067" t="s">
        <v>273</v>
      </c>
      <c r="B47" s="1067" t="s">
        <v>145</v>
      </c>
      <c r="C47" s="1067">
        <v>128</v>
      </c>
    </row>
    <row r="48" spans="1:3" x14ac:dyDescent="0.25">
      <c r="A48" s="1067" t="s">
        <v>273</v>
      </c>
      <c r="B48" s="1067" t="s">
        <v>149</v>
      </c>
      <c r="C48" s="1067">
        <v>66</v>
      </c>
    </row>
    <row r="49" spans="1:3" x14ac:dyDescent="0.25">
      <c r="A49" s="1067" t="s">
        <v>273</v>
      </c>
      <c r="B49" s="1067" t="s">
        <v>148</v>
      </c>
      <c r="C49" s="1067">
        <v>21</v>
      </c>
    </row>
    <row r="50" spans="1:3" x14ac:dyDescent="0.25">
      <c r="A50" s="1067" t="s">
        <v>255</v>
      </c>
      <c r="B50" s="1067" t="s">
        <v>160</v>
      </c>
      <c r="C50" s="1067">
        <v>2077</v>
      </c>
    </row>
    <row r="51" spans="1:3" x14ac:dyDescent="0.25">
      <c r="A51" s="1067" t="s">
        <v>255</v>
      </c>
      <c r="B51" s="1067" t="s">
        <v>144</v>
      </c>
      <c r="C51" s="1067">
        <v>1653</v>
      </c>
    </row>
    <row r="52" spans="1:3" x14ac:dyDescent="0.25">
      <c r="A52" s="1067" t="s">
        <v>255</v>
      </c>
      <c r="B52" s="1067" t="s">
        <v>146</v>
      </c>
      <c r="C52" s="1067">
        <v>1167</v>
      </c>
    </row>
    <row r="53" spans="1:3" x14ac:dyDescent="0.25">
      <c r="A53" s="1067" t="s">
        <v>255</v>
      </c>
      <c r="B53" s="1067" t="s">
        <v>147</v>
      </c>
      <c r="C53" s="1067">
        <v>408</v>
      </c>
    </row>
    <row r="54" spans="1:3" x14ac:dyDescent="0.25">
      <c r="A54" s="1067" t="s">
        <v>255</v>
      </c>
      <c r="B54" s="1067" t="s">
        <v>143</v>
      </c>
      <c r="C54" s="1067">
        <v>367</v>
      </c>
    </row>
    <row r="55" spans="1:3" x14ac:dyDescent="0.25">
      <c r="A55" s="1067" t="s">
        <v>255</v>
      </c>
      <c r="B55" s="1067" t="s">
        <v>152</v>
      </c>
      <c r="C55" s="1067">
        <v>362</v>
      </c>
    </row>
    <row r="56" spans="1:3" x14ac:dyDescent="0.25">
      <c r="A56" s="1067" t="s">
        <v>255</v>
      </c>
      <c r="B56" s="1067" t="s">
        <v>150</v>
      </c>
      <c r="C56" s="1067">
        <v>332</v>
      </c>
    </row>
    <row r="57" spans="1:3" x14ac:dyDescent="0.25">
      <c r="A57" s="1067" t="s">
        <v>255</v>
      </c>
      <c r="B57" s="1067" t="s">
        <v>151</v>
      </c>
      <c r="C57" s="1067">
        <v>268</v>
      </c>
    </row>
    <row r="58" spans="1:3" x14ac:dyDescent="0.25">
      <c r="A58" s="1067" t="s">
        <v>255</v>
      </c>
      <c r="B58" s="1067" t="s">
        <v>153</v>
      </c>
      <c r="C58" s="1067">
        <v>240</v>
      </c>
    </row>
    <row r="59" spans="1:3" x14ac:dyDescent="0.25">
      <c r="A59" s="1067" t="s">
        <v>255</v>
      </c>
      <c r="B59" s="1067" t="s">
        <v>154</v>
      </c>
      <c r="C59" s="1067">
        <v>228</v>
      </c>
    </row>
    <row r="60" spans="1:3" x14ac:dyDescent="0.25">
      <c r="A60" s="1067" t="s">
        <v>255</v>
      </c>
      <c r="B60" s="1067" t="s">
        <v>155</v>
      </c>
      <c r="C60" s="1067">
        <v>220</v>
      </c>
    </row>
    <row r="61" spans="1:3" x14ac:dyDescent="0.25">
      <c r="A61" s="1067" t="s">
        <v>255</v>
      </c>
      <c r="B61" s="1067" t="s">
        <v>1310</v>
      </c>
      <c r="C61" s="1067">
        <v>113</v>
      </c>
    </row>
    <row r="62" spans="1:3" x14ac:dyDescent="0.25">
      <c r="A62" s="1067" t="s">
        <v>255</v>
      </c>
      <c r="B62" s="1067" t="s">
        <v>145</v>
      </c>
      <c r="C62" s="1067">
        <v>104</v>
      </c>
    </row>
    <row r="63" spans="1:3" x14ac:dyDescent="0.25">
      <c r="A63" s="1067" t="s">
        <v>255</v>
      </c>
      <c r="B63" s="1067" t="s">
        <v>149</v>
      </c>
      <c r="C63" s="1067">
        <v>59</v>
      </c>
    </row>
    <row r="64" spans="1:3" x14ac:dyDescent="0.25">
      <c r="A64" s="1067" t="s">
        <v>255</v>
      </c>
      <c r="B64" s="1067" t="s">
        <v>148</v>
      </c>
      <c r="C64" s="1067">
        <v>37</v>
      </c>
    </row>
    <row r="65" spans="1:3" x14ac:dyDescent="0.25">
      <c r="A65" s="1067" t="s">
        <v>254</v>
      </c>
      <c r="B65" s="1067" t="s">
        <v>160</v>
      </c>
      <c r="C65" s="1067">
        <v>1862</v>
      </c>
    </row>
    <row r="66" spans="1:3" x14ac:dyDescent="0.25">
      <c r="A66" s="1067" t="s">
        <v>254</v>
      </c>
      <c r="B66" s="1067" t="s">
        <v>144</v>
      </c>
      <c r="C66" s="1067">
        <v>1775</v>
      </c>
    </row>
    <row r="67" spans="1:3" x14ac:dyDescent="0.25">
      <c r="A67" s="1067" t="s">
        <v>254</v>
      </c>
      <c r="B67" s="1067" t="s">
        <v>146</v>
      </c>
      <c r="C67" s="1067">
        <v>1030</v>
      </c>
    </row>
    <row r="68" spans="1:3" x14ac:dyDescent="0.25">
      <c r="A68" s="1067" t="s">
        <v>254</v>
      </c>
      <c r="B68" s="1067" t="s">
        <v>143</v>
      </c>
      <c r="C68" s="1067">
        <v>471</v>
      </c>
    </row>
    <row r="69" spans="1:3" x14ac:dyDescent="0.25">
      <c r="A69" s="1067" t="s">
        <v>254</v>
      </c>
      <c r="B69" s="1067" t="s">
        <v>151</v>
      </c>
      <c r="C69" s="1067">
        <v>470</v>
      </c>
    </row>
    <row r="70" spans="1:3" x14ac:dyDescent="0.25">
      <c r="A70" s="1067" t="s">
        <v>254</v>
      </c>
      <c r="B70" s="1067" t="s">
        <v>152</v>
      </c>
      <c r="C70" s="1067">
        <v>382</v>
      </c>
    </row>
    <row r="71" spans="1:3" x14ac:dyDescent="0.25">
      <c r="A71" s="1067" t="s">
        <v>254</v>
      </c>
      <c r="B71" s="1067" t="s">
        <v>150</v>
      </c>
      <c r="C71" s="1067">
        <v>374</v>
      </c>
    </row>
    <row r="72" spans="1:3" x14ac:dyDescent="0.25">
      <c r="A72" s="1067" t="s">
        <v>254</v>
      </c>
      <c r="B72" s="1067" t="s">
        <v>147</v>
      </c>
      <c r="C72" s="1067">
        <v>323</v>
      </c>
    </row>
    <row r="73" spans="1:3" x14ac:dyDescent="0.25">
      <c r="A73" s="1067" t="s">
        <v>254</v>
      </c>
      <c r="B73" s="1067" t="s">
        <v>153</v>
      </c>
      <c r="C73" s="1067">
        <v>283</v>
      </c>
    </row>
    <row r="74" spans="1:3" x14ac:dyDescent="0.25">
      <c r="A74" s="1067" t="s">
        <v>254</v>
      </c>
      <c r="B74" s="1067" t="s">
        <v>154</v>
      </c>
      <c r="C74" s="1067">
        <v>267</v>
      </c>
    </row>
    <row r="75" spans="1:3" x14ac:dyDescent="0.25">
      <c r="A75" s="1067" t="s">
        <v>254</v>
      </c>
      <c r="B75" s="1067" t="s">
        <v>155</v>
      </c>
      <c r="C75" s="1067">
        <v>267</v>
      </c>
    </row>
    <row r="76" spans="1:3" x14ac:dyDescent="0.25">
      <c r="A76" s="1067" t="s">
        <v>254</v>
      </c>
      <c r="B76" s="1067" t="s">
        <v>1310</v>
      </c>
      <c r="C76" s="1067">
        <v>189</v>
      </c>
    </row>
    <row r="77" spans="1:3" x14ac:dyDescent="0.25">
      <c r="A77" s="1067" t="s">
        <v>254</v>
      </c>
      <c r="B77" s="1067" t="s">
        <v>145</v>
      </c>
      <c r="C77" s="1067">
        <v>88</v>
      </c>
    </row>
    <row r="78" spans="1:3" x14ac:dyDescent="0.25">
      <c r="A78" s="1067" t="s">
        <v>254</v>
      </c>
      <c r="B78" s="1067" t="s">
        <v>149</v>
      </c>
      <c r="C78" s="1067">
        <v>60</v>
      </c>
    </row>
    <row r="79" spans="1:3" x14ac:dyDescent="0.25">
      <c r="A79" s="1067" t="s">
        <v>254</v>
      </c>
      <c r="B79" s="1067" t="s">
        <v>148</v>
      </c>
      <c r="C79" s="1067">
        <v>31</v>
      </c>
    </row>
    <row r="80" spans="1:3" x14ac:dyDescent="0.25">
      <c r="A80" s="1067" t="s">
        <v>851</v>
      </c>
      <c r="B80" s="1067" t="s">
        <v>160</v>
      </c>
      <c r="C80" s="1067">
        <v>1951</v>
      </c>
    </row>
    <row r="81" spans="1:3" x14ac:dyDescent="0.25">
      <c r="A81" s="1067" t="s">
        <v>851</v>
      </c>
      <c r="B81" s="1067" t="s">
        <v>144</v>
      </c>
      <c r="C81" s="1067">
        <v>1486</v>
      </c>
    </row>
    <row r="82" spans="1:3" x14ac:dyDescent="0.25">
      <c r="A82" s="1067" t="s">
        <v>851</v>
      </c>
      <c r="B82" s="1067" t="s">
        <v>146</v>
      </c>
      <c r="C82" s="1067">
        <v>1081</v>
      </c>
    </row>
    <row r="83" spans="1:3" x14ac:dyDescent="0.25">
      <c r="A83" s="1067" t="s">
        <v>851</v>
      </c>
      <c r="B83" s="1067" t="s">
        <v>147</v>
      </c>
      <c r="C83" s="1067">
        <v>470</v>
      </c>
    </row>
    <row r="84" spans="1:3" x14ac:dyDescent="0.25">
      <c r="A84" s="1067" t="s">
        <v>851</v>
      </c>
      <c r="B84" s="1067" t="s">
        <v>152</v>
      </c>
      <c r="C84" s="1067">
        <v>358</v>
      </c>
    </row>
    <row r="85" spans="1:3" x14ac:dyDescent="0.25">
      <c r="A85" s="1067" t="s">
        <v>851</v>
      </c>
      <c r="B85" s="1067" t="s">
        <v>143</v>
      </c>
      <c r="C85" s="1067">
        <v>298</v>
      </c>
    </row>
    <row r="86" spans="1:3" x14ac:dyDescent="0.25">
      <c r="A86" s="1067" t="s">
        <v>851</v>
      </c>
      <c r="B86" s="1067" t="s">
        <v>150</v>
      </c>
      <c r="C86" s="1067">
        <v>289</v>
      </c>
    </row>
    <row r="87" spans="1:3" x14ac:dyDescent="0.25">
      <c r="A87" s="1067" t="s">
        <v>851</v>
      </c>
      <c r="B87" s="1067" t="s">
        <v>155</v>
      </c>
      <c r="C87" s="1067">
        <v>285</v>
      </c>
    </row>
    <row r="88" spans="1:3" x14ac:dyDescent="0.25">
      <c r="A88" s="1067" t="s">
        <v>851</v>
      </c>
      <c r="B88" s="1067" t="s">
        <v>153</v>
      </c>
      <c r="C88" s="1067">
        <v>279</v>
      </c>
    </row>
    <row r="89" spans="1:3" x14ac:dyDescent="0.25">
      <c r="A89" s="1067" t="s">
        <v>851</v>
      </c>
      <c r="B89" s="1067" t="s">
        <v>151</v>
      </c>
      <c r="C89" s="1067">
        <v>271</v>
      </c>
    </row>
    <row r="90" spans="1:3" x14ac:dyDescent="0.25">
      <c r="A90" s="1067" t="s">
        <v>851</v>
      </c>
      <c r="B90" s="1067" t="s">
        <v>154</v>
      </c>
      <c r="C90" s="1067">
        <v>241</v>
      </c>
    </row>
    <row r="91" spans="1:3" x14ac:dyDescent="0.25">
      <c r="A91" s="1067" t="s">
        <v>851</v>
      </c>
      <c r="B91" s="1067" t="s">
        <v>1310</v>
      </c>
      <c r="C91" s="1067">
        <v>117</v>
      </c>
    </row>
    <row r="92" spans="1:3" x14ac:dyDescent="0.25">
      <c r="A92" s="1067" t="s">
        <v>851</v>
      </c>
      <c r="B92" s="1067" t="s">
        <v>145</v>
      </c>
      <c r="C92" s="1067">
        <v>71</v>
      </c>
    </row>
    <row r="93" spans="1:3" x14ac:dyDescent="0.25">
      <c r="A93" s="1067" t="s">
        <v>851</v>
      </c>
      <c r="B93" s="1067" t="s">
        <v>149</v>
      </c>
      <c r="C93" s="1067">
        <v>39</v>
      </c>
    </row>
    <row r="94" spans="1:3" x14ac:dyDescent="0.25">
      <c r="A94" s="1067" t="s">
        <v>851</v>
      </c>
      <c r="B94" s="1067" t="s">
        <v>148</v>
      </c>
      <c r="C94" s="1067">
        <v>25</v>
      </c>
    </row>
  </sheetData>
  <sheetProtection algorithmName="SHA-512" hashValue="dpjEsGtfAzytFC+nwBCOqkcs75prw26TzhiZwWacIYVFAjxZvRanjEFyVo6hzDZtN97ZjUeMFy0zIJrcil6z8Q==" saltValue="eH6Qc91CxleA7BkW7WbSOg==" spinCount="100000" sheet="1" scenarios="1" formatCells="0" formatColumns="0" formatRows="0" sort="0" autoFilter="0" pivotTables="0"/>
  <pageMargins left="0.7" right="0.7" top="0.75" bottom="0.75" header="0.3" footer="0.3"/>
  <pageSetup paperSize="9" fitToHeight="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B3FF"/>
  </sheetPr>
  <dimension ref="A1:H80"/>
  <sheetViews>
    <sheetView topLeftCell="A25" workbookViewId="0">
      <selection activeCell="D45" sqref="D45"/>
    </sheetView>
  </sheetViews>
  <sheetFormatPr defaultRowHeight="15" x14ac:dyDescent="0.25"/>
  <cols>
    <col min="1" max="1" width="21.85546875" bestFit="1" customWidth="1"/>
    <col min="2" max="2" width="12" bestFit="1" customWidth="1"/>
    <col min="3" max="3" width="26.140625" customWidth="1"/>
    <col min="4" max="4" width="33.42578125" bestFit="1" customWidth="1"/>
    <col min="5" max="5" width="34.42578125" bestFit="1" customWidth="1"/>
    <col min="6" max="6" width="31.85546875" bestFit="1" customWidth="1"/>
    <col min="7" max="7" width="24.140625" bestFit="1" customWidth="1"/>
    <col min="8" max="8" width="16.85546875" customWidth="1"/>
  </cols>
  <sheetData>
    <row r="1" spans="1:6" x14ac:dyDescent="0.25">
      <c r="D1" s="567"/>
      <c r="E1" s="567"/>
    </row>
    <row r="2" spans="1:6" x14ac:dyDescent="0.25">
      <c r="D2" s="567"/>
      <c r="E2" s="567"/>
    </row>
    <row r="3" spans="1:6" x14ac:dyDescent="0.25">
      <c r="D3" s="567"/>
      <c r="E3" s="567"/>
    </row>
    <row r="4" spans="1:6" x14ac:dyDescent="0.25">
      <c r="D4" s="567"/>
      <c r="E4" s="567"/>
    </row>
    <row r="5" spans="1:6" x14ac:dyDescent="0.25">
      <c r="A5" s="565" t="s">
        <v>329</v>
      </c>
      <c r="B5" t="s">
        <v>851</v>
      </c>
      <c r="C5" s="567"/>
      <c r="D5" s="567"/>
      <c r="E5" s="567"/>
    </row>
    <row r="6" spans="1:6" x14ac:dyDescent="0.25">
      <c r="A6" s="566"/>
      <c r="B6" s="567"/>
      <c r="C6" s="567"/>
      <c r="D6" s="567"/>
      <c r="E6" s="567"/>
    </row>
    <row r="7" spans="1:6" x14ac:dyDescent="0.25">
      <c r="A7" s="565" t="s">
        <v>246</v>
      </c>
      <c r="B7" t="s">
        <v>252</v>
      </c>
      <c r="C7" t="s">
        <v>338</v>
      </c>
      <c r="D7" t="s">
        <v>339</v>
      </c>
      <c r="E7" t="s">
        <v>340</v>
      </c>
      <c r="F7" t="s">
        <v>341</v>
      </c>
    </row>
    <row r="8" spans="1:6" x14ac:dyDescent="0.25">
      <c r="A8" s="1068" t="s">
        <v>31</v>
      </c>
      <c r="B8" s="567">
        <v>42</v>
      </c>
      <c r="C8" s="567">
        <v>18</v>
      </c>
      <c r="D8" s="567">
        <v>2</v>
      </c>
      <c r="E8" s="567">
        <v>10</v>
      </c>
      <c r="F8" s="567">
        <v>12</v>
      </c>
    </row>
    <row r="9" spans="1:6" x14ac:dyDescent="0.25">
      <c r="A9" s="1068" t="s">
        <v>32</v>
      </c>
      <c r="B9" s="567">
        <v>76</v>
      </c>
      <c r="C9" s="567">
        <v>62</v>
      </c>
      <c r="D9" s="567"/>
      <c r="E9" s="567">
        <v>12</v>
      </c>
      <c r="F9" s="567">
        <v>2</v>
      </c>
    </row>
    <row r="10" spans="1:6" x14ac:dyDescent="0.25">
      <c r="A10" s="1068" t="s">
        <v>33</v>
      </c>
      <c r="B10" s="567">
        <v>26</v>
      </c>
      <c r="C10" s="567">
        <v>22</v>
      </c>
      <c r="D10" s="567"/>
      <c r="E10" s="567">
        <v>2</v>
      </c>
      <c r="F10" s="567">
        <v>2</v>
      </c>
    </row>
    <row r="11" spans="1:6" x14ac:dyDescent="0.25">
      <c r="A11" s="1068" t="s">
        <v>34</v>
      </c>
      <c r="B11" s="567">
        <v>94</v>
      </c>
      <c r="C11" s="567">
        <v>48</v>
      </c>
      <c r="D11" s="567">
        <v>2</v>
      </c>
      <c r="E11" s="567">
        <v>44</v>
      </c>
      <c r="F11" s="567"/>
    </row>
    <row r="12" spans="1:6" x14ac:dyDescent="0.25">
      <c r="A12" s="1068" t="s">
        <v>258</v>
      </c>
      <c r="B12" s="567">
        <v>50</v>
      </c>
      <c r="C12" s="567">
        <v>24</v>
      </c>
      <c r="D12" s="567">
        <v>6</v>
      </c>
      <c r="E12" s="567">
        <v>10</v>
      </c>
      <c r="F12" s="567">
        <v>10</v>
      </c>
    </row>
    <row r="13" spans="1:6" x14ac:dyDescent="0.25">
      <c r="A13" s="1068" t="s">
        <v>35</v>
      </c>
      <c r="B13" s="567">
        <v>8</v>
      </c>
      <c r="C13" s="567">
        <v>4</v>
      </c>
      <c r="D13" s="567"/>
      <c r="E13" s="567">
        <v>4</v>
      </c>
      <c r="F13" s="567"/>
    </row>
    <row r="14" spans="1:6" x14ac:dyDescent="0.25">
      <c r="A14" s="1068" t="s">
        <v>36</v>
      </c>
      <c r="B14" s="567">
        <v>56</v>
      </c>
      <c r="C14" s="567">
        <v>42</v>
      </c>
      <c r="D14" s="567">
        <v>2</v>
      </c>
      <c r="E14" s="567">
        <v>12</v>
      </c>
      <c r="F14" s="567"/>
    </row>
    <row r="15" spans="1:6" x14ac:dyDescent="0.25">
      <c r="A15" s="1068" t="s">
        <v>37</v>
      </c>
      <c r="B15" s="567">
        <v>38</v>
      </c>
      <c r="C15" s="567">
        <v>14</v>
      </c>
      <c r="D15" s="567">
        <v>4</v>
      </c>
      <c r="E15" s="567">
        <v>6</v>
      </c>
      <c r="F15" s="567">
        <v>14</v>
      </c>
    </row>
    <row r="16" spans="1:6" x14ac:dyDescent="0.25">
      <c r="A16" s="1068" t="s">
        <v>38</v>
      </c>
      <c r="B16" s="567">
        <v>22</v>
      </c>
      <c r="C16" s="567">
        <v>18</v>
      </c>
      <c r="D16" s="567">
        <v>2</v>
      </c>
      <c r="E16" s="567"/>
      <c r="F16" s="567">
        <v>2</v>
      </c>
    </row>
    <row r="17" spans="1:6" x14ac:dyDescent="0.25">
      <c r="A17" s="1068" t="s">
        <v>39</v>
      </c>
      <c r="B17" s="567">
        <v>10</v>
      </c>
      <c r="C17" s="567">
        <v>6</v>
      </c>
      <c r="D17" s="567"/>
      <c r="E17" s="567"/>
      <c r="F17" s="567">
        <v>4</v>
      </c>
    </row>
    <row r="18" spans="1:6" x14ac:dyDescent="0.25">
      <c r="A18" s="1068" t="s">
        <v>40</v>
      </c>
      <c r="B18" s="567">
        <v>20</v>
      </c>
      <c r="C18" s="567">
        <v>18</v>
      </c>
      <c r="D18" s="567"/>
      <c r="E18" s="567">
        <v>2</v>
      </c>
      <c r="F18" s="567"/>
    </row>
    <row r="19" spans="1:6" x14ac:dyDescent="0.25">
      <c r="A19" s="1068" t="s">
        <v>41</v>
      </c>
      <c r="B19" s="567">
        <v>4</v>
      </c>
      <c r="C19" s="567">
        <v>4</v>
      </c>
      <c r="D19" s="567"/>
      <c r="E19" s="567"/>
      <c r="F19" s="567"/>
    </row>
    <row r="20" spans="1:6" x14ac:dyDescent="0.25">
      <c r="A20" s="1068" t="s">
        <v>42</v>
      </c>
      <c r="B20" s="567">
        <v>36</v>
      </c>
      <c r="C20" s="567">
        <v>18</v>
      </c>
      <c r="D20" s="567">
        <v>4</v>
      </c>
      <c r="E20" s="567">
        <v>10</v>
      </c>
      <c r="F20" s="567">
        <v>4</v>
      </c>
    </row>
    <row r="21" spans="1:6" x14ac:dyDescent="0.25">
      <c r="A21" s="1068" t="s">
        <v>43</v>
      </c>
      <c r="B21" s="567">
        <v>60</v>
      </c>
      <c r="C21" s="567">
        <v>38</v>
      </c>
      <c r="D21" s="567">
        <v>4</v>
      </c>
      <c r="E21" s="567">
        <v>14</v>
      </c>
      <c r="F21" s="567">
        <v>4</v>
      </c>
    </row>
    <row r="22" spans="1:6" x14ac:dyDescent="0.25">
      <c r="A22" s="1068" t="s">
        <v>121</v>
      </c>
      <c r="B22" s="567">
        <v>56</v>
      </c>
      <c r="C22" s="567">
        <v>38</v>
      </c>
      <c r="D22" s="567">
        <v>6</v>
      </c>
      <c r="E22" s="567">
        <v>12</v>
      </c>
      <c r="F22" s="567"/>
    </row>
    <row r="23" spans="1:6" x14ac:dyDescent="0.25">
      <c r="A23" s="1068" t="s">
        <v>44</v>
      </c>
      <c r="B23" s="567">
        <v>166</v>
      </c>
      <c r="C23" s="567">
        <v>130</v>
      </c>
      <c r="D23" s="567">
        <v>4</v>
      </c>
      <c r="E23" s="567">
        <v>26</v>
      </c>
      <c r="F23" s="567">
        <v>6</v>
      </c>
    </row>
    <row r="24" spans="1:6" x14ac:dyDescent="0.25">
      <c r="A24" s="1068" t="s">
        <v>45</v>
      </c>
      <c r="B24" s="567">
        <v>14</v>
      </c>
      <c r="C24" s="567">
        <v>12</v>
      </c>
      <c r="D24" s="567">
        <v>2</v>
      </c>
      <c r="E24" s="567"/>
      <c r="F24" s="567"/>
    </row>
    <row r="25" spans="1:6" x14ac:dyDescent="0.25">
      <c r="A25" s="1068" t="s">
        <v>46</v>
      </c>
      <c r="B25" s="567">
        <v>6</v>
      </c>
      <c r="C25" s="567">
        <v>4</v>
      </c>
      <c r="D25" s="567"/>
      <c r="E25" s="567">
        <v>2</v>
      </c>
      <c r="F25" s="567"/>
    </row>
    <row r="26" spans="1:6" x14ac:dyDescent="0.25">
      <c r="A26" s="1068" t="s">
        <v>47</v>
      </c>
      <c r="B26" s="567">
        <v>40</v>
      </c>
      <c r="C26" s="567">
        <v>26</v>
      </c>
      <c r="D26" s="567"/>
      <c r="E26" s="567">
        <v>12</v>
      </c>
      <c r="F26" s="567">
        <v>2</v>
      </c>
    </row>
    <row r="27" spans="1:6" x14ac:dyDescent="0.25">
      <c r="A27" s="1068" t="s">
        <v>48</v>
      </c>
      <c r="B27" s="567">
        <v>34</v>
      </c>
      <c r="C27" s="567">
        <v>32</v>
      </c>
      <c r="D27" s="567"/>
      <c r="E27" s="567">
        <v>2</v>
      </c>
      <c r="F27" s="567"/>
    </row>
    <row r="28" spans="1:6" x14ac:dyDescent="0.25">
      <c r="A28" s="1068" t="s">
        <v>49</v>
      </c>
      <c r="B28" s="567">
        <v>40</v>
      </c>
      <c r="C28" s="567">
        <v>32</v>
      </c>
      <c r="D28" s="567"/>
      <c r="E28" s="567">
        <v>6</v>
      </c>
      <c r="F28" s="567">
        <v>2</v>
      </c>
    </row>
    <row r="29" spans="1:6" x14ac:dyDescent="0.25">
      <c r="A29" s="1068" t="s">
        <v>50</v>
      </c>
      <c r="B29" s="567">
        <v>30</v>
      </c>
      <c r="C29" s="567">
        <v>16</v>
      </c>
      <c r="D29" s="567">
        <v>2</v>
      </c>
      <c r="E29" s="567">
        <v>8</v>
      </c>
      <c r="F29" s="567">
        <v>4</v>
      </c>
    </row>
    <row r="30" spans="1:6" x14ac:dyDescent="0.25">
      <c r="A30" s="1068" t="s">
        <v>51</v>
      </c>
      <c r="B30" s="567">
        <v>34</v>
      </c>
      <c r="C30" s="567">
        <v>32</v>
      </c>
      <c r="D30" s="567"/>
      <c r="E30" s="567">
        <v>2</v>
      </c>
      <c r="F30" s="567"/>
    </row>
    <row r="31" spans="1:6" x14ac:dyDescent="0.25">
      <c r="A31" s="1068" t="s">
        <v>52</v>
      </c>
      <c r="B31" s="567">
        <v>46</v>
      </c>
      <c r="C31" s="567">
        <v>30</v>
      </c>
      <c r="D31" s="567">
        <v>2</v>
      </c>
      <c r="E31" s="567">
        <v>8</v>
      </c>
      <c r="F31" s="567">
        <v>6</v>
      </c>
    </row>
    <row r="32" spans="1:6" x14ac:dyDescent="0.25">
      <c r="A32" s="1068" t="s">
        <v>53</v>
      </c>
      <c r="B32" s="567">
        <v>18</v>
      </c>
      <c r="C32" s="567">
        <v>8</v>
      </c>
      <c r="D32" s="567">
        <v>4</v>
      </c>
      <c r="E32" s="567">
        <v>6</v>
      </c>
      <c r="F32" s="567"/>
    </row>
    <row r="33" spans="1:8" x14ac:dyDescent="0.25">
      <c r="A33" s="1068" t="s">
        <v>54</v>
      </c>
      <c r="B33" s="567">
        <v>40</v>
      </c>
      <c r="C33" s="567">
        <v>34</v>
      </c>
      <c r="D33" s="567"/>
      <c r="E33" s="567">
        <v>6</v>
      </c>
      <c r="F33" s="567"/>
    </row>
    <row r="34" spans="1:8" x14ac:dyDescent="0.25">
      <c r="A34" s="1068" t="s">
        <v>55</v>
      </c>
      <c r="B34" s="567">
        <v>32</v>
      </c>
      <c r="C34" s="567">
        <v>28</v>
      </c>
      <c r="D34" s="567"/>
      <c r="E34" s="567">
        <v>4</v>
      </c>
      <c r="F34" s="567"/>
    </row>
    <row r="35" spans="1:8" x14ac:dyDescent="0.25">
      <c r="A35" s="1068" t="s">
        <v>56</v>
      </c>
      <c r="B35" s="567">
        <v>18</v>
      </c>
      <c r="C35" s="567">
        <v>14</v>
      </c>
      <c r="D35" s="567">
        <v>2</v>
      </c>
      <c r="E35" s="567">
        <v>2</v>
      </c>
      <c r="F35" s="567"/>
    </row>
    <row r="36" spans="1:8" x14ac:dyDescent="0.25">
      <c r="A36" s="1068" t="s">
        <v>57</v>
      </c>
      <c r="B36" s="567">
        <v>46</v>
      </c>
      <c r="C36" s="567">
        <v>28</v>
      </c>
      <c r="D36" s="567">
        <v>2</v>
      </c>
      <c r="E36" s="567">
        <v>14</v>
      </c>
      <c r="F36" s="567">
        <v>2</v>
      </c>
    </row>
    <row r="37" spans="1:8" x14ac:dyDescent="0.25">
      <c r="A37" s="1068" t="s">
        <v>58</v>
      </c>
      <c r="B37" s="567">
        <v>32</v>
      </c>
      <c r="C37" s="567">
        <v>18</v>
      </c>
      <c r="D37" s="567"/>
      <c r="E37" s="567">
        <v>14</v>
      </c>
      <c r="F37" s="567"/>
    </row>
    <row r="38" spans="1:8" x14ac:dyDescent="0.25">
      <c r="A38" s="1068" t="s">
        <v>59</v>
      </c>
      <c r="B38" s="567">
        <v>14</v>
      </c>
      <c r="C38" s="567">
        <v>8</v>
      </c>
      <c r="D38" s="567">
        <v>2</v>
      </c>
      <c r="E38" s="567">
        <v>2</v>
      </c>
      <c r="F38" s="567">
        <v>2</v>
      </c>
    </row>
    <row r="39" spans="1:8" x14ac:dyDescent="0.25">
      <c r="A39" s="1068" t="s">
        <v>60</v>
      </c>
      <c r="B39" s="567">
        <v>20</v>
      </c>
      <c r="C39" s="567">
        <v>16</v>
      </c>
      <c r="D39" s="567"/>
      <c r="E39" s="567">
        <v>4</v>
      </c>
      <c r="F39" s="567"/>
    </row>
    <row r="40" spans="1:8" x14ac:dyDescent="0.25">
      <c r="A40" s="1068" t="s">
        <v>251</v>
      </c>
      <c r="B40" s="567">
        <v>1228</v>
      </c>
      <c r="C40" s="567">
        <v>842</v>
      </c>
      <c r="D40" s="567">
        <v>52</v>
      </c>
      <c r="E40" s="567">
        <v>256</v>
      </c>
      <c r="F40" s="567">
        <v>78</v>
      </c>
    </row>
    <row r="45" spans="1:8" x14ac:dyDescent="0.25">
      <c r="A45" s="565" t="s">
        <v>329</v>
      </c>
      <c r="B45" t="s">
        <v>851</v>
      </c>
      <c r="D45" t="str">
        <f>B45</f>
        <v>2019-20</v>
      </c>
    </row>
    <row r="47" spans="1:8" x14ac:dyDescent="0.25">
      <c r="A47" s="565" t="s">
        <v>246</v>
      </c>
      <c r="B47" t="s">
        <v>252</v>
      </c>
      <c r="C47" t="s">
        <v>338</v>
      </c>
      <c r="D47" t="s">
        <v>461</v>
      </c>
      <c r="E47" t="s">
        <v>459</v>
      </c>
      <c r="F47" t="s">
        <v>458</v>
      </c>
      <c r="G47" t="s">
        <v>460</v>
      </c>
      <c r="H47" t="s">
        <v>341</v>
      </c>
    </row>
    <row r="48" spans="1:8" x14ac:dyDescent="0.25">
      <c r="A48" s="1068" t="s">
        <v>31</v>
      </c>
      <c r="B48" s="567">
        <v>42</v>
      </c>
      <c r="C48" s="567">
        <v>18</v>
      </c>
      <c r="D48" s="567">
        <v>2</v>
      </c>
      <c r="E48" s="567">
        <v>2</v>
      </c>
      <c r="F48" s="567"/>
      <c r="G48" s="567">
        <v>8</v>
      </c>
      <c r="H48" s="567">
        <v>12</v>
      </c>
    </row>
    <row r="49" spans="1:8" x14ac:dyDescent="0.25">
      <c r="A49" s="1068" t="s">
        <v>32</v>
      </c>
      <c r="B49" s="567">
        <v>76</v>
      </c>
      <c r="C49" s="567">
        <v>62</v>
      </c>
      <c r="D49" s="567"/>
      <c r="E49" s="567">
        <v>2</v>
      </c>
      <c r="F49" s="567"/>
      <c r="G49" s="567">
        <v>10</v>
      </c>
      <c r="H49" s="567">
        <v>2</v>
      </c>
    </row>
    <row r="50" spans="1:8" x14ac:dyDescent="0.25">
      <c r="A50" s="1068" t="s">
        <v>33</v>
      </c>
      <c r="B50" s="567">
        <v>26</v>
      </c>
      <c r="C50" s="567">
        <v>22</v>
      </c>
      <c r="D50" s="567"/>
      <c r="E50" s="567"/>
      <c r="F50" s="567"/>
      <c r="G50" s="567">
        <v>2</v>
      </c>
      <c r="H50" s="567">
        <v>2</v>
      </c>
    </row>
    <row r="51" spans="1:8" x14ac:dyDescent="0.25">
      <c r="A51" s="1068" t="s">
        <v>34</v>
      </c>
      <c r="B51" s="567">
        <v>94</v>
      </c>
      <c r="C51" s="567">
        <v>48</v>
      </c>
      <c r="D51" s="567">
        <v>2</v>
      </c>
      <c r="E51" s="567">
        <v>2</v>
      </c>
      <c r="F51" s="567">
        <v>34</v>
      </c>
      <c r="G51" s="567">
        <v>8</v>
      </c>
      <c r="H51" s="567"/>
    </row>
    <row r="52" spans="1:8" x14ac:dyDescent="0.25">
      <c r="A52" s="1068" t="s">
        <v>258</v>
      </c>
      <c r="B52" s="567">
        <v>50</v>
      </c>
      <c r="C52" s="567">
        <v>24</v>
      </c>
      <c r="D52" s="567">
        <v>6</v>
      </c>
      <c r="E52" s="567">
        <v>4</v>
      </c>
      <c r="F52" s="567"/>
      <c r="G52" s="567">
        <v>6</v>
      </c>
      <c r="H52" s="567">
        <v>10</v>
      </c>
    </row>
    <row r="53" spans="1:8" x14ac:dyDescent="0.25">
      <c r="A53" s="1068" t="s">
        <v>35</v>
      </c>
      <c r="B53" s="567">
        <v>8</v>
      </c>
      <c r="C53" s="567">
        <v>4</v>
      </c>
      <c r="D53" s="567"/>
      <c r="E53" s="567">
        <v>2</v>
      </c>
      <c r="F53" s="567"/>
      <c r="G53" s="567">
        <v>2</v>
      </c>
      <c r="H53" s="567"/>
    </row>
    <row r="54" spans="1:8" x14ac:dyDescent="0.25">
      <c r="A54" s="1068" t="s">
        <v>36</v>
      </c>
      <c r="B54" s="567">
        <v>56</v>
      </c>
      <c r="C54" s="567">
        <v>42</v>
      </c>
      <c r="D54" s="567">
        <v>2</v>
      </c>
      <c r="E54" s="567">
        <v>6</v>
      </c>
      <c r="F54" s="567"/>
      <c r="G54" s="567">
        <v>6</v>
      </c>
      <c r="H54" s="567"/>
    </row>
    <row r="55" spans="1:8" x14ac:dyDescent="0.25">
      <c r="A55" s="1068" t="s">
        <v>37</v>
      </c>
      <c r="B55" s="567">
        <v>38</v>
      </c>
      <c r="C55" s="567">
        <v>14</v>
      </c>
      <c r="D55" s="567">
        <v>4</v>
      </c>
      <c r="E55" s="567">
        <v>2</v>
      </c>
      <c r="F55" s="567"/>
      <c r="G55" s="567">
        <v>4</v>
      </c>
      <c r="H55" s="567">
        <v>14</v>
      </c>
    </row>
    <row r="56" spans="1:8" x14ac:dyDescent="0.25">
      <c r="A56" s="1068" t="s">
        <v>38</v>
      </c>
      <c r="B56" s="567">
        <v>22</v>
      </c>
      <c r="C56" s="567">
        <v>18</v>
      </c>
      <c r="D56" s="567">
        <v>2</v>
      </c>
      <c r="E56" s="567"/>
      <c r="F56" s="567"/>
      <c r="G56" s="567"/>
      <c r="H56" s="567">
        <v>2</v>
      </c>
    </row>
    <row r="57" spans="1:8" x14ac:dyDescent="0.25">
      <c r="A57" s="1068" t="s">
        <v>39</v>
      </c>
      <c r="B57" s="567">
        <v>10</v>
      </c>
      <c r="C57" s="567">
        <v>6</v>
      </c>
      <c r="D57" s="567"/>
      <c r="E57" s="567"/>
      <c r="F57" s="567"/>
      <c r="G57" s="567"/>
      <c r="H57" s="567">
        <v>4</v>
      </c>
    </row>
    <row r="58" spans="1:8" x14ac:dyDescent="0.25">
      <c r="A58" s="1068" t="s">
        <v>40</v>
      </c>
      <c r="B58" s="567">
        <v>20</v>
      </c>
      <c r="C58" s="567">
        <v>18</v>
      </c>
      <c r="D58" s="567"/>
      <c r="E58" s="567"/>
      <c r="F58" s="567"/>
      <c r="G58" s="567">
        <v>2</v>
      </c>
      <c r="H58" s="567"/>
    </row>
    <row r="59" spans="1:8" x14ac:dyDescent="0.25">
      <c r="A59" s="1068" t="s">
        <v>41</v>
      </c>
      <c r="B59" s="567">
        <v>4</v>
      </c>
      <c r="C59" s="567">
        <v>4</v>
      </c>
      <c r="D59" s="567"/>
      <c r="E59" s="567"/>
      <c r="F59" s="567"/>
      <c r="G59" s="567"/>
      <c r="H59" s="567"/>
    </row>
    <row r="60" spans="1:8" x14ac:dyDescent="0.25">
      <c r="A60" s="1068" t="s">
        <v>42</v>
      </c>
      <c r="B60" s="567">
        <v>36</v>
      </c>
      <c r="C60" s="567">
        <v>18</v>
      </c>
      <c r="D60" s="567">
        <v>4</v>
      </c>
      <c r="E60" s="567"/>
      <c r="F60" s="567"/>
      <c r="G60" s="567">
        <v>10</v>
      </c>
      <c r="H60" s="567">
        <v>4</v>
      </c>
    </row>
    <row r="61" spans="1:8" x14ac:dyDescent="0.25">
      <c r="A61" s="1068" t="s">
        <v>43</v>
      </c>
      <c r="B61" s="567">
        <v>60</v>
      </c>
      <c r="C61" s="567">
        <v>38</v>
      </c>
      <c r="D61" s="567">
        <v>4</v>
      </c>
      <c r="E61" s="567">
        <v>4</v>
      </c>
      <c r="F61" s="567"/>
      <c r="G61" s="567">
        <v>10</v>
      </c>
      <c r="H61" s="567">
        <v>4</v>
      </c>
    </row>
    <row r="62" spans="1:8" x14ac:dyDescent="0.25">
      <c r="A62" s="1068" t="s">
        <v>121</v>
      </c>
      <c r="B62" s="567">
        <v>56</v>
      </c>
      <c r="C62" s="567">
        <v>38</v>
      </c>
      <c r="D62" s="567">
        <v>6</v>
      </c>
      <c r="E62" s="567">
        <v>6</v>
      </c>
      <c r="F62" s="567"/>
      <c r="G62" s="567">
        <v>6</v>
      </c>
      <c r="H62" s="567"/>
    </row>
    <row r="63" spans="1:8" x14ac:dyDescent="0.25">
      <c r="A63" s="1068" t="s">
        <v>44</v>
      </c>
      <c r="B63" s="567">
        <v>166</v>
      </c>
      <c r="C63" s="567">
        <v>130</v>
      </c>
      <c r="D63" s="567">
        <v>4</v>
      </c>
      <c r="E63" s="567">
        <v>6</v>
      </c>
      <c r="F63" s="567">
        <v>16</v>
      </c>
      <c r="G63" s="567">
        <v>4</v>
      </c>
      <c r="H63" s="567">
        <v>6</v>
      </c>
    </row>
    <row r="64" spans="1:8" x14ac:dyDescent="0.25">
      <c r="A64" s="1068" t="s">
        <v>45</v>
      </c>
      <c r="B64" s="567">
        <v>14</v>
      </c>
      <c r="C64" s="567">
        <v>12</v>
      </c>
      <c r="D64" s="567">
        <v>2</v>
      </c>
      <c r="E64" s="567"/>
      <c r="F64" s="567"/>
      <c r="G64" s="567"/>
      <c r="H64" s="567"/>
    </row>
    <row r="65" spans="1:8" x14ac:dyDescent="0.25">
      <c r="A65" s="1068" t="s">
        <v>46</v>
      </c>
      <c r="B65" s="567">
        <v>6</v>
      </c>
      <c r="C65" s="567">
        <v>4</v>
      </c>
      <c r="D65" s="567"/>
      <c r="E65" s="567"/>
      <c r="F65" s="567"/>
      <c r="G65" s="567">
        <v>2</v>
      </c>
      <c r="H65" s="567"/>
    </row>
    <row r="66" spans="1:8" x14ac:dyDescent="0.25">
      <c r="A66" s="1068" t="s">
        <v>47</v>
      </c>
      <c r="B66" s="567">
        <v>40</v>
      </c>
      <c r="C66" s="567">
        <v>26</v>
      </c>
      <c r="D66" s="567"/>
      <c r="E66" s="567">
        <v>2</v>
      </c>
      <c r="F66" s="567">
        <v>4</v>
      </c>
      <c r="G66" s="567">
        <v>6</v>
      </c>
      <c r="H66" s="567">
        <v>2</v>
      </c>
    </row>
    <row r="67" spans="1:8" x14ac:dyDescent="0.25">
      <c r="A67" s="1068" t="s">
        <v>48</v>
      </c>
      <c r="B67" s="567">
        <v>34</v>
      </c>
      <c r="C67" s="567">
        <v>32</v>
      </c>
      <c r="D67" s="567"/>
      <c r="E67" s="567"/>
      <c r="F67" s="567">
        <v>2</v>
      </c>
      <c r="G67" s="567"/>
      <c r="H67" s="567"/>
    </row>
    <row r="68" spans="1:8" x14ac:dyDescent="0.25">
      <c r="A68" s="1068" t="s">
        <v>49</v>
      </c>
      <c r="B68" s="567">
        <v>40</v>
      </c>
      <c r="C68" s="567">
        <v>32</v>
      </c>
      <c r="D68" s="567"/>
      <c r="E68" s="567"/>
      <c r="F68" s="567">
        <v>2</v>
      </c>
      <c r="G68" s="567">
        <v>4</v>
      </c>
      <c r="H68" s="567">
        <v>2</v>
      </c>
    </row>
    <row r="69" spans="1:8" x14ac:dyDescent="0.25">
      <c r="A69" s="1068" t="s">
        <v>50</v>
      </c>
      <c r="B69" s="567">
        <v>30</v>
      </c>
      <c r="C69" s="567">
        <v>16</v>
      </c>
      <c r="D69" s="567">
        <v>2</v>
      </c>
      <c r="E69" s="567">
        <v>2</v>
      </c>
      <c r="F69" s="567"/>
      <c r="G69" s="567">
        <v>6</v>
      </c>
      <c r="H69" s="567">
        <v>4</v>
      </c>
    </row>
    <row r="70" spans="1:8" x14ac:dyDescent="0.25">
      <c r="A70" s="1068" t="s">
        <v>51</v>
      </c>
      <c r="B70" s="567">
        <v>34</v>
      </c>
      <c r="C70" s="567">
        <v>32</v>
      </c>
      <c r="D70" s="567"/>
      <c r="E70" s="567"/>
      <c r="F70" s="567">
        <v>2</v>
      </c>
      <c r="G70" s="567"/>
      <c r="H70" s="567"/>
    </row>
    <row r="71" spans="1:8" x14ac:dyDescent="0.25">
      <c r="A71" s="1068" t="s">
        <v>52</v>
      </c>
      <c r="B71" s="567">
        <v>46</v>
      </c>
      <c r="C71" s="567">
        <v>30</v>
      </c>
      <c r="D71" s="567">
        <v>2</v>
      </c>
      <c r="E71" s="567">
        <v>2</v>
      </c>
      <c r="F71" s="567">
        <v>6</v>
      </c>
      <c r="G71" s="567"/>
      <c r="H71" s="567">
        <v>6</v>
      </c>
    </row>
    <row r="72" spans="1:8" x14ac:dyDescent="0.25">
      <c r="A72" s="1068" t="s">
        <v>53</v>
      </c>
      <c r="B72" s="567">
        <v>18</v>
      </c>
      <c r="C72" s="567">
        <v>8</v>
      </c>
      <c r="D72" s="567">
        <v>4</v>
      </c>
      <c r="E72" s="567"/>
      <c r="F72" s="567"/>
      <c r="G72" s="567">
        <v>6</v>
      </c>
      <c r="H72" s="567"/>
    </row>
    <row r="73" spans="1:8" x14ac:dyDescent="0.25">
      <c r="A73" s="1068" t="s">
        <v>54</v>
      </c>
      <c r="B73" s="567">
        <v>40</v>
      </c>
      <c r="C73" s="567">
        <v>34</v>
      </c>
      <c r="D73" s="567"/>
      <c r="E73" s="567">
        <v>4</v>
      </c>
      <c r="F73" s="567"/>
      <c r="G73" s="567">
        <v>2</v>
      </c>
      <c r="H73" s="567"/>
    </row>
    <row r="74" spans="1:8" x14ac:dyDescent="0.25">
      <c r="A74" s="1068" t="s">
        <v>55</v>
      </c>
      <c r="B74" s="567">
        <v>32</v>
      </c>
      <c r="C74" s="567">
        <v>28</v>
      </c>
      <c r="D74" s="567"/>
      <c r="E74" s="567"/>
      <c r="F74" s="567">
        <v>2</v>
      </c>
      <c r="G74" s="567">
        <v>2</v>
      </c>
      <c r="H74" s="567"/>
    </row>
    <row r="75" spans="1:8" x14ac:dyDescent="0.25">
      <c r="A75" s="1068" t="s">
        <v>56</v>
      </c>
      <c r="B75" s="567">
        <v>18</v>
      </c>
      <c r="C75" s="567">
        <v>14</v>
      </c>
      <c r="D75" s="567">
        <v>2</v>
      </c>
      <c r="E75" s="567">
        <v>2</v>
      </c>
      <c r="F75" s="567"/>
      <c r="G75" s="567"/>
      <c r="H75" s="567"/>
    </row>
    <row r="76" spans="1:8" x14ac:dyDescent="0.25">
      <c r="A76" s="1068" t="s">
        <v>57</v>
      </c>
      <c r="B76" s="567">
        <v>46</v>
      </c>
      <c r="C76" s="567">
        <v>28</v>
      </c>
      <c r="D76" s="567">
        <v>2</v>
      </c>
      <c r="E76" s="567">
        <v>4</v>
      </c>
      <c r="F76" s="567"/>
      <c r="G76" s="567">
        <v>10</v>
      </c>
      <c r="H76" s="567">
        <v>2</v>
      </c>
    </row>
    <row r="77" spans="1:8" x14ac:dyDescent="0.25">
      <c r="A77" s="1068" t="s">
        <v>58</v>
      </c>
      <c r="B77" s="567">
        <v>32</v>
      </c>
      <c r="C77" s="567">
        <v>18</v>
      </c>
      <c r="D77" s="567"/>
      <c r="E77" s="567">
        <v>4</v>
      </c>
      <c r="F77" s="567">
        <v>4</v>
      </c>
      <c r="G77" s="567">
        <v>6</v>
      </c>
      <c r="H77" s="567"/>
    </row>
    <row r="78" spans="1:8" x14ac:dyDescent="0.25">
      <c r="A78" s="1068" t="s">
        <v>59</v>
      </c>
      <c r="B78" s="567">
        <v>14</v>
      </c>
      <c r="C78" s="567">
        <v>8</v>
      </c>
      <c r="D78" s="567">
        <v>2</v>
      </c>
      <c r="E78" s="567"/>
      <c r="F78" s="567"/>
      <c r="G78" s="567">
        <v>2</v>
      </c>
      <c r="H78" s="567">
        <v>2</v>
      </c>
    </row>
    <row r="79" spans="1:8" x14ac:dyDescent="0.25">
      <c r="A79" s="1068" t="s">
        <v>60</v>
      </c>
      <c r="B79" s="567">
        <v>20</v>
      </c>
      <c r="C79" s="567">
        <v>16</v>
      </c>
      <c r="D79" s="567"/>
      <c r="E79" s="567">
        <v>2</v>
      </c>
      <c r="F79" s="567"/>
      <c r="G79" s="567">
        <v>2</v>
      </c>
      <c r="H79" s="567"/>
    </row>
    <row r="80" spans="1:8" x14ac:dyDescent="0.25">
      <c r="A80" s="1068" t="s">
        <v>251</v>
      </c>
      <c r="B80" s="567">
        <v>1228</v>
      </c>
      <c r="C80" s="567">
        <v>842</v>
      </c>
      <c r="D80" s="567">
        <v>52</v>
      </c>
      <c r="E80" s="567">
        <v>58</v>
      </c>
      <c r="F80" s="567">
        <v>72</v>
      </c>
      <c r="G80" s="567">
        <v>126</v>
      </c>
      <c r="H80" s="567">
        <v>78</v>
      </c>
    </row>
  </sheetData>
  <sheetProtection algorithmName="SHA-512" hashValue="hDQmS9lkyoGQEKyon34NblDU7Rbb8ktloDXXgU0kdT0gW593aoGkA/qOIFigh04B7D0AOPZ1Uj3a3DFgqDufzQ==" saltValue="ndeC5GyW1heYuVFJhXfjIA==" spinCount="100000" sheet="1" scenarios="1" formatCells="0" formatColumns="0" formatRows="0" sort="0" autoFilter="0" pivotTables="0"/>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D9B3FF"/>
    <pageSetUpPr fitToPage="1"/>
  </sheetPr>
  <dimension ref="A1:N46"/>
  <sheetViews>
    <sheetView showGridLines="0" workbookViewId="0">
      <pane ySplit="2" topLeftCell="A3" activePane="bottomLeft" state="frozen"/>
      <selection pane="bottomLeft" sqref="A1:I1"/>
    </sheetView>
  </sheetViews>
  <sheetFormatPr defaultRowHeight="15" x14ac:dyDescent="0.25"/>
  <cols>
    <col min="1" max="1" width="17.7109375" customWidth="1"/>
    <col min="2" max="2" width="28.7109375" customWidth="1"/>
    <col min="3" max="9" width="14.5703125" customWidth="1"/>
  </cols>
  <sheetData>
    <row r="1" spans="1:9" ht="15.75" x14ac:dyDescent="0.25">
      <c r="A1" s="1077" t="s">
        <v>657</v>
      </c>
      <c r="B1" s="1077"/>
      <c r="C1" s="1077"/>
      <c r="D1" s="1077"/>
      <c r="E1" s="1077"/>
      <c r="F1" s="1077"/>
      <c r="G1" s="1077"/>
      <c r="H1" s="1077"/>
      <c r="I1" s="1077"/>
    </row>
    <row r="2" spans="1:9" ht="18" x14ac:dyDescent="0.25">
      <c r="A2" s="772" t="s">
        <v>578</v>
      </c>
      <c r="B2" s="1"/>
      <c r="C2" s="1"/>
      <c r="D2" s="1"/>
      <c r="E2" s="1"/>
      <c r="F2" s="1"/>
      <c r="G2" s="1"/>
      <c r="H2" s="1"/>
      <c r="I2" s="1"/>
    </row>
    <row r="3" spans="1:9" ht="18" x14ac:dyDescent="0.25">
      <c r="A3" s="1"/>
      <c r="B3" s="1"/>
      <c r="C3" s="1"/>
      <c r="D3" s="1"/>
      <c r="E3" s="1"/>
      <c r="F3" s="1"/>
      <c r="G3" s="1"/>
      <c r="H3" s="1"/>
      <c r="I3" s="1"/>
    </row>
    <row r="4" spans="1:9" ht="15.75" x14ac:dyDescent="0.25">
      <c r="A4" s="657" t="s">
        <v>662</v>
      </c>
      <c r="B4" s="657"/>
      <c r="C4" s="657"/>
      <c r="D4" s="657"/>
      <c r="E4" s="657"/>
      <c r="F4" s="657"/>
      <c r="G4" s="657"/>
      <c r="H4" s="657"/>
      <c r="I4" s="657"/>
    </row>
    <row r="5" spans="1:9" x14ac:dyDescent="0.25">
      <c r="A5" t="s">
        <v>363</v>
      </c>
      <c r="B5" t="s">
        <v>717</v>
      </c>
    </row>
    <row r="6" spans="1:9" x14ac:dyDescent="0.25">
      <c r="A6" t="s">
        <v>364</v>
      </c>
      <c r="B6" t="s">
        <v>366</v>
      </c>
    </row>
    <row r="7" spans="1:9" x14ac:dyDescent="0.25">
      <c r="A7" t="s">
        <v>365</v>
      </c>
      <c r="B7" t="s">
        <v>367</v>
      </c>
      <c r="D7" s="437" t="str">
        <f>h14a!D45</f>
        <v>2019-20</v>
      </c>
    </row>
    <row r="9" spans="1:9" ht="45" customHeight="1" x14ac:dyDescent="0.25">
      <c r="A9" s="52" t="s">
        <v>515</v>
      </c>
      <c r="B9" s="52" t="s">
        <v>30</v>
      </c>
      <c r="C9" s="261" t="s">
        <v>122</v>
      </c>
      <c r="D9" s="261" t="s">
        <v>189</v>
      </c>
      <c r="E9" s="261" t="s">
        <v>206</v>
      </c>
      <c r="F9" s="261" t="s">
        <v>199</v>
      </c>
      <c r="G9" s="261" t="s">
        <v>219</v>
      </c>
      <c r="H9" s="261" t="s">
        <v>706</v>
      </c>
      <c r="I9" s="261" t="s">
        <v>207</v>
      </c>
    </row>
    <row r="10" spans="1:9" ht="21" customHeight="1" x14ac:dyDescent="0.25">
      <c r="A10" s="576" t="s">
        <v>301</v>
      </c>
      <c r="B10" s="577" t="s">
        <v>31</v>
      </c>
      <c r="C10" s="262">
        <f>h14a!C48</f>
        <v>18</v>
      </c>
      <c r="D10" s="262">
        <f>h14a!D48</f>
        <v>2</v>
      </c>
      <c r="E10" s="262">
        <f>h14a!E48</f>
        <v>2</v>
      </c>
      <c r="F10" s="262">
        <f>h14a!F48</f>
        <v>0</v>
      </c>
      <c r="G10" s="262">
        <f>h14a!G48</f>
        <v>8</v>
      </c>
      <c r="H10" s="262">
        <f>h14a!H48</f>
        <v>12</v>
      </c>
      <c r="I10" s="263">
        <f>h14a!B48</f>
        <v>42</v>
      </c>
    </row>
    <row r="11" spans="1:9" x14ac:dyDescent="0.25">
      <c r="A11" s="109" t="s">
        <v>302</v>
      </c>
      <c r="B11" s="64" t="s">
        <v>32</v>
      </c>
      <c r="C11" s="262">
        <f>h14a!C49</f>
        <v>62</v>
      </c>
      <c r="D11" s="262">
        <f>h14a!D49</f>
        <v>0</v>
      </c>
      <c r="E11" s="262">
        <f>h14a!E49</f>
        <v>2</v>
      </c>
      <c r="F11" s="262">
        <f>h14a!F49</f>
        <v>0</v>
      </c>
      <c r="G11" s="262">
        <f>h14a!G49</f>
        <v>10</v>
      </c>
      <c r="H11" s="262">
        <f>h14a!H49</f>
        <v>2</v>
      </c>
      <c r="I11" s="263">
        <f>h14a!B49</f>
        <v>76</v>
      </c>
    </row>
    <row r="12" spans="1:9" x14ac:dyDescent="0.25">
      <c r="A12" s="109" t="s">
        <v>308</v>
      </c>
      <c r="B12" s="64" t="s">
        <v>33</v>
      </c>
      <c r="C12" s="262">
        <f>h14a!C50</f>
        <v>22</v>
      </c>
      <c r="D12" s="262">
        <f>h14a!D50</f>
        <v>0</v>
      </c>
      <c r="E12" s="262">
        <f>h14a!E50</f>
        <v>0</v>
      </c>
      <c r="F12" s="262">
        <f>h14a!F50</f>
        <v>0</v>
      </c>
      <c r="G12" s="262">
        <f>h14a!G50</f>
        <v>2</v>
      </c>
      <c r="H12" s="262">
        <f>h14a!H50</f>
        <v>2</v>
      </c>
      <c r="I12" s="263">
        <f>h14a!B50</f>
        <v>26</v>
      </c>
    </row>
    <row r="13" spans="1:9" x14ac:dyDescent="0.25">
      <c r="A13" s="109" t="s">
        <v>303</v>
      </c>
      <c r="B13" s="64" t="s">
        <v>34</v>
      </c>
      <c r="C13" s="262">
        <f>h14a!C51</f>
        <v>48</v>
      </c>
      <c r="D13" s="262">
        <f>h14a!D51</f>
        <v>2</v>
      </c>
      <c r="E13" s="262">
        <f>h14a!E51</f>
        <v>2</v>
      </c>
      <c r="F13" s="262">
        <f>h14a!F51</f>
        <v>34</v>
      </c>
      <c r="G13" s="262">
        <f>h14a!G51</f>
        <v>8</v>
      </c>
      <c r="H13" s="262">
        <f>h14a!H51</f>
        <v>0</v>
      </c>
      <c r="I13" s="263">
        <f>h14a!B51</f>
        <v>94</v>
      </c>
    </row>
    <row r="14" spans="1:9" x14ac:dyDescent="0.25">
      <c r="A14" s="109" t="s">
        <v>304</v>
      </c>
      <c r="B14" s="64" t="s">
        <v>258</v>
      </c>
      <c r="C14" s="262">
        <f>h14a!C52</f>
        <v>24</v>
      </c>
      <c r="D14" s="262">
        <f>h14a!D52</f>
        <v>6</v>
      </c>
      <c r="E14" s="262">
        <f>h14a!E52</f>
        <v>4</v>
      </c>
      <c r="F14" s="262">
        <f>h14a!F52</f>
        <v>0</v>
      </c>
      <c r="G14" s="262">
        <f>h14a!G52</f>
        <v>6</v>
      </c>
      <c r="H14" s="262">
        <f>h14a!H52</f>
        <v>10</v>
      </c>
      <c r="I14" s="263">
        <f>h14a!B52</f>
        <v>50</v>
      </c>
    </row>
    <row r="15" spans="1:9" x14ac:dyDescent="0.25">
      <c r="A15" s="109" t="s">
        <v>282</v>
      </c>
      <c r="B15" s="64" t="s">
        <v>35</v>
      </c>
      <c r="C15" s="262">
        <f>h14a!C53</f>
        <v>4</v>
      </c>
      <c r="D15" s="262">
        <f>h14a!D53</f>
        <v>0</v>
      </c>
      <c r="E15" s="262">
        <f>h14a!E53</f>
        <v>2</v>
      </c>
      <c r="F15" s="262">
        <f>h14a!F53</f>
        <v>0</v>
      </c>
      <c r="G15" s="262">
        <f>h14a!G53</f>
        <v>2</v>
      </c>
      <c r="H15" s="262">
        <f>h14a!H53</f>
        <v>0</v>
      </c>
      <c r="I15" s="263">
        <f>h14a!B53</f>
        <v>8</v>
      </c>
    </row>
    <row r="16" spans="1:9" x14ac:dyDescent="0.25">
      <c r="A16" s="109" t="s">
        <v>283</v>
      </c>
      <c r="B16" s="64" t="s">
        <v>36</v>
      </c>
      <c r="C16" s="262">
        <f>h14a!C54</f>
        <v>42</v>
      </c>
      <c r="D16" s="262">
        <f>h14a!D54</f>
        <v>2</v>
      </c>
      <c r="E16" s="262">
        <f>h14a!E54</f>
        <v>6</v>
      </c>
      <c r="F16" s="262">
        <f>h14a!F54</f>
        <v>0</v>
      </c>
      <c r="G16" s="262">
        <f>h14a!G54</f>
        <v>6</v>
      </c>
      <c r="H16" s="262">
        <f>h14a!H54</f>
        <v>0</v>
      </c>
      <c r="I16" s="263">
        <f>h14a!B54</f>
        <v>56</v>
      </c>
    </row>
    <row r="17" spans="1:9" x14ac:dyDescent="0.25">
      <c r="A17" s="109" t="s">
        <v>309</v>
      </c>
      <c r="B17" s="64" t="s">
        <v>37</v>
      </c>
      <c r="C17" s="262">
        <f>h14a!C55</f>
        <v>14</v>
      </c>
      <c r="D17" s="262">
        <f>h14a!D55</f>
        <v>4</v>
      </c>
      <c r="E17" s="262">
        <f>h14a!E55</f>
        <v>2</v>
      </c>
      <c r="F17" s="262">
        <f>h14a!F55</f>
        <v>0</v>
      </c>
      <c r="G17" s="262">
        <f>h14a!G55</f>
        <v>4</v>
      </c>
      <c r="H17" s="262">
        <f>h14a!H55</f>
        <v>14</v>
      </c>
      <c r="I17" s="263">
        <f>h14a!B55</f>
        <v>38</v>
      </c>
    </row>
    <row r="18" spans="1:9" x14ac:dyDescent="0.25">
      <c r="A18" s="109" t="s">
        <v>284</v>
      </c>
      <c r="B18" s="64" t="s">
        <v>38</v>
      </c>
      <c r="C18" s="262">
        <f>h14a!C56</f>
        <v>18</v>
      </c>
      <c r="D18" s="262">
        <f>h14a!D56</f>
        <v>2</v>
      </c>
      <c r="E18" s="262">
        <f>h14a!E56</f>
        <v>0</v>
      </c>
      <c r="F18" s="262">
        <f>h14a!F56</f>
        <v>0</v>
      </c>
      <c r="G18" s="262">
        <f>h14a!G56</f>
        <v>0</v>
      </c>
      <c r="H18" s="262">
        <f>h14a!H56</f>
        <v>2</v>
      </c>
      <c r="I18" s="263">
        <f>h14a!B56</f>
        <v>22</v>
      </c>
    </row>
    <row r="19" spans="1:9" x14ac:dyDescent="0.25">
      <c r="A19" s="109" t="s">
        <v>311</v>
      </c>
      <c r="B19" s="64" t="s">
        <v>39</v>
      </c>
      <c r="C19" s="262">
        <f>h14a!C57</f>
        <v>6</v>
      </c>
      <c r="D19" s="262">
        <f>h14a!D57</f>
        <v>0</v>
      </c>
      <c r="E19" s="262">
        <f>h14a!E57</f>
        <v>0</v>
      </c>
      <c r="F19" s="262">
        <f>h14a!F57</f>
        <v>0</v>
      </c>
      <c r="G19" s="262">
        <f>h14a!G57</f>
        <v>0</v>
      </c>
      <c r="H19" s="262">
        <f>h14a!H57</f>
        <v>4</v>
      </c>
      <c r="I19" s="263">
        <f>h14a!B57</f>
        <v>10</v>
      </c>
    </row>
    <row r="20" spans="1:9" x14ac:dyDescent="0.25">
      <c r="A20" s="109" t="s">
        <v>285</v>
      </c>
      <c r="B20" s="64" t="s">
        <v>40</v>
      </c>
      <c r="C20" s="262">
        <f>h14a!C58</f>
        <v>18</v>
      </c>
      <c r="D20" s="262">
        <f>h14a!D58</f>
        <v>0</v>
      </c>
      <c r="E20" s="262">
        <f>h14a!E58</f>
        <v>0</v>
      </c>
      <c r="F20" s="262">
        <f>h14a!F58</f>
        <v>0</v>
      </c>
      <c r="G20" s="262">
        <f>h14a!G58</f>
        <v>2</v>
      </c>
      <c r="H20" s="262">
        <f>h14a!H58</f>
        <v>0</v>
      </c>
      <c r="I20" s="263">
        <f>h14a!B58</f>
        <v>20</v>
      </c>
    </row>
    <row r="21" spans="1:9" x14ac:dyDescent="0.25">
      <c r="A21" s="109" t="s">
        <v>286</v>
      </c>
      <c r="B21" s="64" t="s">
        <v>41</v>
      </c>
      <c r="C21" s="262">
        <f>h14a!C59</f>
        <v>4</v>
      </c>
      <c r="D21" s="262">
        <f>h14a!D59</f>
        <v>0</v>
      </c>
      <c r="E21" s="262">
        <f>h14a!E59</f>
        <v>0</v>
      </c>
      <c r="F21" s="262">
        <f>h14a!F59</f>
        <v>0</v>
      </c>
      <c r="G21" s="262">
        <f>h14a!G59</f>
        <v>0</v>
      </c>
      <c r="H21" s="262">
        <f>h14a!H59</f>
        <v>0</v>
      </c>
      <c r="I21" s="263">
        <f>h14a!B59</f>
        <v>4</v>
      </c>
    </row>
    <row r="22" spans="1:9" x14ac:dyDescent="0.25">
      <c r="A22" s="109" t="s">
        <v>288</v>
      </c>
      <c r="B22" s="64" t="s">
        <v>42</v>
      </c>
      <c r="C22" s="262">
        <f>h14a!C60</f>
        <v>18</v>
      </c>
      <c r="D22" s="262">
        <f>h14a!D60</f>
        <v>4</v>
      </c>
      <c r="E22" s="262">
        <f>h14a!E60</f>
        <v>0</v>
      </c>
      <c r="F22" s="262">
        <f>h14a!F60</f>
        <v>0</v>
      </c>
      <c r="G22" s="262">
        <f>h14a!G60</f>
        <v>10</v>
      </c>
      <c r="H22" s="262">
        <f>h14a!H60</f>
        <v>4</v>
      </c>
      <c r="I22" s="263">
        <f>h14a!B60</f>
        <v>36</v>
      </c>
    </row>
    <row r="23" spans="1:9" x14ac:dyDescent="0.25">
      <c r="A23" s="109" t="s">
        <v>313</v>
      </c>
      <c r="B23" s="64" t="s">
        <v>43</v>
      </c>
      <c r="C23" s="262">
        <f>h14a!C61</f>
        <v>38</v>
      </c>
      <c r="D23" s="262">
        <f>h14a!D61</f>
        <v>4</v>
      </c>
      <c r="E23" s="262">
        <f>h14a!E61</f>
        <v>4</v>
      </c>
      <c r="F23" s="262">
        <f>h14a!F61</f>
        <v>0</v>
      </c>
      <c r="G23" s="262">
        <f>h14a!G61</f>
        <v>10</v>
      </c>
      <c r="H23" s="262">
        <f>h14a!H61</f>
        <v>4</v>
      </c>
      <c r="I23" s="263">
        <f>h14a!B61</f>
        <v>60</v>
      </c>
    </row>
    <row r="24" spans="1:9" x14ac:dyDescent="0.25">
      <c r="A24" s="109" t="str">
        <f>IF(D7 = "2019-20","S12000049","S12000046")</f>
        <v>S12000049</v>
      </c>
      <c r="B24" s="64" t="s">
        <v>121</v>
      </c>
      <c r="C24" s="262">
        <f>h14a!C62</f>
        <v>38</v>
      </c>
      <c r="D24" s="262">
        <f>h14a!D62</f>
        <v>6</v>
      </c>
      <c r="E24" s="262">
        <f>h14a!E62</f>
        <v>6</v>
      </c>
      <c r="F24" s="262">
        <f>h14a!F62</f>
        <v>0</v>
      </c>
      <c r="G24" s="262">
        <f>h14a!G62</f>
        <v>6</v>
      </c>
      <c r="H24" s="262">
        <f>h14a!H62</f>
        <v>0</v>
      </c>
      <c r="I24" s="263">
        <f>h14a!B62</f>
        <v>56</v>
      </c>
    </row>
    <row r="25" spans="1:9" x14ac:dyDescent="0.25">
      <c r="A25" s="109" t="s">
        <v>289</v>
      </c>
      <c r="B25" s="64" t="s">
        <v>44</v>
      </c>
      <c r="C25" s="262">
        <f>h14a!C63</f>
        <v>130</v>
      </c>
      <c r="D25" s="262">
        <f>h14a!D63</f>
        <v>4</v>
      </c>
      <c r="E25" s="262">
        <f>h14a!E63</f>
        <v>6</v>
      </c>
      <c r="F25" s="262">
        <f>h14a!F63</f>
        <v>16</v>
      </c>
      <c r="G25" s="262">
        <f>h14a!G63</f>
        <v>4</v>
      </c>
      <c r="H25" s="262">
        <f>h14a!H63</f>
        <v>6</v>
      </c>
      <c r="I25" s="263">
        <f>h14a!B63</f>
        <v>166</v>
      </c>
    </row>
    <row r="26" spans="1:9" x14ac:dyDescent="0.25">
      <c r="A26" s="109" t="s">
        <v>290</v>
      </c>
      <c r="B26" s="64" t="s">
        <v>45</v>
      </c>
      <c r="C26" s="262">
        <f>h14a!C64</f>
        <v>12</v>
      </c>
      <c r="D26" s="262">
        <f>h14a!D64</f>
        <v>2</v>
      </c>
      <c r="E26" s="262">
        <f>h14a!E64</f>
        <v>0</v>
      </c>
      <c r="F26" s="262">
        <f>h14a!F64</f>
        <v>0</v>
      </c>
      <c r="G26" s="262">
        <f>h14a!G64</f>
        <v>0</v>
      </c>
      <c r="H26" s="262">
        <f>h14a!H64</f>
        <v>0</v>
      </c>
      <c r="I26" s="263">
        <f>h14a!B64</f>
        <v>14</v>
      </c>
    </row>
    <row r="27" spans="1:9" x14ac:dyDescent="0.25">
      <c r="A27" s="109" t="s">
        <v>291</v>
      </c>
      <c r="B27" s="64" t="s">
        <v>46</v>
      </c>
      <c r="C27" s="262">
        <f>h14a!C65</f>
        <v>4</v>
      </c>
      <c r="D27" s="262">
        <f>h14a!D65</f>
        <v>0</v>
      </c>
      <c r="E27" s="262">
        <f>h14a!E65</f>
        <v>0</v>
      </c>
      <c r="F27" s="262">
        <f>h14a!F65</f>
        <v>0</v>
      </c>
      <c r="G27" s="262">
        <f>h14a!G65</f>
        <v>2</v>
      </c>
      <c r="H27" s="262">
        <f>h14a!H65</f>
        <v>0</v>
      </c>
      <c r="I27" s="263">
        <f>h14a!B65</f>
        <v>6</v>
      </c>
    </row>
    <row r="28" spans="1:9" x14ac:dyDescent="0.25">
      <c r="A28" s="109" t="s">
        <v>292</v>
      </c>
      <c r="B28" s="64" t="s">
        <v>47</v>
      </c>
      <c r="C28" s="262">
        <f>h14a!C66</f>
        <v>26</v>
      </c>
      <c r="D28" s="262">
        <f>h14a!D66</f>
        <v>0</v>
      </c>
      <c r="E28" s="262">
        <f>h14a!E66</f>
        <v>2</v>
      </c>
      <c r="F28" s="262">
        <f>h14a!F66</f>
        <v>4</v>
      </c>
      <c r="G28" s="262">
        <f>h14a!G66</f>
        <v>6</v>
      </c>
      <c r="H28" s="262">
        <f>h14a!H66</f>
        <v>2</v>
      </c>
      <c r="I28" s="263">
        <f>h14a!B66</f>
        <v>40</v>
      </c>
    </row>
    <row r="29" spans="1:9" x14ac:dyDescent="0.25">
      <c r="A29" s="109" t="s">
        <v>287</v>
      </c>
      <c r="B29" s="64" t="s">
        <v>48</v>
      </c>
      <c r="C29" s="262">
        <f>h14a!C67</f>
        <v>32</v>
      </c>
      <c r="D29" s="262">
        <f>h14a!D67</f>
        <v>0</v>
      </c>
      <c r="E29" s="262">
        <f>h14a!E67</f>
        <v>0</v>
      </c>
      <c r="F29" s="262">
        <f>h14a!F67</f>
        <v>2</v>
      </c>
      <c r="G29" s="262">
        <f>h14a!G67</f>
        <v>0</v>
      </c>
      <c r="H29" s="262">
        <f>h14a!H67</f>
        <v>0</v>
      </c>
      <c r="I29" s="263">
        <f>h14a!B67</f>
        <v>34</v>
      </c>
    </row>
    <row r="30" spans="1:9" x14ac:dyDescent="0.25">
      <c r="A30" s="109" t="s">
        <v>293</v>
      </c>
      <c r="B30" s="64" t="s">
        <v>49</v>
      </c>
      <c r="C30" s="262">
        <f>h14a!C68</f>
        <v>32</v>
      </c>
      <c r="D30" s="262">
        <f>h14a!D68</f>
        <v>0</v>
      </c>
      <c r="E30" s="262">
        <f>h14a!E68</f>
        <v>0</v>
      </c>
      <c r="F30" s="262">
        <f>h14a!F68</f>
        <v>2</v>
      </c>
      <c r="G30" s="262">
        <f>h14a!G68</f>
        <v>4</v>
      </c>
      <c r="H30" s="262">
        <f>h14a!H68</f>
        <v>2</v>
      </c>
      <c r="I30" s="263">
        <f>h14a!B68</f>
        <v>40</v>
      </c>
    </row>
    <row r="31" spans="1:9" x14ac:dyDescent="0.25">
      <c r="A31" s="109" t="str">
        <f>IF(D7="2019-20","S12000050","S12000044")</f>
        <v>S12000050</v>
      </c>
      <c r="B31" s="64" t="s">
        <v>50</v>
      </c>
      <c r="C31" s="262">
        <f>h14a!C69</f>
        <v>16</v>
      </c>
      <c r="D31" s="262">
        <f>h14a!D69</f>
        <v>2</v>
      </c>
      <c r="E31" s="262">
        <f>h14a!E69</f>
        <v>2</v>
      </c>
      <c r="F31" s="262">
        <f>h14a!F69</f>
        <v>0</v>
      </c>
      <c r="G31" s="262">
        <f>h14a!G69</f>
        <v>6</v>
      </c>
      <c r="H31" s="262">
        <f>h14a!H69</f>
        <v>4</v>
      </c>
      <c r="I31" s="263">
        <f>h14a!B69</f>
        <v>30</v>
      </c>
    </row>
    <row r="32" spans="1:9" x14ac:dyDescent="0.25">
      <c r="A32" s="109" t="s">
        <v>294</v>
      </c>
      <c r="B32" s="64" t="s">
        <v>51</v>
      </c>
      <c r="C32" s="262">
        <f>h14a!C70</f>
        <v>32</v>
      </c>
      <c r="D32" s="262">
        <f>h14a!D70</f>
        <v>0</v>
      </c>
      <c r="E32" s="262">
        <f>h14a!E70</f>
        <v>0</v>
      </c>
      <c r="F32" s="262">
        <f>h14a!F70</f>
        <v>2</v>
      </c>
      <c r="G32" s="262">
        <f>h14a!G70</f>
        <v>0</v>
      </c>
      <c r="H32" s="262">
        <f>h14a!H70</f>
        <v>0</v>
      </c>
      <c r="I32" s="263">
        <f>h14a!B70</f>
        <v>34</v>
      </c>
    </row>
    <row r="33" spans="1:14" x14ac:dyDescent="0.25">
      <c r="A33" s="109" t="s">
        <v>295</v>
      </c>
      <c r="B33" s="64" t="s">
        <v>52</v>
      </c>
      <c r="C33" s="262">
        <f>h14a!C71</f>
        <v>30</v>
      </c>
      <c r="D33" s="262">
        <f>h14a!D71</f>
        <v>2</v>
      </c>
      <c r="E33" s="262">
        <f>h14a!E71</f>
        <v>2</v>
      </c>
      <c r="F33" s="262">
        <f>h14a!F71</f>
        <v>6</v>
      </c>
      <c r="G33" s="262">
        <f>h14a!G71</f>
        <v>0</v>
      </c>
      <c r="H33" s="262">
        <f>h14a!H71</f>
        <v>6</v>
      </c>
      <c r="I33" s="263">
        <f>h14a!B71</f>
        <v>46</v>
      </c>
    </row>
    <row r="34" spans="1:14" x14ac:dyDescent="0.25">
      <c r="A34" s="109" t="s">
        <v>305</v>
      </c>
      <c r="B34" s="64" t="s">
        <v>53</v>
      </c>
      <c r="C34" s="262">
        <f>h14a!C72</f>
        <v>8</v>
      </c>
      <c r="D34" s="262">
        <f>h14a!D72</f>
        <v>4</v>
      </c>
      <c r="E34" s="262">
        <f>h14a!E72</f>
        <v>0</v>
      </c>
      <c r="F34" s="262">
        <f>h14a!F72</f>
        <v>0</v>
      </c>
      <c r="G34" s="262">
        <f>h14a!G72</f>
        <v>6</v>
      </c>
      <c r="H34" s="262">
        <f>h14a!H72</f>
        <v>0</v>
      </c>
      <c r="I34" s="263">
        <f>h14a!B72</f>
        <v>18</v>
      </c>
    </row>
    <row r="35" spans="1:14" x14ac:dyDescent="0.25">
      <c r="A35" s="109" t="s">
        <v>296</v>
      </c>
      <c r="B35" s="64" t="s">
        <v>54</v>
      </c>
      <c r="C35" s="262">
        <f>h14a!C73</f>
        <v>34</v>
      </c>
      <c r="D35" s="262">
        <f>h14a!D73</f>
        <v>0</v>
      </c>
      <c r="E35" s="262">
        <f>h14a!E73</f>
        <v>4</v>
      </c>
      <c r="F35" s="262">
        <f>h14a!F73</f>
        <v>0</v>
      </c>
      <c r="G35" s="262">
        <f>h14a!G73</f>
        <v>2</v>
      </c>
      <c r="H35" s="262">
        <f>h14a!H73</f>
        <v>0</v>
      </c>
      <c r="I35" s="263">
        <f>h14a!B73</f>
        <v>40</v>
      </c>
    </row>
    <row r="36" spans="1:14" x14ac:dyDescent="0.25">
      <c r="A36" s="109" t="s">
        <v>297</v>
      </c>
      <c r="B36" s="64" t="s">
        <v>55</v>
      </c>
      <c r="C36" s="262">
        <f>h14a!C74</f>
        <v>28</v>
      </c>
      <c r="D36" s="262">
        <f>h14a!D74</f>
        <v>0</v>
      </c>
      <c r="E36" s="262">
        <f>h14a!E74</f>
        <v>0</v>
      </c>
      <c r="F36" s="262">
        <f>h14a!F74</f>
        <v>2</v>
      </c>
      <c r="G36" s="262">
        <f>h14a!G74</f>
        <v>2</v>
      </c>
      <c r="H36" s="262">
        <f>h14a!H74</f>
        <v>0</v>
      </c>
      <c r="I36" s="263">
        <f>h14a!B74</f>
        <v>32</v>
      </c>
    </row>
    <row r="37" spans="1:14" x14ac:dyDescent="0.25">
      <c r="A37" s="109" t="s">
        <v>298</v>
      </c>
      <c r="B37" s="64" t="s">
        <v>56</v>
      </c>
      <c r="C37" s="262">
        <f>h14a!C75</f>
        <v>14</v>
      </c>
      <c r="D37" s="262">
        <f>h14a!D75</f>
        <v>2</v>
      </c>
      <c r="E37" s="262">
        <f>h14a!E75</f>
        <v>2</v>
      </c>
      <c r="F37" s="262">
        <f>h14a!F75</f>
        <v>0</v>
      </c>
      <c r="G37" s="262">
        <f>h14a!G75</f>
        <v>0</v>
      </c>
      <c r="H37" s="262">
        <f>h14a!H75</f>
        <v>0</v>
      </c>
      <c r="I37" s="263">
        <f>h14a!B75</f>
        <v>18</v>
      </c>
    </row>
    <row r="38" spans="1:14" x14ac:dyDescent="0.25">
      <c r="A38" s="109" t="s">
        <v>299</v>
      </c>
      <c r="B38" s="64" t="s">
        <v>57</v>
      </c>
      <c r="C38" s="262">
        <f>h14a!C76</f>
        <v>28</v>
      </c>
      <c r="D38" s="262">
        <f>h14a!D76</f>
        <v>2</v>
      </c>
      <c r="E38" s="262">
        <f>h14a!E76</f>
        <v>4</v>
      </c>
      <c r="F38" s="262">
        <f>h14a!F76</f>
        <v>0</v>
      </c>
      <c r="G38" s="262">
        <f>h14a!G76</f>
        <v>10</v>
      </c>
      <c r="H38" s="262">
        <f>h14a!H76</f>
        <v>2</v>
      </c>
      <c r="I38" s="263">
        <f>h14a!B76</f>
        <v>46</v>
      </c>
    </row>
    <row r="39" spans="1:14" x14ac:dyDescent="0.25">
      <c r="A39" s="109" t="s">
        <v>300</v>
      </c>
      <c r="B39" s="64" t="s">
        <v>58</v>
      </c>
      <c r="C39" s="262">
        <f>h14a!C77</f>
        <v>18</v>
      </c>
      <c r="D39" s="262">
        <f>h14a!D77</f>
        <v>0</v>
      </c>
      <c r="E39" s="262">
        <f>h14a!E77</f>
        <v>4</v>
      </c>
      <c r="F39" s="262">
        <f>h14a!F77</f>
        <v>4</v>
      </c>
      <c r="G39" s="262">
        <f>h14a!G77</f>
        <v>6</v>
      </c>
      <c r="H39" s="262">
        <f>h14a!H77</f>
        <v>0</v>
      </c>
      <c r="I39" s="263">
        <f>h14a!B77</f>
        <v>32</v>
      </c>
    </row>
    <row r="40" spans="1:14" x14ac:dyDescent="0.25">
      <c r="A40" s="109" t="s">
        <v>306</v>
      </c>
      <c r="B40" s="64" t="s">
        <v>59</v>
      </c>
      <c r="C40" s="262">
        <f>h14a!C78</f>
        <v>8</v>
      </c>
      <c r="D40" s="262">
        <f>h14a!D78</f>
        <v>2</v>
      </c>
      <c r="E40" s="262">
        <f>h14a!E78</f>
        <v>0</v>
      </c>
      <c r="F40" s="262">
        <f>h14a!F78</f>
        <v>0</v>
      </c>
      <c r="G40" s="262">
        <f>h14a!G78</f>
        <v>2</v>
      </c>
      <c r="H40" s="262">
        <f>h14a!H78</f>
        <v>2</v>
      </c>
      <c r="I40" s="263">
        <f>h14a!B78</f>
        <v>14</v>
      </c>
    </row>
    <row r="41" spans="1:14" x14ac:dyDescent="0.25">
      <c r="A41" s="109" t="s">
        <v>307</v>
      </c>
      <c r="B41" s="64" t="s">
        <v>60</v>
      </c>
      <c r="C41" s="262">
        <f>h14a!C79</f>
        <v>16</v>
      </c>
      <c r="D41" s="262">
        <f>h14a!D79</f>
        <v>0</v>
      </c>
      <c r="E41" s="262">
        <f>h14a!E79</f>
        <v>2</v>
      </c>
      <c r="F41" s="262">
        <f>h14a!F79</f>
        <v>0</v>
      </c>
      <c r="G41" s="262">
        <f>h14a!G79</f>
        <v>2</v>
      </c>
      <c r="H41" s="262">
        <f>h14a!H79</f>
        <v>0</v>
      </c>
      <c r="I41" s="263">
        <f>h14a!B79</f>
        <v>20</v>
      </c>
    </row>
    <row r="42" spans="1:14" ht="24.75" customHeight="1" thickBot="1" x14ac:dyDescent="0.3">
      <c r="A42" s="264"/>
      <c r="B42" s="264" t="s">
        <v>847</v>
      </c>
      <c r="C42" s="479">
        <f t="shared" ref="C42:H42" si="0">SUM(C10:C41)</f>
        <v>842</v>
      </c>
      <c r="D42" s="479">
        <f t="shared" si="0"/>
        <v>52</v>
      </c>
      <c r="E42" s="479">
        <f t="shared" si="0"/>
        <v>58</v>
      </c>
      <c r="F42" s="479">
        <f t="shared" si="0"/>
        <v>72</v>
      </c>
      <c r="G42" s="479">
        <f t="shared" si="0"/>
        <v>126</v>
      </c>
      <c r="H42" s="479">
        <f t="shared" si="0"/>
        <v>78</v>
      </c>
      <c r="I42" s="479">
        <f>SUM(I10:I41)</f>
        <v>1228</v>
      </c>
    </row>
    <row r="43" spans="1:14" x14ac:dyDescent="0.25">
      <c r="B43" s="6"/>
      <c r="C43" s="265"/>
      <c r="D43" s="265"/>
      <c r="E43" s="265"/>
      <c r="F43" s="265"/>
      <c r="G43" s="265"/>
      <c r="H43" s="265"/>
      <c r="I43" s="266"/>
    </row>
    <row r="44" spans="1:14" x14ac:dyDescent="0.25">
      <c r="A44" s="437" t="s">
        <v>8</v>
      </c>
      <c r="I44" s="181"/>
    </row>
    <row r="45" spans="1:14" ht="30.75" customHeight="1" x14ac:dyDescent="0.25">
      <c r="A45" s="1088" t="s">
        <v>954</v>
      </c>
      <c r="B45" s="1088"/>
      <c r="C45" s="1088"/>
      <c r="D45" s="1088"/>
      <c r="E45" s="1088"/>
      <c r="F45" s="1088"/>
      <c r="G45" s="1088"/>
      <c r="H45" s="1088"/>
      <c r="I45" s="1088"/>
      <c r="J45" s="1011"/>
      <c r="K45" s="1011"/>
      <c r="L45" s="1011"/>
      <c r="M45" s="1011"/>
      <c r="N45" s="1011"/>
    </row>
    <row r="46" spans="1:14" x14ac:dyDescent="0.25">
      <c r="A46" s="677" t="s">
        <v>238</v>
      </c>
    </row>
  </sheetData>
  <sheetProtection algorithmName="SHA-512" hashValue="VVUfPXi4PtVS6dbws9Iw1zjMkPTXuBeM3mkpG4YLBBfKaQ9OD7VB4dkZ2sfhd3SYUC+024cwVkkhersSiRLuzw==" saltValue="erh+5p7GxvWmego8KwLpNA==" spinCount="100000" sheet="1" scenarios="1" formatCells="0" formatColumns="0" formatRows="0" sort="0" autoFilter="0" pivotTables="0"/>
  <mergeCells count="2">
    <mergeCell ref="A1:I1"/>
    <mergeCell ref="A45:I4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8" fitToHeight="0" orientation="portrait" r:id="rId1"/>
  <colBreaks count="1" manualBreakCount="1">
    <brk id="7" max="1048575" man="1"/>
  </colBreaks>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
  <sheetViews>
    <sheetView showGridLines="0" zoomScaleNormal="100" workbookViewId="0">
      <pane ySplit="5" topLeftCell="A6" activePane="bottomLeft" state="frozen"/>
      <selection pane="bottomLeft"/>
    </sheetView>
  </sheetViews>
  <sheetFormatPr defaultRowHeight="15" x14ac:dyDescent="0.25"/>
  <cols>
    <col min="1" max="1" width="34.7109375" customWidth="1"/>
    <col min="2" max="2" width="38.85546875" style="677" bestFit="1" customWidth="1"/>
    <col min="3" max="4" width="18.5703125" style="677" bestFit="1" customWidth="1"/>
    <col min="5" max="5" width="19.28515625" bestFit="1" customWidth="1"/>
    <col min="6" max="6" width="8.85546875" customWidth="1"/>
    <col min="7" max="7" width="15.5703125" bestFit="1" customWidth="1"/>
    <col min="8" max="8" width="11.42578125" customWidth="1"/>
  </cols>
  <sheetData>
    <row r="1" spans="1:7" ht="15.75" x14ac:dyDescent="0.25">
      <c r="A1" s="621" t="s">
        <v>562</v>
      </c>
    </row>
    <row r="3" spans="1:7" x14ac:dyDescent="0.25">
      <c r="A3" t="s">
        <v>563</v>
      </c>
    </row>
    <row r="5" spans="1:7" s="437" customFormat="1" x14ac:dyDescent="0.25">
      <c r="A5" s="437" t="s">
        <v>564</v>
      </c>
      <c r="B5" s="933"/>
      <c r="C5" s="933"/>
      <c r="D5" s="933"/>
      <c r="E5" s="437" t="s">
        <v>566</v>
      </c>
      <c r="F5" s="437" t="s">
        <v>707</v>
      </c>
      <c r="G5" s="437" t="s">
        <v>257</v>
      </c>
    </row>
    <row r="6" spans="1:7" x14ac:dyDescent="0.25">
      <c r="A6" s="437" t="s">
        <v>507</v>
      </c>
      <c r="B6" s="1009"/>
      <c r="C6" s="1009"/>
      <c r="D6" s="1009"/>
      <c r="E6" t="s">
        <v>705</v>
      </c>
      <c r="F6" s="772" t="s">
        <v>708</v>
      </c>
      <c r="G6" t="s">
        <v>710</v>
      </c>
    </row>
    <row r="7" spans="1:7" x14ac:dyDescent="0.25">
      <c r="A7" s="437" t="s">
        <v>951</v>
      </c>
      <c r="B7" s="1009" t="s">
        <v>675</v>
      </c>
      <c r="C7" s="1009"/>
      <c r="D7" s="1009"/>
      <c r="E7" t="s">
        <v>577</v>
      </c>
      <c r="F7" s="772" t="s">
        <v>708</v>
      </c>
      <c r="G7" t="s">
        <v>711</v>
      </c>
    </row>
    <row r="8" spans="1:7" x14ac:dyDescent="0.25">
      <c r="B8" s="677" t="s">
        <v>675</v>
      </c>
      <c r="C8" s="677" t="s">
        <v>120</v>
      </c>
      <c r="E8" t="s">
        <v>577</v>
      </c>
      <c r="F8" s="772" t="s">
        <v>708</v>
      </c>
      <c r="G8" t="s">
        <v>712</v>
      </c>
    </row>
    <row r="9" spans="1:7" x14ac:dyDescent="0.25">
      <c r="B9" s="677" t="s">
        <v>676</v>
      </c>
      <c r="E9" t="s">
        <v>577</v>
      </c>
      <c r="F9" s="772" t="s">
        <v>708</v>
      </c>
      <c r="G9" t="s">
        <v>713</v>
      </c>
    </row>
    <row r="10" spans="1:7" x14ac:dyDescent="0.25">
      <c r="B10" s="677" t="s">
        <v>676</v>
      </c>
      <c r="C10" s="677" t="s">
        <v>120</v>
      </c>
      <c r="E10" t="s">
        <v>577</v>
      </c>
      <c r="F10" s="772" t="s">
        <v>708</v>
      </c>
      <c r="G10" t="s">
        <v>714</v>
      </c>
    </row>
    <row r="11" spans="1:7" x14ac:dyDescent="0.25">
      <c r="B11" s="1009" t="s">
        <v>856</v>
      </c>
      <c r="C11" s="1009"/>
      <c r="D11" s="1009"/>
      <c r="E11" s="366" t="s">
        <v>577</v>
      </c>
      <c r="F11" s="1010" t="s">
        <v>708</v>
      </c>
      <c r="G11" s="366" t="s">
        <v>949</v>
      </c>
    </row>
    <row r="12" spans="1:7" x14ac:dyDescent="0.25">
      <c r="B12" s="1009" t="s">
        <v>855</v>
      </c>
      <c r="C12" s="1009"/>
      <c r="D12" s="1009"/>
      <c r="E12" s="366" t="s">
        <v>577</v>
      </c>
      <c r="F12" s="1010" t="s">
        <v>708</v>
      </c>
      <c r="G12" s="366" t="s">
        <v>950</v>
      </c>
    </row>
    <row r="13" spans="1:7" x14ac:dyDescent="0.25">
      <c r="A13" s="437" t="s">
        <v>677</v>
      </c>
      <c r="B13" s="677" t="s">
        <v>678</v>
      </c>
      <c r="E13" t="s">
        <v>577</v>
      </c>
      <c r="F13" s="772" t="s">
        <v>708</v>
      </c>
      <c r="G13" t="s">
        <v>715</v>
      </c>
    </row>
    <row r="14" spans="1:7" x14ac:dyDescent="0.25">
      <c r="B14" s="677" t="s">
        <v>678</v>
      </c>
      <c r="C14" s="677" t="s">
        <v>120</v>
      </c>
      <c r="E14" t="s">
        <v>577</v>
      </c>
      <c r="F14" s="772" t="s">
        <v>708</v>
      </c>
      <c r="G14" t="s">
        <v>720</v>
      </c>
    </row>
    <row r="15" spans="1:7" x14ac:dyDescent="0.25">
      <c r="B15" s="677" t="s">
        <v>676</v>
      </c>
      <c r="E15" t="s">
        <v>679</v>
      </c>
      <c r="F15" s="772" t="s">
        <v>708</v>
      </c>
      <c r="G15" t="s">
        <v>716</v>
      </c>
    </row>
    <row r="16" spans="1:7" x14ac:dyDescent="0.25">
      <c r="A16" s="437" t="s">
        <v>680</v>
      </c>
      <c r="B16" s="677" t="s">
        <v>681</v>
      </c>
      <c r="E16" t="s">
        <v>577</v>
      </c>
      <c r="F16" s="772" t="s">
        <v>708</v>
      </c>
      <c r="G16" t="s">
        <v>718</v>
      </c>
    </row>
    <row r="17" spans="1:7" x14ac:dyDescent="0.25">
      <c r="B17" s="677" t="s">
        <v>681</v>
      </c>
      <c r="C17" s="677" t="s">
        <v>120</v>
      </c>
      <c r="E17" t="s">
        <v>577</v>
      </c>
      <c r="F17" s="772" t="s">
        <v>708</v>
      </c>
      <c r="G17" t="s">
        <v>717</v>
      </c>
    </row>
    <row r="18" spans="1:7" x14ac:dyDescent="0.25">
      <c r="A18" s="437" t="s">
        <v>579</v>
      </c>
      <c r="B18" s="677" t="s">
        <v>523</v>
      </c>
      <c r="E18" t="s">
        <v>88</v>
      </c>
      <c r="F18" s="772" t="s">
        <v>708</v>
      </c>
      <c r="G18" t="s">
        <v>721</v>
      </c>
    </row>
    <row r="19" spans="1:7" x14ac:dyDescent="0.25">
      <c r="B19" s="1009" t="s">
        <v>523</v>
      </c>
      <c r="C19" s="1009"/>
      <c r="D19" s="1009"/>
      <c r="E19" s="366" t="s">
        <v>565</v>
      </c>
      <c r="F19" s="772" t="s">
        <v>708</v>
      </c>
      <c r="G19" t="s">
        <v>722</v>
      </c>
    </row>
    <row r="20" spans="1:7" x14ac:dyDescent="0.25">
      <c r="B20" s="1009" t="s">
        <v>581</v>
      </c>
      <c r="C20" s="1009" t="s">
        <v>857</v>
      </c>
      <c r="D20" s="1009"/>
      <c r="E20" s="366" t="s">
        <v>88</v>
      </c>
      <c r="F20" s="772" t="s">
        <v>708</v>
      </c>
      <c r="G20" t="s">
        <v>997</v>
      </c>
    </row>
    <row r="21" spans="1:7" x14ac:dyDescent="0.25">
      <c r="B21" s="1009" t="s">
        <v>581</v>
      </c>
      <c r="C21" s="1009" t="s">
        <v>857</v>
      </c>
      <c r="D21" s="1009" t="s">
        <v>569</v>
      </c>
      <c r="E21" s="1009" t="s">
        <v>88</v>
      </c>
      <c r="F21" s="772" t="s">
        <v>708</v>
      </c>
      <c r="G21" t="s">
        <v>998</v>
      </c>
    </row>
    <row r="22" spans="1:7" x14ac:dyDescent="0.25">
      <c r="B22" s="1009" t="s">
        <v>523</v>
      </c>
      <c r="C22" s="1009" t="s">
        <v>493</v>
      </c>
      <c r="D22" s="1009"/>
      <c r="E22" s="366" t="s">
        <v>88</v>
      </c>
      <c r="F22" s="772" t="s">
        <v>708</v>
      </c>
      <c r="G22" t="s">
        <v>724</v>
      </c>
    </row>
    <row r="23" spans="1:7" x14ac:dyDescent="0.25">
      <c r="B23" s="1009" t="s">
        <v>523</v>
      </c>
      <c r="C23" s="1009" t="s">
        <v>493</v>
      </c>
      <c r="D23" s="1009"/>
      <c r="E23" s="366" t="s">
        <v>565</v>
      </c>
      <c r="F23" s="772" t="s">
        <v>708</v>
      </c>
      <c r="G23" t="s">
        <v>723</v>
      </c>
    </row>
    <row r="24" spans="1:7" x14ac:dyDescent="0.25">
      <c r="B24" s="1009" t="s">
        <v>523</v>
      </c>
      <c r="C24" s="1009" t="s">
        <v>709</v>
      </c>
      <c r="D24" s="1009"/>
      <c r="E24" s="366" t="s">
        <v>88</v>
      </c>
      <c r="F24" s="772" t="s">
        <v>708</v>
      </c>
      <c r="G24" t="s">
        <v>725</v>
      </c>
    </row>
    <row r="25" spans="1:7" x14ac:dyDescent="0.25">
      <c r="B25" s="1009" t="s">
        <v>523</v>
      </c>
      <c r="C25" s="1009" t="s">
        <v>569</v>
      </c>
      <c r="D25" s="1009"/>
      <c r="E25" s="366" t="s">
        <v>88</v>
      </c>
      <c r="F25" s="772" t="s">
        <v>708</v>
      </c>
      <c r="G25" t="s">
        <v>726</v>
      </c>
    </row>
    <row r="26" spans="1:7" x14ac:dyDescent="0.25">
      <c r="B26" s="1009" t="s">
        <v>523</v>
      </c>
      <c r="C26" s="1009" t="s">
        <v>570</v>
      </c>
      <c r="D26" s="1009"/>
      <c r="E26" s="366" t="s">
        <v>88</v>
      </c>
      <c r="F26" s="772" t="s">
        <v>708</v>
      </c>
      <c r="G26" t="s">
        <v>727</v>
      </c>
    </row>
    <row r="27" spans="1:7" x14ac:dyDescent="0.25">
      <c r="B27" s="1009" t="s">
        <v>581</v>
      </c>
      <c r="C27" s="1009" t="s">
        <v>570</v>
      </c>
      <c r="D27" s="1009" t="s">
        <v>857</v>
      </c>
      <c r="E27" s="366" t="s">
        <v>88</v>
      </c>
      <c r="F27" s="772" t="s">
        <v>708</v>
      </c>
      <c r="G27" t="s">
        <v>999</v>
      </c>
    </row>
    <row r="28" spans="1:7" x14ac:dyDescent="0.25">
      <c r="B28" s="1009" t="s">
        <v>581</v>
      </c>
      <c r="C28" s="1009" t="s">
        <v>570</v>
      </c>
      <c r="D28" s="1009" t="s">
        <v>709</v>
      </c>
      <c r="E28" s="366" t="s">
        <v>88</v>
      </c>
      <c r="F28" s="772" t="s">
        <v>708</v>
      </c>
      <c r="G28" t="s">
        <v>728</v>
      </c>
    </row>
    <row r="29" spans="1:7" x14ac:dyDescent="0.25">
      <c r="B29" s="1009" t="s">
        <v>581</v>
      </c>
      <c r="C29" s="1009" t="s">
        <v>570</v>
      </c>
      <c r="D29" s="1009" t="s">
        <v>569</v>
      </c>
      <c r="E29" s="366" t="s">
        <v>88</v>
      </c>
      <c r="F29" s="772" t="s">
        <v>708</v>
      </c>
      <c r="G29" t="s">
        <v>729</v>
      </c>
    </row>
    <row r="30" spans="1:7" x14ac:dyDescent="0.25">
      <c r="B30" s="1009" t="s">
        <v>582</v>
      </c>
      <c r="C30" s="1009" t="s">
        <v>570</v>
      </c>
      <c r="D30" s="1009" t="s">
        <v>569</v>
      </c>
      <c r="E30" s="366" t="s">
        <v>88</v>
      </c>
      <c r="F30" s="772" t="s">
        <v>708</v>
      </c>
      <c r="G30" t="s">
        <v>730</v>
      </c>
    </row>
    <row r="31" spans="1:7" x14ac:dyDescent="0.25">
      <c r="B31" s="677" t="s">
        <v>583</v>
      </c>
      <c r="C31" s="677" t="s">
        <v>570</v>
      </c>
      <c r="D31" s="677" t="s">
        <v>569</v>
      </c>
      <c r="E31" t="s">
        <v>88</v>
      </c>
      <c r="F31" s="772" t="s">
        <v>708</v>
      </c>
      <c r="G31" t="s">
        <v>748</v>
      </c>
    </row>
    <row r="32" spans="1:7" x14ac:dyDescent="0.25">
      <c r="B32" s="677" t="s">
        <v>584</v>
      </c>
      <c r="C32" s="677" t="s">
        <v>570</v>
      </c>
      <c r="D32" s="677" t="s">
        <v>569</v>
      </c>
      <c r="E32" t="s">
        <v>88</v>
      </c>
      <c r="F32" s="772" t="s">
        <v>708</v>
      </c>
      <c r="G32" t="s">
        <v>749</v>
      </c>
    </row>
    <row r="33" spans="2:7" x14ac:dyDescent="0.25">
      <c r="B33" s="677" t="s">
        <v>585</v>
      </c>
      <c r="C33" s="677" t="s">
        <v>570</v>
      </c>
      <c r="D33" s="677" t="s">
        <v>569</v>
      </c>
      <c r="E33" t="s">
        <v>88</v>
      </c>
      <c r="F33" s="772" t="s">
        <v>708</v>
      </c>
      <c r="G33" t="s">
        <v>750</v>
      </c>
    </row>
    <row r="34" spans="2:7" x14ac:dyDescent="0.25">
      <c r="B34" s="677" t="s">
        <v>581</v>
      </c>
      <c r="C34" s="677" t="s">
        <v>570</v>
      </c>
      <c r="D34" s="677" t="s">
        <v>569</v>
      </c>
      <c r="E34" t="s">
        <v>565</v>
      </c>
      <c r="F34" s="772" t="s">
        <v>708</v>
      </c>
      <c r="G34" t="s">
        <v>751</v>
      </c>
    </row>
    <row r="35" spans="2:7" x14ac:dyDescent="0.25">
      <c r="B35" s="677" t="s">
        <v>582</v>
      </c>
      <c r="C35" s="677" t="s">
        <v>570</v>
      </c>
      <c r="D35" s="677" t="s">
        <v>569</v>
      </c>
      <c r="E35" t="s">
        <v>565</v>
      </c>
      <c r="F35" s="772" t="s">
        <v>708</v>
      </c>
      <c r="G35" t="s">
        <v>752</v>
      </c>
    </row>
    <row r="36" spans="2:7" x14ac:dyDescent="0.25">
      <c r="B36" s="677" t="s">
        <v>583</v>
      </c>
      <c r="C36" s="677" t="s">
        <v>570</v>
      </c>
      <c r="D36" s="677" t="s">
        <v>569</v>
      </c>
      <c r="E36" t="s">
        <v>565</v>
      </c>
      <c r="F36" s="772" t="s">
        <v>708</v>
      </c>
      <c r="G36" t="s">
        <v>753</v>
      </c>
    </row>
    <row r="37" spans="2:7" x14ac:dyDescent="0.25">
      <c r="B37" s="677" t="s">
        <v>584</v>
      </c>
      <c r="C37" s="677" t="s">
        <v>570</v>
      </c>
      <c r="D37" s="677" t="s">
        <v>569</v>
      </c>
      <c r="E37" t="s">
        <v>565</v>
      </c>
      <c r="F37" s="772" t="s">
        <v>708</v>
      </c>
      <c r="G37" t="s">
        <v>754</v>
      </c>
    </row>
    <row r="38" spans="2:7" x14ac:dyDescent="0.25">
      <c r="B38" s="677" t="s">
        <v>523</v>
      </c>
      <c r="C38" s="677" t="s">
        <v>571</v>
      </c>
      <c r="E38" t="s">
        <v>88</v>
      </c>
      <c r="F38" s="772" t="s">
        <v>708</v>
      </c>
      <c r="G38" t="s">
        <v>755</v>
      </c>
    </row>
    <row r="39" spans="2:7" x14ac:dyDescent="0.25">
      <c r="B39" s="677" t="s">
        <v>523</v>
      </c>
      <c r="C39" s="677" t="s">
        <v>571</v>
      </c>
      <c r="E39" t="s">
        <v>88</v>
      </c>
      <c r="F39" s="772" t="s">
        <v>708</v>
      </c>
      <c r="G39" t="s">
        <v>756</v>
      </c>
    </row>
    <row r="40" spans="2:7" x14ac:dyDescent="0.25">
      <c r="B40" s="677" t="s">
        <v>523</v>
      </c>
      <c r="C40" s="677" t="s">
        <v>571</v>
      </c>
      <c r="D40" s="677" t="s">
        <v>570</v>
      </c>
      <c r="E40" t="s">
        <v>88</v>
      </c>
      <c r="F40" s="772" t="s">
        <v>708</v>
      </c>
      <c r="G40" t="s">
        <v>757</v>
      </c>
    </row>
    <row r="41" spans="2:7" x14ac:dyDescent="0.25">
      <c r="B41" s="677" t="s">
        <v>523</v>
      </c>
      <c r="C41" s="677" t="s">
        <v>571</v>
      </c>
      <c r="D41" s="677" t="s">
        <v>570</v>
      </c>
      <c r="E41" t="s">
        <v>565</v>
      </c>
      <c r="F41" s="772" t="s">
        <v>708</v>
      </c>
      <c r="G41" t="s">
        <v>758</v>
      </c>
    </row>
    <row r="42" spans="2:7" x14ac:dyDescent="0.25">
      <c r="B42" s="677" t="s">
        <v>523</v>
      </c>
      <c r="C42" s="677" t="s">
        <v>211</v>
      </c>
      <c r="E42" t="s">
        <v>88</v>
      </c>
      <c r="F42" s="772" t="s">
        <v>708</v>
      </c>
      <c r="G42" t="s">
        <v>759</v>
      </c>
    </row>
    <row r="43" spans="2:7" x14ac:dyDescent="0.25">
      <c r="B43" s="677" t="s">
        <v>523</v>
      </c>
      <c r="C43" s="677" t="s">
        <v>211</v>
      </c>
      <c r="E43" t="s">
        <v>7</v>
      </c>
      <c r="F43" s="772" t="s">
        <v>708</v>
      </c>
      <c r="G43" t="s">
        <v>760</v>
      </c>
    </row>
    <row r="44" spans="2:7" x14ac:dyDescent="0.25">
      <c r="B44" s="677" t="s">
        <v>523</v>
      </c>
      <c r="C44" s="677" t="s">
        <v>572</v>
      </c>
      <c r="E44" t="s">
        <v>88</v>
      </c>
      <c r="F44" s="772" t="s">
        <v>708</v>
      </c>
      <c r="G44" t="s">
        <v>761</v>
      </c>
    </row>
    <row r="45" spans="2:7" x14ac:dyDescent="0.25">
      <c r="B45" s="677" t="s">
        <v>523</v>
      </c>
      <c r="C45" s="677" t="s">
        <v>572</v>
      </c>
      <c r="E45" t="s">
        <v>7</v>
      </c>
      <c r="F45" s="772" t="s">
        <v>708</v>
      </c>
      <c r="G45" t="s">
        <v>762</v>
      </c>
    </row>
    <row r="46" spans="2:7" x14ac:dyDescent="0.25">
      <c r="B46" s="677" t="s">
        <v>523</v>
      </c>
      <c r="C46" s="677" t="s">
        <v>552</v>
      </c>
      <c r="E46" t="s">
        <v>7</v>
      </c>
      <c r="F46" s="772" t="s">
        <v>708</v>
      </c>
      <c r="G46" t="s">
        <v>763</v>
      </c>
    </row>
    <row r="47" spans="2:7" x14ac:dyDescent="0.25">
      <c r="B47" s="677" t="s">
        <v>523</v>
      </c>
      <c r="C47" s="677" t="s">
        <v>575</v>
      </c>
      <c r="E47" t="s">
        <v>7</v>
      </c>
      <c r="F47" s="772" t="s">
        <v>708</v>
      </c>
      <c r="G47" t="s">
        <v>764</v>
      </c>
    </row>
    <row r="48" spans="2:7" x14ac:dyDescent="0.25">
      <c r="B48" s="677" t="s">
        <v>523</v>
      </c>
      <c r="C48" s="677" t="s">
        <v>719</v>
      </c>
      <c r="E48" t="s">
        <v>7</v>
      </c>
      <c r="F48" s="772" t="s">
        <v>708</v>
      </c>
      <c r="G48" t="s">
        <v>765</v>
      </c>
    </row>
    <row r="49" spans="1:8" x14ac:dyDescent="0.25">
      <c r="B49" s="677" t="s">
        <v>576</v>
      </c>
      <c r="C49" s="677" t="s">
        <v>211</v>
      </c>
      <c r="E49" t="s">
        <v>577</v>
      </c>
      <c r="F49" s="772" t="s">
        <v>708</v>
      </c>
      <c r="G49" t="s">
        <v>766</v>
      </c>
    </row>
    <row r="50" spans="1:8" x14ac:dyDescent="0.25">
      <c r="B50" s="677" t="s">
        <v>576</v>
      </c>
      <c r="C50" s="677" t="s">
        <v>571</v>
      </c>
      <c r="E50" t="s">
        <v>577</v>
      </c>
      <c r="F50" s="772" t="s">
        <v>708</v>
      </c>
      <c r="G50" t="s">
        <v>767</v>
      </c>
    </row>
    <row r="51" spans="1:8" x14ac:dyDescent="0.25">
      <c r="B51" s="677" t="s">
        <v>576</v>
      </c>
      <c r="C51" s="677" t="s">
        <v>552</v>
      </c>
      <c r="E51" t="s">
        <v>577</v>
      </c>
      <c r="F51" s="772" t="s">
        <v>708</v>
      </c>
      <c r="G51" t="s">
        <v>768</v>
      </c>
    </row>
    <row r="52" spans="1:8" x14ac:dyDescent="0.25">
      <c r="B52" s="677" t="s">
        <v>576</v>
      </c>
      <c r="C52" s="677" t="s">
        <v>575</v>
      </c>
      <c r="E52" t="s">
        <v>577</v>
      </c>
      <c r="F52" s="772" t="s">
        <v>708</v>
      </c>
      <c r="G52" t="s">
        <v>769</v>
      </c>
    </row>
    <row r="53" spans="1:8" x14ac:dyDescent="0.25">
      <c r="B53" s="677" t="s">
        <v>574</v>
      </c>
      <c r="C53" s="677" t="s">
        <v>550</v>
      </c>
      <c r="E53" t="s">
        <v>577</v>
      </c>
      <c r="F53" s="772" t="s">
        <v>708</v>
      </c>
      <c r="G53" t="s">
        <v>770</v>
      </c>
    </row>
    <row r="54" spans="1:8" x14ac:dyDescent="0.25">
      <c r="A54" s="437" t="s">
        <v>580</v>
      </c>
      <c r="B54" s="677" t="s">
        <v>523</v>
      </c>
      <c r="E54" t="s">
        <v>88</v>
      </c>
      <c r="F54" s="772" t="s">
        <v>708</v>
      </c>
      <c r="G54" t="s">
        <v>731</v>
      </c>
    </row>
    <row r="55" spans="1:8" x14ac:dyDescent="0.25">
      <c r="B55" s="677" t="s">
        <v>523</v>
      </c>
      <c r="E55" t="s">
        <v>565</v>
      </c>
      <c r="F55" s="772" t="s">
        <v>708</v>
      </c>
      <c r="G55" t="s">
        <v>732</v>
      </c>
    </row>
    <row r="56" spans="1:8" x14ac:dyDescent="0.25">
      <c r="B56" s="677" t="s">
        <v>523</v>
      </c>
      <c r="C56" s="677" t="s">
        <v>571</v>
      </c>
      <c r="E56" t="s">
        <v>88</v>
      </c>
      <c r="F56" s="772" t="s">
        <v>708</v>
      </c>
      <c r="G56" t="s">
        <v>733</v>
      </c>
    </row>
    <row r="57" spans="1:8" x14ac:dyDescent="0.25">
      <c r="B57" s="677" t="s">
        <v>523</v>
      </c>
      <c r="C57" s="677" t="s">
        <v>211</v>
      </c>
      <c r="E57" t="s">
        <v>88</v>
      </c>
      <c r="F57" s="772" t="s">
        <v>708</v>
      </c>
      <c r="G57" t="s">
        <v>734</v>
      </c>
      <c r="H57" s="1026"/>
    </row>
    <row r="58" spans="1:8" x14ac:dyDescent="0.25">
      <c r="B58" s="677" t="s">
        <v>523</v>
      </c>
      <c r="C58" s="677" t="s">
        <v>572</v>
      </c>
      <c r="E58" t="s">
        <v>88</v>
      </c>
      <c r="F58" s="772" t="s">
        <v>708</v>
      </c>
      <c r="G58" t="s">
        <v>996</v>
      </c>
      <c r="H58" s="1026"/>
    </row>
    <row r="59" spans="1:8" x14ac:dyDescent="0.25">
      <c r="A59" s="437" t="s">
        <v>682</v>
      </c>
      <c r="B59" s="677" t="s">
        <v>683</v>
      </c>
      <c r="E59" t="s">
        <v>577</v>
      </c>
      <c r="F59" s="772" t="s">
        <v>708</v>
      </c>
      <c r="G59" t="s">
        <v>735</v>
      </c>
    </row>
    <row r="60" spans="1:8" x14ac:dyDescent="0.25">
      <c r="B60" s="677" t="s">
        <v>684</v>
      </c>
      <c r="E60" t="s">
        <v>577</v>
      </c>
      <c r="F60" s="772" t="s">
        <v>708</v>
      </c>
      <c r="G60" t="s">
        <v>736</v>
      </c>
    </row>
    <row r="61" spans="1:8" x14ac:dyDescent="0.25">
      <c r="B61" s="677" t="s">
        <v>683</v>
      </c>
      <c r="C61" s="677" t="s">
        <v>120</v>
      </c>
      <c r="E61" t="s">
        <v>577</v>
      </c>
      <c r="F61" s="772" t="s">
        <v>708</v>
      </c>
      <c r="G61" t="s">
        <v>737</v>
      </c>
    </row>
    <row r="62" spans="1:8" x14ac:dyDescent="0.25">
      <c r="A62" s="437" t="s">
        <v>685</v>
      </c>
      <c r="B62" s="677" t="s">
        <v>125</v>
      </c>
      <c r="E62" t="s">
        <v>577</v>
      </c>
      <c r="F62" s="772" t="s">
        <v>708</v>
      </c>
      <c r="G62" t="s">
        <v>738</v>
      </c>
    </row>
    <row r="63" spans="1:8" x14ac:dyDescent="0.25">
      <c r="B63" s="677" t="s">
        <v>686</v>
      </c>
      <c r="E63" t="s">
        <v>577</v>
      </c>
      <c r="F63" s="772" t="s">
        <v>708</v>
      </c>
      <c r="G63" t="s">
        <v>739</v>
      </c>
      <c r="H63" s="944"/>
    </row>
    <row r="64" spans="1:8" x14ac:dyDescent="0.25">
      <c r="B64" s="677" t="s">
        <v>1002</v>
      </c>
      <c r="C64" s="677" t="s">
        <v>120</v>
      </c>
      <c r="E64" t="s">
        <v>577</v>
      </c>
      <c r="F64" s="772" t="s">
        <v>708</v>
      </c>
      <c r="G64" t="s">
        <v>1001</v>
      </c>
      <c r="H64" s="944"/>
    </row>
    <row r="65" spans="1:7" x14ac:dyDescent="0.25">
      <c r="A65" s="437" t="s">
        <v>687</v>
      </c>
      <c r="B65" s="677" t="s">
        <v>692</v>
      </c>
      <c r="E65" t="s">
        <v>577</v>
      </c>
      <c r="F65" s="772" t="s">
        <v>708</v>
      </c>
      <c r="G65" t="s">
        <v>771</v>
      </c>
    </row>
    <row r="66" spans="1:7" x14ac:dyDescent="0.25">
      <c r="B66" s="677" t="s">
        <v>692</v>
      </c>
      <c r="E66" t="s">
        <v>131</v>
      </c>
      <c r="F66" s="772" t="s">
        <v>708</v>
      </c>
      <c r="G66" t="s">
        <v>772</v>
      </c>
    </row>
    <row r="67" spans="1:7" x14ac:dyDescent="0.25">
      <c r="B67" s="677" t="s">
        <v>694</v>
      </c>
      <c r="E67" t="s">
        <v>740</v>
      </c>
      <c r="F67" s="772" t="s">
        <v>708</v>
      </c>
      <c r="G67" t="s">
        <v>773</v>
      </c>
    </row>
    <row r="68" spans="1:7" x14ac:dyDescent="0.25">
      <c r="B68" s="677" t="s">
        <v>693</v>
      </c>
      <c r="E68" t="s">
        <v>577</v>
      </c>
      <c r="F68" s="772" t="s">
        <v>708</v>
      </c>
      <c r="G68" t="s">
        <v>774</v>
      </c>
    </row>
    <row r="69" spans="1:7" x14ac:dyDescent="0.25">
      <c r="B69" s="677" t="s">
        <v>693</v>
      </c>
      <c r="C69" s="677" t="s">
        <v>490</v>
      </c>
      <c r="E69" t="s">
        <v>577</v>
      </c>
      <c r="F69" s="772" t="s">
        <v>708</v>
      </c>
      <c r="G69" t="s">
        <v>775</v>
      </c>
    </row>
    <row r="70" spans="1:7" x14ac:dyDescent="0.25">
      <c r="B70" s="677" t="s">
        <v>693</v>
      </c>
      <c r="E70" t="s">
        <v>7</v>
      </c>
      <c r="F70" s="772" t="s">
        <v>708</v>
      </c>
      <c r="G70" t="s">
        <v>776</v>
      </c>
    </row>
    <row r="71" spans="1:7" x14ac:dyDescent="0.25">
      <c r="B71" s="677" t="s">
        <v>693</v>
      </c>
      <c r="C71" s="677" t="s">
        <v>490</v>
      </c>
      <c r="E71" t="s">
        <v>7</v>
      </c>
      <c r="F71" s="772" t="s">
        <v>708</v>
      </c>
      <c r="G71" t="s">
        <v>777</v>
      </c>
    </row>
    <row r="72" spans="1:7" x14ac:dyDescent="0.25">
      <c r="B72" s="677" t="s">
        <v>688</v>
      </c>
      <c r="C72" s="677" t="s">
        <v>211</v>
      </c>
      <c r="E72" t="s">
        <v>577</v>
      </c>
      <c r="F72" s="772" t="s">
        <v>708</v>
      </c>
      <c r="G72" t="s">
        <v>778</v>
      </c>
    </row>
    <row r="73" spans="1:7" x14ac:dyDescent="0.25">
      <c r="B73" s="677" t="s">
        <v>688</v>
      </c>
      <c r="C73" s="677" t="s">
        <v>211</v>
      </c>
      <c r="E73" t="s">
        <v>7</v>
      </c>
      <c r="F73" s="772" t="s">
        <v>708</v>
      </c>
      <c r="G73" t="s">
        <v>779</v>
      </c>
    </row>
    <row r="74" spans="1:7" x14ac:dyDescent="0.25">
      <c r="B74" s="1009" t="s">
        <v>877</v>
      </c>
      <c r="E74" t="s">
        <v>577</v>
      </c>
      <c r="F74" s="1010" t="s">
        <v>708</v>
      </c>
      <c r="G74" t="s">
        <v>1033</v>
      </c>
    </row>
    <row r="75" spans="1:7" x14ac:dyDescent="0.25">
      <c r="B75" s="1009" t="s">
        <v>695</v>
      </c>
      <c r="C75" s="1009"/>
      <c r="D75" s="1009"/>
      <c r="E75" s="366" t="s">
        <v>577</v>
      </c>
      <c r="F75" s="1010" t="s">
        <v>708</v>
      </c>
      <c r="G75" t="s">
        <v>780</v>
      </c>
    </row>
    <row r="76" spans="1:7" x14ac:dyDescent="0.25">
      <c r="B76" s="1009" t="s">
        <v>695</v>
      </c>
      <c r="C76" s="1009"/>
      <c r="D76" s="1009"/>
      <c r="E76" s="366" t="s">
        <v>7</v>
      </c>
      <c r="F76" s="1010" t="s">
        <v>708</v>
      </c>
      <c r="G76" t="s">
        <v>781</v>
      </c>
    </row>
    <row r="77" spans="1:7" x14ac:dyDescent="0.25">
      <c r="B77" s="1009" t="s">
        <v>695</v>
      </c>
      <c r="C77" s="1009" t="s">
        <v>1049</v>
      </c>
      <c r="D77" s="1009"/>
      <c r="E77" s="366" t="s">
        <v>577</v>
      </c>
      <c r="F77" s="1010" t="s">
        <v>708</v>
      </c>
      <c r="G77" t="s">
        <v>1050</v>
      </c>
    </row>
    <row r="78" spans="1:7" x14ac:dyDescent="0.25">
      <c r="B78" s="1009" t="s">
        <v>695</v>
      </c>
      <c r="C78" s="1009" t="s">
        <v>490</v>
      </c>
      <c r="D78" s="1009"/>
      <c r="E78" s="366" t="s">
        <v>131</v>
      </c>
      <c r="F78" s="1010" t="s">
        <v>708</v>
      </c>
      <c r="G78" t="s">
        <v>1051</v>
      </c>
    </row>
    <row r="79" spans="1:7" x14ac:dyDescent="0.25">
      <c r="B79" s="1009" t="s">
        <v>695</v>
      </c>
      <c r="C79" s="1009" t="s">
        <v>490</v>
      </c>
      <c r="D79" s="1009"/>
      <c r="E79" s="366" t="s">
        <v>7</v>
      </c>
      <c r="F79" s="1010" t="s">
        <v>708</v>
      </c>
      <c r="G79" t="s">
        <v>1052</v>
      </c>
    </row>
    <row r="80" spans="1:7" x14ac:dyDescent="0.25">
      <c r="B80" s="1009" t="s">
        <v>695</v>
      </c>
      <c r="C80" s="1009" t="s">
        <v>490</v>
      </c>
      <c r="D80" s="1009" t="s">
        <v>923</v>
      </c>
      <c r="E80" s="366" t="s">
        <v>7</v>
      </c>
      <c r="F80" s="1010" t="s">
        <v>708</v>
      </c>
      <c r="G80" t="s">
        <v>1053</v>
      </c>
    </row>
    <row r="81" spans="1:7" x14ac:dyDescent="0.25">
      <c r="B81" s="1009" t="s">
        <v>691</v>
      </c>
      <c r="C81" s="1009"/>
      <c r="D81" s="1009"/>
      <c r="E81" s="366" t="s">
        <v>577</v>
      </c>
      <c r="F81" s="1010" t="s">
        <v>708</v>
      </c>
      <c r="G81" t="s">
        <v>782</v>
      </c>
    </row>
    <row r="82" spans="1:7" x14ac:dyDescent="0.25">
      <c r="B82" s="677" t="s">
        <v>691</v>
      </c>
      <c r="E82" t="s">
        <v>7</v>
      </c>
      <c r="F82" s="772" t="s">
        <v>708</v>
      </c>
      <c r="G82" t="s">
        <v>783</v>
      </c>
    </row>
    <row r="83" spans="1:7" x14ac:dyDescent="0.25">
      <c r="B83" s="677" t="s">
        <v>692</v>
      </c>
      <c r="C83" s="677" t="s">
        <v>120</v>
      </c>
      <c r="E83" t="s">
        <v>577</v>
      </c>
      <c r="F83" s="772" t="s">
        <v>708</v>
      </c>
      <c r="G83" t="s">
        <v>784</v>
      </c>
    </row>
    <row r="84" spans="1:7" x14ac:dyDescent="0.25">
      <c r="B84" s="677" t="s">
        <v>692</v>
      </c>
      <c r="C84" s="677" t="s">
        <v>120</v>
      </c>
      <c r="E84" t="s">
        <v>7</v>
      </c>
      <c r="F84" s="772" t="s">
        <v>708</v>
      </c>
      <c r="G84" t="s">
        <v>785</v>
      </c>
    </row>
    <row r="85" spans="1:7" x14ac:dyDescent="0.25">
      <c r="B85" s="677" t="s">
        <v>690</v>
      </c>
      <c r="C85" s="677" t="s">
        <v>120</v>
      </c>
      <c r="E85" t="s">
        <v>740</v>
      </c>
      <c r="F85" s="772" t="s">
        <v>708</v>
      </c>
      <c r="G85" t="s">
        <v>786</v>
      </c>
    </row>
    <row r="86" spans="1:7" x14ac:dyDescent="0.25">
      <c r="A86" s="437" t="s">
        <v>689</v>
      </c>
      <c r="B86" s="677" t="s">
        <v>690</v>
      </c>
      <c r="E86" t="s">
        <v>577</v>
      </c>
      <c r="F86" s="772" t="s">
        <v>708</v>
      </c>
      <c r="G86" t="s">
        <v>741</v>
      </c>
    </row>
    <row r="87" spans="1:7" x14ac:dyDescent="0.25">
      <c r="B87" s="677" t="s">
        <v>490</v>
      </c>
      <c r="E87" t="s">
        <v>577</v>
      </c>
      <c r="F87" s="772" t="s">
        <v>708</v>
      </c>
      <c r="G87" t="s">
        <v>742</v>
      </c>
    </row>
    <row r="88" spans="1:7" x14ac:dyDescent="0.25">
      <c r="B88" s="677" t="s">
        <v>688</v>
      </c>
      <c r="E88" t="s">
        <v>7</v>
      </c>
      <c r="F88" s="772" t="s">
        <v>708</v>
      </c>
      <c r="G88" t="s">
        <v>744</v>
      </c>
    </row>
    <row r="89" spans="1:7" x14ac:dyDescent="0.25">
      <c r="B89" s="677" t="s">
        <v>695</v>
      </c>
      <c r="E89" t="s">
        <v>7</v>
      </c>
      <c r="F89" s="772" t="s">
        <v>708</v>
      </c>
      <c r="G89" s="1015" t="s">
        <v>1044</v>
      </c>
    </row>
    <row r="90" spans="1:7" x14ac:dyDescent="0.25">
      <c r="B90" s="677" t="s">
        <v>695</v>
      </c>
      <c r="C90" s="677" t="s">
        <v>1049</v>
      </c>
      <c r="E90" t="s">
        <v>7</v>
      </c>
      <c r="F90" s="772" t="s">
        <v>708</v>
      </c>
      <c r="G90" s="1015" t="s">
        <v>1047</v>
      </c>
    </row>
    <row r="91" spans="1:7" x14ac:dyDescent="0.25">
      <c r="B91" s="677" t="s">
        <v>695</v>
      </c>
      <c r="C91" s="677" t="s">
        <v>1049</v>
      </c>
      <c r="E91" t="s">
        <v>131</v>
      </c>
      <c r="F91" s="772" t="s">
        <v>708</v>
      </c>
      <c r="G91" s="1015" t="s">
        <v>1046</v>
      </c>
    </row>
    <row r="92" spans="1:7" x14ac:dyDescent="0.25">
      <c r="B92" s="677" t="s">
        <v>695</v>
      </c>
      <c r="C92" s="677" t="s">
        <v>1049</v>
      </c>
      <c r="D92" s="677" t="s">
        <v>923</v>
      </c>
      <c r="E92" t="s">
        <v>7</v>
      </c>
      <c r="F92" s="772" t="s">
        <v>708</v>
      </c>
      <c r="G92" s="1015" t="s">
        <v>1048</v>
      </c>
    </row>
    <row r="93" spans="1:7" x14ac:dyDescent="0.25">
      <c r="B93" s="677" t="s">
        <v>695</v>
      </c>
      <c r="C93" s="677" t="s">
        <v>1049</v>
      </c>
      <c r="D93" s="677" t="s">
        <v>923</v>
      </c>
      <c r="E93" t="s">
        <v>1054</v>
      </c>
      <c r="F93" s="772" t="s">
        <v>708</v>
      </c>
      <c r="G93" s="1015" t="s">
        <v>1055</v>
      </c>
    </row>
    <row r="94" spans="1:7" x14ac:dyDescent="0.25">
      <c r="B94" s="677" t="s">
        <v>691</v>
      </c>
      <c r="E94" t="s">
        <v>7</v>
      </c>
      <c r="F94" s="772" t="s">
        <v>708</v>
      </c>
      <c r="G94" t="s">
        <v>743</v>
      </c>
    </row>
    <row r="95" spans="1:7" x14ac:dyDescent="0.25">
      <c r="B95" s="677" t="s">
        <v>120</v>
      </c>
      <c r="E95" t="s">
        <v>7</v>
      </c>
      <c r="F95" s="772" t="s">
        <v>708</v>
      </c>
      <c r="G95" t="s">
        <v>745</v>
      </c>
    </row>
    <row r="96" spans="1:7" x14ac:dyDescent="0.25">
      <c r="B96" s="677" t="s">
        <v>120</v>
      </c>
      <c r="E96" t="s">
        <v>679</v>
      </c>
      <c r="F96" s="772" t="s">
        <v>708</v>
      </c>
      <c r="G96" s="483" t="s">
        <v>1056</v>
      </c>
    </row>
    <row r="97" spans="1:7" x14ac:dyDescent="0.25">
      <c r="B97" s="677" t="s">
        <v>120</v>
      </c>
      <c r="C97" s="677" t="s">
        <v>1049</v>
      </c>
      <c r="E97" t="s">
        <v>679</v>
      </c>
      <c r="F97" s="772" t="s">
        <v>708</v>
      </c>
      <c r="G97" s="483" t="s">
        <v>1057</v>
      </c>
    </row>
    <row r="98" spans="1:7" x14ac:dyDescent="0.25">
      <c r="B98" s="677" t="s">
        <v>120</v>
      </c>
      <c r="E98" t="s">
        <v>7</v>
      </c>
      <c r="F98" s="772" t="s">
        <v>708</v>
      </c>
      <c r="G98" s="483" t="s">
        <v>1061</v>
      </c>
    </row>
    <row r="99" spans="1:7" x14ac:dyDescent="0.25">
      <c r="A99" s="437" t="s">
        <v>698</v>
      </c>
      <c r="B99" s="677" t="s">
        <v>699</v>
      </c>
      <c r="E99" t="s">
        <v>577</v>
      </c>
      <c r="F99" s="772" t="s">
        <v>708</v>
      </c>
      <c r="G99" t="s">
        <v>787</v>
      </c>
    </row>
    <row r="100" spans="1:7" x14ac:dyDescent="0.25">
      <c r="B100" s="677" t="s">
        <v>167</v>
      </c>
      <c r="C100" s="677" t="s">
        <v>701</v>
      </c>
      <c r="E100" t="s">
        <v>577</v>
      </c>
      <c r="F100" s="772" t="s">
        <v>708</v>
      </c>
      <c r="G100" t="s">
        <v>788</v>
      </c>
    </row>
    <row r="101" spans="1:7" x14ac:dyDescent="0.25">
      <c r="B101" s="677" t="s">
        <v>167</v>
      </c>
      <c r="C101" s="677" t="s">
        <v>701</v>
      </c>
      <c r="D101" s="677" t="s">
        <v>120</v>
      </c>
      <c r="E101" t="s">
        <v>577</v>
      </c>
      <c r="F101" s="772" t="s">
        <v>708</v>
      </c>
      <c r="G101" t="s">
        <v>789</v>
      </c>
    </row>
    <row r="102" spans="1:7" x14ac:dyDescent="0.25">
      <c r="B102" s="677" t="s">
        <v>702</v>
      </c>
      <c r="E102" t="s">
        <v>577</v>
      </c>
      <c r="F102" s="772" t="s">
        <v>708</v>
      </c>
      <c r="G102" t="s">
        <v>790</v>
      </c>
    </row>
    <row r="103" spans="1:7" x14ac:dyDescent="0.25">
      <c r="B103" s="677" t="s">
        <v>702</v>
      </c>
      <c r="C103" s="677" t="s">
        <v>701</v>
      </c>
      <c r="E103" t="s">
        <v>577</v>
      </c>
      <c r="F103" s="772" t="s">
        <v>708</v>
      </c>
      <c r="G103" t="s">
        <v>791</v>
      </c>
    </row>
    <row r="104" spans="1:7" x14ac:dyDescent="0.25">
      <c r="B104" s="677" t="s">
        <v>702</v>
      </c>
      <c r="C104" s="677" t="s">
        <v>701</v>
      </c>
      <c r="D104" s="677" t="s">
        <v>120</v>
      </c>
      <c r="E104" t="s">
        <v>577</v>
      </c>
      <c r="F104" s="772" t="s">
        <v>708</v>
      </c>
      <c r="G104" t="s">
        <v>792</v>
      </c>
    </row>
    <row r="105" spans="1:7" x14ac:dyDescent="0.25">
      <c r="B105" s="677" t="s">
        <v>703</v>
      </c>
      <c r="E105" t="s">
        <v>577</v>
      </c>
      <c r="F105" s="772" t="s">
        <v>708</v>
      </c>
      <c r="G105" t="s">
        <v>793</v>
      </c>
    </row>
    <row r="106" spans="1:7" x14ac:dyDescent="0.25">
      <c r="B106" s="677" t="s">
        <v>167</v>
      </c>
      <c r="C106" s="677" t="s">
        <v>700</v>
      </c>
      <c r="E106" t="s">
        <v>577</v>
      </c>
      <c r="F106" s="772" t="s">
        <v>708</v>
      </c>
      <c r="G106" t="s">
        <v>794</v>
      </c>
    </row>
    <row r="107" spans="1:7" x14ac:dyDescent="0.25">
      <c r="B107" s="677" t="s">
        <v>167</v>
      </c>
      <c r="C107" s="677" t="s">
        <v>700</v>
      </c>
      <c r="E107" t="s">
        <v>7</v>
      </c>
      <c r="F107" s="772" t="s">
        <v>708</v>
      </c>
      <c r="G107" t="s">
        <v>795</v>
      </c>
    </row>
    <row r="108" spans="1:7" x14ac:dyDescent="0.25">
      <c r="A108" s="437" t="s">
        <v>704</v>
      </c>
      <c r="B108" s="677" t="s">
        <v>699</v>
      </c>
      <c r="E108" t="s">
        <v>577</v>
      </c>
      <c r="F108" s="772" t="s">
        <v>708</v>
      </c>
      <c r="G108" t="s">
        <v>746</v>
      </c>
    </row>
    <row r="109" spans="1:7" x14ac:dyDescent="0.25">
      <c r="B109" s="677" t="s">
        <v>167</v>
      </c>
      <c r="C109" s="677" t="s">
        <v>700</v>
      </c>
      <c r="E109" t="s">
        <v>577</v>
      </c>
      <c r="F109" s="772" t="s">
        <v>708</v>
      </c>
      <c r="G109" t="s">
        <v>747</v>
      </c>
    </row>
    <row r="110" spans="1:7" x14ac:dyDescent="0.25">
      <c r="B110" s="677" t="s">
        <v>167</v>
      </c>
      <c r="C110" s="677" t="s">
        <v>1011</v>
      </c>
      <c r="E110" t="s">
        <v>577</v>
      </c>
      <c r="F110" s="772" t="s">
        <v>708</v>
      </c>
      <c r="G110" t="s">
        <v>1010</v>
      </c>
    </row>
  </sheetData>
  <sheetProtection algorithmName="SHA-512" hashValue="jUyxLqSggfpa1+/OSgqz9xKQyOrbOMlySmhlQ5Pesxi6lwUvjm9VFwdoitYDCMvYQNHRYoXsUJ+dvkmn/Dh2Yw==" saltValue="/KLI05VFm3Dms0p9gnihrA==" spinCount="100000" sheet="1" scenarios="1" formatCells="0" formatColumns="0" formatRows="0" sort="0" autoFilter="0" pivotTables="0"/>
  <hyperlinks>
    <hyperlink ref="F6" location="Structure!A4" display="link"/>
    <hyperlink ref="F7" location="'Crewing Model'!A4" display="link"/>
    <hyperlink ref="F8" location="'Crewing Model - Area'!A4" display="link"/>
    <hyperlink ref="F9" location="'Primary Crewing'!A4" display="link"/>
    <hyperlink ref="F10" location="'Primary Crewing - Area'!A4" display="link"/>
    <hyperlink ref="F13" location="'Chart - Station Type'!A4" display="link"/>
    <hyperlink ref="F14" location="'Chart - Area'!A4" display="link"/>
    <hyperlink ref="F15" location="'Chart - Map'!A4" display="link"/>
    <hyperlink ref="F16" location="Vehicles!A4" display="link"/>
    <hyperlink ref="F17" location="'Appliances LA'!A4" display="link"/>
    <hyperlink ref="F18" location="Staffing!A4" display="link"/>
    <hyperlink ref="F19" location="Staffing!A31" display="link"/>
    <hyperlink ref="F22" location="Department!A4" display="link"/>
    <hyperlink ref="F23" location="Department!A31" display="link"/>
    <hyperlink ref="F24" location="'Geographic Structure'!A4" display="link"/>
    <hyperlink ref="F25" location="'Staff - Small Area'!A4" display="link"/>
    <hyperlink ref="F26" location="Role!A4" display="link"/>
    <hyperlink ref="F28" location="'Role - Area'!A4" display="link"/>
    <hyperlink ref="F29" location="'WT Role - Area'!A4" display="link"/>
    <hyperlink ref="F30" location="'RDS Role - Area'!A4" display="link"/>
    <hyperlink ref="F31" location="'C&amp;S Role - Area'!A4" display="link"/>
    <hyperlink ref="F32" location="'C&amp;S Role - Area'!A19" display="link"/>
    <hyperlink ref="F33" location="'Vol Role - Area'!A4" display="link"/>
    <hyperlink ref="F34" location="'WT FTE Role - Area'!A4" display="link"/>
    <hyperlink ref="F35" location="'RDS FTE Role - Area'!A4" display="link"/>
    <hyperlink ref="F36" location="'C&amp;S FTE Role - Area'!A4" display="link"/>
    <hyperlink ref="F37" location="'C&amp;S FTE Role - Area'!A17" display="link"/>
    <hyperlink ref="F38" location="'Gender Timeseries'!A4" display="link"/>
    <hyperlink ref="F39" location="Gender!A4" display="link"/>
    <hyperlink ref="F40" location="'Gender and Role'!A4" display="link"/>
    <hyperlink ref="F41" location="'FTE Gender and Role'!A4" display="link"/>
    <hyperlink ref="F42" location="Age!A4" display="link"/>
    <hyperlink ref="F43" location="Age!A28" display="link"/>
    <hyperlink ref="F44" location="'Service Length'!A4" display="link"/>
    <hyperlink ref="F45" location="'Service Length'!A27" display="link"/>
    <hyperlink ref="F46" location="Ethnicity!A4" display="link"/>
    <hyperlink ref="F47" location="Disability!A4" display="link"/>
    <hyperlink ref="F48" location="Disability!A24" display="link"/>
    <hyperlink ref="F49" location="'Entrants - Demographics'!A4" display="link"/>
    <hyperlink ref="F50" location="'Entrants - Demographics'!A29" display="link"/>
    <hyperlink ref="F51" location="'Entrants - Demographics'!A45" display="link"/>
    <hyperlink ref="F52" location="'Entrants - Demographics'!A62" display="link"/>
    <hyperlink ref="F53" location="Leavers!A4" display="link"/>
    <hyperlink ref="F54" location="'Chart Headcount'!A4" display="link"/>
    <hyperlink ref="F55" location="'Chart FTE'!A4" display="link"/>
    <hyperlink ref="F56" location="'Chart Gender'!A4" display="link"/>
    <hyperlink ref="F57" location="'Chart Age'!A4" display="link"/>
    <hyperlink ref="F59" location="Attacks!A4" display="link"/>
    <hyperlink ref="F60" location="Attacks!A21" display="link"/>
    <hyperlink ref="F61" location="'Attacks - Area'!A4" display="link"/>
    <hyperlink ref="F62" location="'Chart - Attacks'!A4" display="link"/>
    <hyperlink ref="F63" location="'Chart - Injuries'!A4" display="link"/>
    <hyperlink ref="F65" location="HFSVs!A4" display="link"/>
    <hyperlink ref="F66" location="HFSVs!A35" display="link"/>
    <hyperlink ref="F67" location="HFSVs!A54" display="link"/>
    <hyperlink ref="F68" location="'Distinct Properties'!A4" display="link"/>
    <hyperlink ref="F69" location="'Distinct Properties'!A24" display="link"/>
    <hyperlink ref="F70" location="'Distinct Propert. Popul.'!A4" display="link"/>
    <hyperlink ref="F71" location="'Distinct Propert. Popul.'!A23" display="link"/>
    <hyperlink ref="F72" location="Residents!A4" display="link"/>
    <hyperlink ref="F73" location="Residents!A23" display="link"/>
    <hyperlink ref="F75" location="'SIMD-Visits'!A4" display="link"/>
    <hyperlink ref="F76" location="'SIMD-Visits'!A23" display="link"/>
    <hyperlink ref="F81" location="Rurality!A4" display="link"/>
    <hyperlink ref="F82" location="Rurality!A22" display="link"/>
    <hyperlink ref="F83" location="'HFSVs LA'!A4" display="link"/>
    <hyperlink ref="F84" location="'Outcome LA'!A4" display="link"/>
    <hyperlink ref="F85" location="'Rate LA'!A4" display="link"/>
    <hyperlink ref="F86" location="'Chart HFSVs'!A4" display="link"/>
    <hyperlink ref="F87" location="'Chart Alarms'!A4" display="link"/>
    <hyperlink ref="F88" location="'Chart Residents'!A4" display="link"/>
    <hyperlink ref="F94" location="'Chart Rurality'!A4" display="link"/>
    <hyperlink ref="F95" location="'Chart LA'!A4" display="link"/>
    <hyperlink ref="F99" location="Workflows!A4" display="link"/>
    <hyperlink ref="F100" location="Audits!A4" display="link"/>
    <hyperlink ref="F101" location="'Audits LA'!A4" display="link"/>
    <hyperlink ref="F102" location="'Audits Outcome'!A4" display="link"/>
    <hyperlink ref="F103" location="'Audits Outcome'!A30" display="link"/>
    <hyperlink ref="F104" location="'Audits Outcome LA'!A4" display="link"/>
    <hyperlink ref="F105" location="Notices!A4" display="link"/>
    <hyperlink ref="F106" location="Risk!A4" display="link"/>
    <hyperlink ref="F107" location="Risk!A31" display="link"/>
    <hyperlink ref="F108" location="'Chart Workflows'!A4" display="link"/>
    <hyperlink ref="F109" location="'Chart Audits'!A4" display="link"/>
    <hyperlink ref="F11" location="'Crewing Level'!A4" display="link"/>
    <hyperlink ref="F12" location="Capabilities!A4" display="link"/>
    <hyperlink ref="F58" location="'Chart ServiceLength'!A4" display="link"/>
    <hyperlink ref="F20" location="DutySystem!A4" display="link"/>
    <hyperlink ref="F21" location="'DutySytem LA'!A4" display="link"/>
    <hyperlink ref="F27" location="'Role DutySystem'!A4" display="link"/>
    <hyperlink ref="F64" location="'Chart - AttacksMap'!A4" display="link"/>
    <hyperlink ref="F110" location="'Chart Audit Share'!A4" display="link"/>
    <hyperlink ref="F74" location="Tenure!A4" display="link"/>
    <hyperlink ref="F77" location="'SIMD-Alarms'!A4" display="link"/>
    <hyperlink ref="F78" location="'SIMD-Alarms'!A23" display="link"/>
    <hyperlink ref="F79" location="'SIMD-%Alarm'!A4" display="link"/>
    <hyperlink ref="F80" location="'SIMD-%Alarm'!A23" display="link"/>
    <hyperlink ref="F89" location="'Chart SIMD'!A4" display="link"/>
    <hyperlink ref="F90" location="'Chart SIMD Alarms'!A4" display="link"/>
    <hyperlink ref="F91" location="'Chart SIMD AlarmRate'!A4" display="link"/>
    <hyperlink ref="F92" location="'Chart SIMD OwnerOcc'!A4" display="link"/>
    <hyperlink ref="F93" location="'Chart SIMD OwnerYears'!A4" display="link"/>
    <hyperlink ref="F96" location="'Chart Map'!A4" display="link"/>
    <hyperlink ref="F97" location="'Chart Alarms Map'!A4" display="link"/>
    <hyperlink ref="F98" location="'Chart %Install'!A4" display="link"/>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pageSetUpPr fitToPage="1"/>
  </sheetPr>
  <dimension ref="A1:XFA72"/>
  <sheetViews>
    <sheetView showGridLines="0" workbookViewId="0">
      <pane ySplit="2" topLeftCell="A3" activePane="bottomLeft" state="frozen"/>
      <selection pane="bottomLeft" sqref="A1:J1"/>
    </sheetView>
  </sheetViews>
  <sheetFormatPr defaultRowHeight="15" x14ac:dyDescent="0.25"/>
  <cols>
    <col min="1" max="1" width="29.7109375" customWidth="1"/>
    <col min="2" max="2" width="12.42578125" bestFit="1" customWidth="1"/>
    <col min="3" max="4" width="12.140625" customWidth="1"/>
    <col min="5" max="6" width="11.28515625" customWidth="1"/>
    <col min="7" max="7" width="12.28515625" customWidth="1"/>
    <col min="8" max="8" width="11" bestFit="1" customWidth="1"/>
    <col min="9" max="9" width="4.42578125" customWidth="1"/>
    <col min="10" max="10" width="11.42578125" customWidth="1"/>
    <col min="12" max="12" width="35.140625" bestFit="1" customWidth="1"/>
  </cols>
  <sheetData>
    <row r="1" spans="1:21" ht="15.75" x14ac:dyDescent="0.25">
      <c r="A1" s="1077" t="s">
        <v>505</v>
      </c>
      <c r="B1" s="1077"/>
      <c r="C1" s="1077"/>
      <c r="D1" s="1077"/>
      <c r="E1" s="1077"/>
      <c r="F1" s="1077"/>
      <c r="G1" s="1077"/>
      <c r="H1" s="1077"/>
      <c r="I1" s="1077"/>
      <c r="J1" s="1077"/>
    </row>
    <row r="2" spans="1:21" ht="15" customHeight="1" x14ac:dyDescent="0.25">
      <c r="A2" s="772" t="s">
        <v>578</v>
      </c>
      <c r="B2" s="1"/>
      <c r="C2" s="1"/>
      <c r="D2" s="1"/>
      <c r="E2" s="1"/>
      <c r="F2" s="1"/>
      <c r="G2" s="1"/>
      <c r="H2" s="1"/>
      <c r="I2" s="1"/>
      <c r="J2" s="1"/>
      <c r="K2" s="1"/>
    </row>
    <row r="3" spans="1:21" ht="15" customHeight="1" x14ac:dyDescent="0.25">
      <c r="A3" s="1"/>
      <c r="B3" s="1"/>
      <c r="C3" s="1"/>
      <c r="D3" s="1"/>
      <c r="E3" s="1"/>
      <c r="F3" s="1"/>
      <c r="G3" s="1"/>
      <c r="H3" s="1"/>
      <c r="I3" s="1"/>
      <c r="J3" s="1"/>
      <c r="K3" s="1"/>
    </row>
    <row r="4" spans="1:21" ht="24" customHeight="1" x14ac:dyDescent="0.25">
      <c r="A4" s="657" t="s">
        <v>538</v>
      </c>
      <c r="B4" s="657"/>
      <c r="C4" s="657"/>
      <c r="D4" s="657"/>
      <c r="E4" s="657"/>
      <c r="F4" s="657"/>
      <c r="G4" s="657"/>
      <c r="H4" s="657"/>
      <c r="I4" s="657"/>
      <c r="J4" s="657"/>
      <c r="K4" s="1"/>
    </row>
    <row r="5" spans="1:21" ht="15.75" customHeight="1" x14ac:dyDescent="0.25">
      <c r="A5" t="s">
        <v>363</v>
      </c>
      <c r="B5" t="s">
        <v>721</v>
      </c>
      <c r="U5" s="580"/>
    </row>
    <row r="6" spans="1:21" ht="15.75" customHeight="1" x14ac:dyDescent="0.25">
      <c r="A6" t="s">
        <v>364</v>
      </c>
      <c r="B6" t="s">
        <v>366</v>
      </c>
      <c r="U6" s="580"/>
    </row>
    <row r="7" spans="1:21" ht="15.75" customHeight="1" x14ac:dyDescent="0.25">
      <c r="A7" t="s">
        <v>365</v>
      </c>
      <c r="B7" t="s">
        <v>367</v>
      </c>
      <c r="U7" s="580"/>
    </row>
    <row r="8" spans="1:21" ht="15" customHeight="1" x14ac:dyDescent="0.25">
      <c r="U8" s="580"/>
    </row>
    <row r="9" spans="1:21" ht="45" customHeight="1" x14ac:dyDescent="0.25">
      <c r="A9" s="2" t="s">
        <v>1</v>
      </c>
      <c r="B9" s="3" t="s">
        <v>176</v>
      </c>
      <c r="C9" s="3" t="s">
        <v>28</v>
      </c>
      <c r="D9" s="3" t="s">
        <v>956</v>
      </c>
      <c r="E9" s="3" t="s">
        <v>2</v>
      </c>
      <c r="F9" s="3" t="s">
        <v>3</v>
      </c>
      <c r="G9" s="3" t="s">
        <v>29</v>
      </c>
      <c r="H9" s="3" t="s">
        <v>4</v>
      </c>
      <c r="I9" s="4"/>
      <c r="J9" s="3" t="s">
        <v>5</v>
      </c>
      <c r="K9" s="16"/>
      <c r="U9" s="580"/>
    </row>
    <row r="10" spans="1:21" ht="22.5" customHeight="1" x14ac:dyDescent="0.25">
      <c r="A10" s="5" t="str">
        <f>'T1'!A5</f>
        <v>2011-12</v>
      </c>
      <c r="B10" s="368">
        <f>'T1'!B5</f>
        <v>4159</v>
      </c>
      <c r="C10" s="368">
        <f>'T1'!C5</f>
        <v>3052</v>
      </c>
      <c r="D10" s="368">
        <f>'T1'!D5</f>
        <v>0</v>
      </c>
      <c r="E10" s="368">
        <f>'T1'!E5</f>
        <v>234</v>
      </c>
      <c r="F10" s="368">
        <f>'T1'!F5</f>
        <v>1136</v>
      </c>
      <c r="G10" s="368">
        <f>'T1'!G5</f>
        <v>459</v>
      </c>
      <c r="H10" s="369">
        <f>SUM(B10:G10)</f>
        <v>9040</v>
      </c>
      <c r="I10" s="369"/>
      <c r="J10" s="369">
        <f>H10-G10</f>
        <v>8581</v>
      </c>
      <c r="K10" s="16"/>
      <c r="U10" s="580"/>
    </row>
    <row r="11" spans="1:21" ht="15" customHeight="1" x14ac:dyDescent="0.25">
      <c r="A11" s="5" t="str">
        <f>'T1'!A6</f>
        <v>2012-13</v>
      </c>
      <c r="B11" s="368">
        <f>'T1'!B6</f>
        <v>4151</v>
      </c>
      <c r="C11" s="368">
        <f>'T1'!C6</f>
        <v>3076</v>
      </c>
      <c r="D11" s="368">
        <f>'T1'!D6</f>
        <v>0</v>
      </c>
      <c r="E11" s="368">
        <f>'T1'!E6</f>
        <v>234</v>
      </c>
      <c r="F11" s="368">
        <f>'T1'!F6</f>
        <v>1086</v>
      </c>
      <c r="G11" s="368">
        <f>'T1'!G6</f>
        <v>417</v>
      </c>
      <c r="H11" s="369">
        <f>SUM(B11:G11)</f>
        <v>8964</v>
      </c>
      <c r="I11" s="369"/>
      <c r="J11" s="369">
        <f t="shared" ref="J11:J16" si="0">H11-G11</f>
        <v>8547</v>
      </c>
      <c r="K11" s="16"/>
      <c r="U11" s="580"/>
    </row>
    <row r="12" spans="1:21" ht="15" customHeight="1" x14ac:dyDescent="0.25">
      <c r="A12" s="5" t="str">
        <f>'T1'!A7</f>
        <v>2013-14</v>
      </c>
      <c r="B12" s="368">
        <f>'T1'!B7</f>
        <v>4001</v>
      </c>
      <c r="C12" s="368">
        <f>'T1'!C7</f>
        <v>2940</v>
      </c>
      <c r="D12" s="368">
        <f>'T1'!D7</f>
        <v>0</v>
      </c>
      <c r="E12" s="368">
        <f>'T1'!E7</f>
        <v>223</v>
      </c>
      <c r="F12" s="368">
        <f>'T1'!F7</f>
        <v>961</v>
      </c>
      <c r="G12" s="368">
        <f>'T1'!G7</f>
        <v>359</v>
      </c>
      <c r="H12" s="369">
        <f t="shared" ref="H12:H16" si="1">SUM(B12:G12)</f>
        <v>8484</v>
      </c>
      <c r="I12" s="369"/>
      <c r="J12" s="369">
        <f t="shared" si="0"/>
        <v>8125</v>
      </c>
      <c r="K12" s="16"/>
      <c r="U12" s="580"/>
    </row>
    <row r="13" spans="1:21" ht="15" customHeight="1" x14ac:dyDescent="0.25">
      <c r="A13" s="5" t="str">
        <f>'T1'!A8</f>
        <v>2014-15</v>
      </c>
      <c r="B13" s="368">
        <f>'T1'!B8</f>
        <v>3856</v>
      </c>
      <c r="C13" s="368">
        <f>'T1'!C8</f>
        <v>2950</v>
      </c>
      <c r="D13" s="368">
        <f>'T1'!D8</f>
        <v>0</v>
      </c>
      <c r="E13" s="368">
        <f>'T1'!E8</f>
        <v>230</v>
      </c>
      <c r="F13" s="368">
        <f>'T1'!F8</f>
        <v>867</v>
      </c>
      <c r="G13" s="368">
        <f>'T1'!G8</f>
        <v>382</v>
      </c>
      <c r="H13" s="369">
        <f t="shared" si="1"/>
        <v>8285</v>
      </c>
      <c r="I13" s="369"/>
      <c r="J13" s="369">
        <f t="shared" si="0"/>
        <v>7903</v>
      </c>
      <c r="K13" s="370"/>
      <c r="U13" s="580"/>
    </row>
    <row r="14" spans="1:21" ht="15" customHeight="1" x14ac:dyDescent="0.25">
      <c r="A14" s="5" t="str">
        <f>'T1'!A9</f>
        <v>2015-16</v>
      </c>
      <c r="B14" s="368">
        <f>'T1'!B9</f>
        <v>3690</v>
      </c>
      <c r="C14" s="368">
        <f>'T1'!C9</f>
        <v>2870</v>
      </c>
      <c r="D14" s="368">
        <f>'T1'!D9</f>
        <v>0</v>
      </c>
      <c r="E14" s="368">
        <f>'T1'!E9</f>
        <v>203</v>
      </c>
      <c r="F14" s="368">
        <f>'T1'!F9</f>
        <v>828</v>
      </c>
      <c r="G14" s="368">
        <f>'T1'!G9</f>
        <v>342</v>
      </c>
      <c r="H14" s="369">
        <f t="shared" si="1"/>
        <v>7933</v>
      </c>
      <c r="I14" s="369"/>
      <c r="J14" s="369">
        <f t="shared" si="0"/>
        <v>7591</v>
      </c>
      <c r="K14" s="370"/>
      <c r="U14" s="580"/>
    </row>
    <row r="15" spans="1:21" ht="15" customHeight="1" x14ac:dyDescent="0.25">
      <c r="A15" s="5" t="str">
        <f>'T1'!A10</f>
        <v>2016-17</v>
      </c>
      <c r="B15" s="368">
        <f>'T1'!B10</f>
        <v>3645</v>
      </c>
      <c r="C15" s="368">
        <f>'T1'!C10</f>
        <v>2870</v>
      </c>
      <c r="D15" s="368">
        <f>'T1'!D10</f>
        <v>0</v>
      </c>
      <c r="E15" s="368">
        <f>'T1'!E10</f>
        <v>165</v>
      </c>
      <c r="F15" s="368">
        <f>'T1'!F10</f>
        <v>838</v>
      </c>
      <c r="G15" s="368">
        <f>'T1'!G10</f>
        <v>320</v>
      </c>
      <c r="H15" s="371">
        <f t="shared" si="1"/>
        <v>7838</v>
      </c>
      <c r="I15" s="371"/>
      <c r="J15" s="371">
        <f t="shared" si="0"/>
        <v>7518</v>
      </c>
      <c r="K15" s="372"/>
      <c r="U15" s="580"/>
    </row>
    <row r="16" spans="1:21" ht="15" customHeight="1" x14ac:dyDescent="0.25">
      <c r="A16" s="5" t="str">
        <f>'T1'!A11</f>
        <v>2017-18</v>
      </c>
      <c r="B16" s="368">
        <f>'T1'!B11</f>
        <v>3546</v>
      </c>
      <c r="C16" s="368">
        <f>'T1'!C11</f>
        <v>2863</v>
      </c>
      <c r="D16" s="368">
        <f>'T1'!D11</f>
        <v>0</v>
      </c>
      <c r="E16" s="368">
        <f>'T1'!E11</f>
        <v>189</v>
      </c>
      <c r="F16" s="368">
        <f>'T1'!F11</f>
        <v>846</v>
      </c>
      <c r="G16" s="368">
        <f>'T1'!G11</f>
        <v>336</v>
      </c>
      <c r="H16" s="371">
        <f t="shared" si="1"/>
        <v>7780</v>
      </c>
      <c r="I16" s="371"/>
      <c r="J16" s="371">
        <f t="shared" si="0"/>
        <v>7444</v>
      </c>
      <c r="K16" s="372"/>
      <c r="U16" s="580"/>
    </row>
    <row r="17" spans="1:21" ht="15" customHeight="1" x14ac:dyDescent="0.25">
      <c r="A17" s="5" t="str">
        <f>'T1'!A12</f>
        <v>2018-19</v>
      </c>
      <c r="B17" s="368">
        <f>'T1'!B12</f>
        <v>3637</v>
      </c>
      <c r="C17" s="368">
        <f>'T1'!C12</f>
        <v>2935</v>
      </c>
      <c r="D17" s="368">
        <f>'T1'!D12</f>
        <v>18</v>
      </c>
      <c r="E17" s="368">
        <f>'T1'!E12</f>
        <v>207</v>
      </c>
      <c r="F17" s="368">
        <f>'T1'!F12</f>
        <v>792</v>
      </c>
      <c r="G17" s="368">
        <f>'T1'!G12</f>
        <v>321</v>
      </c>
      <c r="H17" s="371">
        <f>B17+C17+E17+F17+G17+D17</f>
        <v>7910</v>
      </c>
      <c r="I17" s="371"/>
      <c r="J17" s="371">
        <f t="shared" ref="J17:J18" si="2">H17-G17</f>
        <v>7589</v>
      </c>
      <c r="K17" s="372"/>
      <c r="U17" s="580"/>
    </row>
    <row r="18" spans="1:21" ht="15" customHeight="1" x14ac:dyDescent="0.25">
      <c r="A18" s="19" t="str">
        <f>'T1'!A13</f>
        <v>2019-20</v>
      </c>
      <c r="B18" s="460">
        <f>'T1'!B13</f>
        <v>3636</v>
      </c>
      <c r="C18" s="460">
        <f>'T1'!C13</f>
        <v>2937</v>
      </c>
      <c r="D18" s="460">
        <f>'T1'!D13</f>
        <v>36</v>
      </c>
      <c r="E18" s="460">
        <f>'T1'!E13</f>
        <v>188</v>
      </c>
      <c r="F18" s="460">
        <f>'T1'!F13</f>
        <v>818</v>
      </c>
      <c r="G18" s="460">
        <f>'T1'!G13</f>
        <v>315</v>
      </c>
      <c r="H18" s="373">
        <f>B18+C18+E18+F18+G18+D18</f>
        <v>7930</v>
      </c>
      <c r="I18" s="373"/>
      <c r="J18" s="373">
        <f t="shared" si="2"/>
        <v>7615</v>
      </c>
      <c r="K18" s="370"/>
      <c r="U18" s="580"/>
    </row>
    <row r="19" spans="1:21" ht="13.5" customHeight="1" x14ac:dyDescent="0.25">
      <c r="B19" s="7"/>
      <c r="C19" s="7"/>
      <c r="D19" s="7"/>
      <c r="E19" s="7"/>
      <c r="F19" s="7"/>
      <c r="G19" s="7"/>
      <c r="H19" s="7"/>
      <c r="I19" s="7"/>
      <c r="J19" s="7"/>
      <c r="K19" s="374"/>
      <c r="L19" s="967"/>
      <c r="U19" s="580"/>
    </row>
    <row r="20" spans="1:21" ht="14.1" customHeight="1" x14ac:dyDescent="0.25">
      <c r="A20" s="1090" t="str">
        <f>"One Year Change " &amp; A17 &amp; " to " &amp; A18</f>
        <v>One Year Change 2018-19 to 2019-20</v>
      </c>
      <c r="B20" s="1090"/>
      <c r="C20" s="1090"/>
      <c r="D20" s="957"/>
      <c r="E20" s="375"/>
      <c r="F20" s="375"/>
      <c r="G20" s="375"/>
      <c r="H20" s="375"/>
      <c r="I20" s="374"/>
      <c r="J20" s="375"/>
      <c r="K20" s="28"/>
      <c r="U20" s="580"/>
    </row>
    <row r="21" spans="1:21" ht="14.1" customHeight="1" x14ac:dyDescent="0.25">
      <c r="A21" s="8" t="s">
        <v>6</v>
      </c>
      <c r="B21" s="9">
        <f>B18-B17</f>
        <v>-1</v>
      </c>
      <c r="C21" s="9">
        <f t="shared" ref="C21:H21" si="3">C18-C17</f>
        <v>2</v>
      </c>
      <c r="D21" s="9">
        <f t="shared" si="3"/>
        <v>18</v>
      </c>
      <c r="E21" s="9">
        <f t="shared" si="3"/>
        <v>-19</v>
      </c>
      <c r="F21" s="9">
        <f t="shared" si="3"/>
        <v>26</v>
      </c>
      <c r="G21" s="9">
        <f t="shared" si="3"/>
        <v>-6</v>
      </c>
      <c r="H21" s="9">
        <f t="shared" si="3"/>
        <v>20</v>
      </c>
      <c r="I21" s="10"/>
      <c r="J21" s="9">
        <f>J18-J17</f>
        <v>26</v>
      </c>
      <c r="K21" s="16"/>
      <c r="U21" s="580"/>
    </row>
    <row r="22" spans="1:21" ht="18" customHeight="1" thickBot="1" x14ac:dyDescent="0.3">
      <c r="A22" s="11" t="s">
        <v>7</v>
      </c>
      <c r="B22" s="376">
        <f>B21/B17</f>
        <v>-2.7495188342040145E-4</v>
      </c>
      <c r="C22" s="376">
        <f t="shared" ref="C22:H22" si="4">C21/C17</f>
        <v>6.814310051107325E-4</v>
      </c>
      <c r="D22" s="376">
        <f t="shared" si="4"/>
        <v>1</v>
      </c>
      <c r="E22" s="376">
        <f t="shared" si="4"/>
        <v>-9.1787439613526575E-2</v>
      </c>
      <c r="F22" s="376">
        <f t="shared" si="4"/>
        <v>3.2828282828282832E-2</v>
      </c>
      <c r="G22" s="376">
        <f t="shared" si="4"/>
        <v>-1.8691588785046728E-2</v>
      </c>
      <c r="H22" s="376">
        <f t="shared" si="4"/>
        <v>2.5284450063211127E-3</v>
      </c>
      <c r="I22" s="376"/>
      <c r="J22" s="376">
        <f>J21/J17</f>
        <v>3.4260113321913296E-3</v>
      </c>
      <c r="K22" s="412"/>
      <c r="U22" s="580"/>
    </row>
    <row r="23" spans="1:21" ht="14.1" customHeight="1" x14ac:dyDescent="0.25">
      <c r="A23" s="13"/>
      <c r="B23" s="14"/>
      <c r="C23" s="14"/>
      <c r="D23" s="14"/>
      <c r="E23" s="14"/>
      <c r="F23" s="14"/>
      <c r="G23" s="14"/>
      <c r="H23" s="15"/>
      <c r="I23" s="14"/>
      <c r="J23" s="14"/>
      <c r="K23" s="16"/>
      <c r="U23" s="580"/>
    </row>
    <row r="24" spans="1:21" ht="18" customHeight="1" x14ac:dyDescent="0.25">
      <c r="A24" s="1090" t="str">
        <f>"Five Year Change " &amp; A13 &amp; " to " &amp; A18</f>
        <v>Five Year Change 2014-15 to 2019-20</v>
      </c>
      <c r="B24" s="1090"/>
      <c r="C24" s="1090"/>
      <c r="D24" s="957"/>
      <c r="E24" s="375"/>
      <c r="F24" s="375"/>
      <c r="G24" s="375"/>
      <c r="H24" s="375"/>
      <c r="I24" s="374"/>
      <c r="J24" s="375"/>
      <c r="K24" s="412"/>
      <c r="U24" s="580"/>
    </row>
    <row r="25" spans="1:21" ht="18" customHeight="1" x14ac:dyDescent="0.25">
      <c r="A25" s="8" t="s">
        <v>6</v>
      </c>
      <c r="B25" s="9">
        <f>B18-B13</f>
        <v>-220</v>
      </c>
      <c r="C25" s="9">
        <f t="shared" ref="C25:J25" si="5">C18-C13</f>
        <v>-13</v>
      </c>
      <c r="D25" s="9">
        <f t="shared" si="5"/>
        <v>36</v>
      </c>
      <c r="E25" s="9">
        <f t="shared" si="5"/>
        <v>-42</v>
      </c>
      <c r="F25" s="9">
        <f t="shared" si="5"/>
        <v>-49</v>
      </c>
      <c r="G25" s="9">
        <f t="shared" si="5"/>
        <v>-67</v>
      </c>
      <c r="H25" s="9">
        <f t="shared" si="5"/>
        <v>-355</v>
      </c>
      <c r="I25" s="10"/>
      <c r="J25" s="9">
        <f t="shared" si="5"/>
        <v>-288</v>
      </c>
      <c r="K25" s="412"/>
      <c r="U25" s="580"/>
    </row>
    <row r="26" spans="1:21" ht="18" customHeight="1" thickBot="1" x14ac:dyDescent="0.3">
      <c r="A26" s="11" t="s">
        <v>7</v>
      </c>
      <c r="B26" s="376">
        <f>B25/B13</f>
        <v>-5.7053941908713691E-2</v>
      </c>
      <c r="C26" s="376">
        <f t="shared" ref="C26:J26" si="6">C25/C13</f>
        <v>-4.4067796610169491E-3</v>
      </c>
      <c r="D26" s="376"/>
      <c r="E26" s="376">
        <f t="shared" si="6"/>
        <v>-0.18260869565217391</v>
      </c>
      <c r="F26" s="376">
        <f t="shared" si="6"/>
        <v>-5.6516724336793542E-2</v>
      </c>
      <c r="G26" s="376">
        <f t="shared" si="6"/>
        <v>-0.17539267015706805</v>
      </c>
      <c r="H26" s="376">
        <f t="shared" si="6"/>
        <v>-4.284852142426071E-2</v>
      </c>
      <c r="I26" s="376"/>
      <c r="J26" s="376">
        <f t="shared" si="6"/>
        <v>-3.6441857522459827E-2</v>
      </c>
      <c r="K26" s="16"/>
      <c r="U26" s="580"/>
    </row>
    <row r="27" spans="1:21" ht="15" customHeight="1" x14ac:dyDescent="0.25">
      <c r="A27" s="639"/>
      <c r="B27" s="640"/>
      <c r="C27" s="640"/>
      <c r="D27" s="640"/>
      <c r="E27" s="640"/>
      <c r="F27" s="640"/>
      <c r="G27" s="640"/>
      <c r="H27" s="640"/>
      <c r="I27" s="640"/>
      <c r="J27" s="640"/>
      <c r="K27" s="16"/>
      <c r="U27" s="580"/>
    </row>
    <row r="28" spans="1:21" ht="15" customHeight="1" x14ac:dyDescent="0.25">
      <c r="A28" s="437" t="s">
        <v>8</v>
      </c>
      <c r="B28" s="640"/>
      <c r="C28" s="640"/>
      <c r="D28" s="640"/>
      <c r="E28" s="640"/>
      <c r="F28" s="640"/>
      <c r="G28" s="640"/>
      <c r="H28" s="640"/>
      <c r="I28" s="640"/>
      <c r="J28" s="640"/>
      <c r="K28" s="16"/>
      <c r="U28" s="580"/>
    </row>
    <row r="29" spans="1:21" ht="28.5" customHeight="1" x14ac:dyDescent="0.25">
      <c r="A29" s="1089" t="s">
        <v>955</v>
      </c>
      <c r="B29" s="1089"/>
      <c r="C29" s="1089"/>
      <c r="D29" s="1089"/>
      <c r="E29" s="1089"/>
      <c r="F29" s="1089"/>
      <c r="G29" s="1089"/>
      <c r="H29" s="1089"/>
      <c r="I29" s="1089"/>
      <c r="J29" s="1089"/>
      <c r="K29" s="16"/>
      <c r="U29" s="580"/>
    </row>
    <row r="30" spans="1:21" ht="15" customHeight="1" x14ac:dyDescent="0.25">
      <c r="A30" s="16"/>
      <c r="B30" s="16"/>
      <c r="C30" s="16"/>
      <c r="D30" s="16"/>
      <c r="E30" s="16"/>
      <c r="F30" s="16"/>
      <c r="G30" s="16"/>
      <c r="H30" s="16"/>
      <c r="I30" s="16"/>
      <c r="J30" s="16"/>
      <c r="K30" s="16"/>
      <c r="U30" s="580"/>
    </row>
    <row r="31" spans="1:21" ht="24" customHeight="1" x14ac:dyDescent="0.25">
      <c r="A31" s="657" t="s">
        <v>539</v>
      </c>
      <c r="B31" s="657"/>
      <c r="C31" s="657"/>
      <c r="D31" s="657"/>
      <c r="E31" s="657"/>
      <c r="F31" s="657"/>
      <c r="G31" s="657"/>
      <c r="H31" s="657"/>
      <c r="I31" s="657"/>
      <c r="J31" s="657"/>
      <c r="K31" s="16"/>
      <c r="U31" s="580"/>
    </row>
    <row r="32" spans="1:21" ht="15" customHeight="1" x14ac:dyDescent="0.25">
      <c r="A32" t="s">
        <v>363</v>
      </c>
      <c r="B32" t="s">
        <v>722</v>
      </c>
      <c r="E32" s="623"/>
      <c r="F32" s="623"/>
      <c r="G32" s="623"/>
      <c r="H32" s="623"/>
      <c r="I32" s="623"/>
      <c r="J32" s="623"/>
      <c r="K32" s="16"/>
      <c r="U32" s="580"/>
    </row>
    <row r="33" spans="1:16381" ht="15" customHeight="1" x14ac:dyDescent="0.25">
      <c r="A33" t="s">
        <v>364</v>
      </c>
      <c r="B33" t="s">
        <v>366</v>
      </c>
      <c r="E33" s="623"/>
      <c r="F33" s="623"/>
      <c r="G33" s="623"/>
      <c r="H33" s="623"/>
      <c r="I33" s="623"/>
      <c r="J33" s="623"/>
      <c r="K33" s="16"/>
      <c r="U33" s="580"/>
    </row>
    <row r="34" spans="1:16381" ht="15" customHeight="1" x14ac:dyDescent="0.25">
      <c r="A34" t="s">
        <v>365</v>
      </c>
      <c r="B34" t="s">
        <v>367</v>
      </c>
      <c r="E34" s="623"/>
      <c r="F34" s="623"/>
      <c r="G34" s="623"/>
      <c r="H34" s="623"/>
      <c r="I34" s="623"/>
      <c r="J34" s="623"/>
      <c r="K34" s="16"/>
      <c r="U34" s="580"/>
    </row>
    <row r="35" spans="1:16381" ht="15" customHeight="1" x14ac:dyDescent="0.25">
      <c r="A35" s="623"/>
      <c r="B35" s="623"/>
      <c r="C35" s="623"/>
      <c r="D35" s="953"/>
      <c r="E35" s="623"/>
      <c r="F35" s="623"/>
      <c r="G35" s="623"/>
      <c r="H35" s="623"/>
      <c r="I35" s="623"/>
      <c r="J35" s="623"/>
      <c r="K35" s="16"/>
      <c r="U35" s="580"/>
    </row>
    <row r="36" spans="1:16381" ht="45" customHeight="1" x14ac:dyDescent="0.25">
      <c r="A36" s="2" t="s">
        <v>1</v>
      </c>
      <c r="B36" s="3" t="s">
        <v>27</v>
      </c>
      <c r="C36" s="3" t="s">
        <v>28</v>
      </c>
      <c r="D36" s="3" t="s">
        <v>956</v>
      </c>
      <c r="E36" s="3" t="s">
        <v>2</v>
      </c>
      <c r="F36" s="3" t="s">
        <v>3</v>
      </c>
      <c r="G36" s="3" t="s">
        <v>5</v>
      </c>
      <c r="I36" s="4"/>
      <c r="J36" s="4"/>
      <c r="K36" s="16"/>
      <c r="U36" s="580"/>
    </row>
    <row r="37" spans="1:16381" ht="21" customHeight="1" x14ac:dyDescent="0.25">
      <c r="A37" s="5" t="str">
        <f>'T1'!A16</f>
        <v>2011-12</v>
      </c>
      <c r="B37" s="17">
        <f>'T1'!B16</f>
        <v>4159</v>
      </c>
      <c r="C37" s="17">
        <f>'T1'!C16</f>
        <v>2813</v>
      </c>
      <c r="D37" s="368">
        <f>'T1'!D16</f>
        <v>0</v>
      </c>
      <c r="E37" s="17">
        <f>'T1'!E16</f>
        <v>225</v>
      </c>
      <c r="F37" s="17">
        <f>'T1'!F16</f>
        <v>961</v>
      </c>
      <c r="G37" s="882">
        <f>SUM(B37:F37)</f>
        <v>8158</v>
      </c>
      <c r="I37" s="369"/>
      <c r="J37" s="369"/>
      <c r="K37" s="16"/>
      <c r="U37" s="580"/>
    </row>
    <row r="38" spans="1:16381" ht="15" customHeight="1" x14ac:dyDescent="0.25">
      <c r="A38" s="5" t="str">
        <f>'T1'!A17</f>
        <v>2012-13</v>
      </c>
      <c r="B38" s="17">
        <f>'T1'!B17</f>
        <v>4151</v>
      </c>
      <c r="C38" s="17">
        <f>'T1'!C17</f>
        <v>2787</v>
      </c>
      <c r="D38" s="368">
        <f>'T1'!D17</f>
        <v>0</v>
      </c>
      <c r="E38" s="17">
        <f>'T1'!E17</f>
        <v>224</v>
      </c>
      <c r="F38" s="17">
        <f>'T1'!F17</f>
        <v>927</v>
      </c>
      <c r="G38" s="882">
        <f t="shared" ref="G38:G43" si="7">SUM(B38:F38)</f>
        <v>8089</v>
      </c>
      <c r="I38" s="369"/>
      <c r="J38" s="369"/>
      <c r="K38" s="16"/>
      <c r="U38" s="580"/>
    </row>
    <row r="39" spans="1:16381" ht="15" customHeight="1" x14ac:dyDescent="0.25">
      <c r="A39" s="5" t="str">
        <f>'T1'!A18</f>
        <v>2013-14</v>
      </c>
      <c r="B39" s="17">
        <f>'T1'!B18</f>
        <v>4001</v>
      </c>
      <c r="C39" s="17">
        <f>'T1'!C18</f>
        <v>2665</v>
      </c>
      <c r="D39" s="368">
        <f>'T1'!D18</f>
        <v>0</v>
      </c>
      <c r="E39" s="17">
        <f>'T1'!E18</f>
        <v>213</v>
      </c>
      <c r="F39" s="17">
        <f>'T1'!F18</f>
        <v>811</v>
      </c>
      <c r="G39" s="882">
        <f t="shared" si="7"/>
        <v>7690</v>
      </c>
      <c r="I39" s="369"/>
      <c r="J39" s="369"/>
      <c r="K39" s="16"/>
      <c r="U39" s="580"/>
    </row>
    <row r="40" spans="1:16381" ht="15" customHeight="1" x14ac:dyDescent="0.25">
      <c r="A40" s="5" t="str">
        <f>'T1'!A19</f>
        <v>2014-15</v>
      </c>
      <c r="B40" s="17">
        <f>'T1'!B19</f>
        <v>3856</v>
      </c>
      <c r="C40" s="17">
        <f>'T1'!C19</f>
        <v>2669</v>
      </c>
      <c r="D40" s="368">
        <f>'T1'!D19</f>
        <v>0</v>
      </c>
      <c r="E40" s="17">
        <f>'T1'!E19</f>
        <v>221</v>
      </c>
      <c r="F40" s="17">
        <f>'T1'!F19</f>
        <v>744</v>
      </c>
      <c r="G40" s="882">
        <f t="shared" si="7"/>
        <v>7490</v>
      </c>
      <c r="I40" s="369"/>
      <c r="J40" s="369"/>
      <c r="K40" s="16"/>
      <c r="U40" s="580"/>
    </row>
    <row r="41" spans="1:16381" ht="15" customHeight="1" x14ac:dyDescent="0.25">
      <c r="A41" s="5" t="str">
        <f>'T1'!A20</f>
        <v>2015-16</v>
      </c>
      <c r="B41" s="17">
        <f>'T1'!B20</f>
        <v>3690</v>
      </c>
      <c r="C41" s="17">
        <f>'T1'!C20</f>
        <v>2527</v>
      </c>
      <c r="D41" s="368">
        <f>'T1'!D20</f>
        <v>0</v>
      </c>
      <c r="E41" s="17">
        <f>'T1'!E20</f>
        <v>195</v>
      </c>
      <c r="F41" s="17">
        <f>'T1'!F20</f>
        <v>719</v>
      </c>
      <c r="G41" s="882">
        <f t="shared" si="7"/>
        <v>7131</v>
      </c>
      <c r="I41" s="369"/>
      <c r="J41" s="369"/>
      <c r="K41" s="1091"/>
      <c r="L41" s="1091"/>
      <c r="M41" s="1091"/>
      <c r="N41" s="1091"/>
      <c r="O41" s="1091"/>
      <c r="P41" s="1091"/>
      <c r="Q41" s="1091"/>
      <c r="R41" s="1091"/>
      <c r="S41" s="1091"/>
      <c r="T41" s="1091"/>
      <c r="U41" s="1091"/>
      <c r="V41" s="1091"/>
      <c r="W41" s="1091"/>
      <c r="X41" s="1091"/>
      <c r="Y41" s="1091"/>
      <c r="Z41" s="1091"/>
      <c r="AA41" s="1091"/>
      <c r="AB41" s="1091"/>
      <c r="AC41" s="1091"/>
      <c r="AD41" s="1091"/>
      <c r="AE41" s="1091"/>
      <c r="AF41" s="1091"/>
      <c r="AG41" s="1091"/>
      <c r="AH41" s="1091"/>
      <c r="AI41" s="1091"/>
      <c r="AJ41" s="1091"/>
      <c r="AK41" s="1091"/>
      <c r="AL41" s="1091"/>
      <c r="AM41" s="1091"/>
      <c r="AN41" s="1091"/>
      <c r="AO41" s="1091"/>
      <c r="AP41" s="1091"/>
      <c r="AQ41" s="1091"/>
      <c r="AR41" s="1091"/>
      <c r="AS41" s="1091"/>
      <c r="AT41" s="1091"/>
      <c r="AU41" s="1091"/>
      <c r="AV41" s="1091"/>
      <c r="AW41" s="1091"/>
      <c r="AX41" s="1091"/>
      <c r="AY41" s="1091"/>
      <c r="AZ41" s="1091"/>
      <c r="BA41" s="1091"/>
      <c r="BB41" s="1091"/>
      <c r="BC41" s="1091"/>
      <c r="BD41" s="1091"/>
      <c r="BE41" s="1091"/>
      <c r="BF41" s="1091"/>
      <c r="BG41" s="1091"/>
      <c r="BH41" s="1091"/>
      <c r="BI41" s="1091"/>
      <c r="BJ41" s="1091"/>
      <c r="BK41" s="1091"/>
      <c r="BL41" s="1091"/>
      <c r="BM41" s="1091"/>
      <c r="BN41" s="1091"/>
      <c r="BO41" s="1091"/>
      <c r="BP41" s="1091"/>
      <c r="BQ41" s="1091"/>
      <c r="BR41" s="1091"/>
      <c r="BS41" s="1091"/>
      <c r="BT41" s="1091"/>
      <c r="BU41" s="1091"/>
      <c r="BV41" s="1091"/>
      <c r="BW41" s="1091"/>
      <c r="BX41" s="1091"/>
      <c r="BY41" s="1091"/>
      <c r="BZ41" s="1091"/>
      <c r="CA41" s="1091"/>
      <c r="CB41" s="1091"/>
      <c r="CC41" s="1091"/>
      <c r="CD41" s="1091"/>
      <c r="CE41" s="1091"/>
      <c r="CF41" s="1091"/>
      <c r="CG41" s="1091"/>
      <c r="CH41" s="1091"/>
      <c r="CI41" s="1091"/>
      <c r="CJ41" s="1091"/>
      <c r="CK41" s="1091"/>
      <c r="CL41" s="1091"/>
      <c r="CM41" s="1091"/>
      <c r="CN41" s="1091"/>
      <c r="CO41" s="1091"/>
      <c r="CP41" s="1091"/>
      <c r="CQ41" s="1091"/>
      <c r="CR41" s="1091"/>
      <c r="CS41" s="1091"/>
      <c r="CT41" s="1091"/>
      <c r="CU41" s="1091"/>
      <c r="CV41" s="1091"/>
      <c r="CW41" s="1091"/>
      <c r="CX41" s="1091"/>
      <c r="CY41" s="1091"/>
      <c r="CZ41" s="1091"/>
      <c r="DA41" s="1091"/>
      <c r="DB41" s="1091"/>
      <c r="DC41" s="1091"/>
      <c r="DD41" s="1091"/>
      <c r="DE41" s="1091"/>
      <c r="DF41" s="1091"/>
      <c r="DG41" s="1091"/>
      <c r="DH41" s="1091"/>
      <c r="DI41" s="1091"/>
      <c r="DJ41" s="1091"/>
      <c r="DK41" s="1091"/>
      <c r="DL41" s="1091"/>
      <c r="DM41" s="1091"/>
      <c r="DN41" s="1091"/>
      <c r="DO41" s="1091"/>
      <c r="DP41" s="1091"/>
      <c r="DQ41" s="1091"/>
      <c r="DR41" s="1091"/>
      <c r="DS41" s="1091"/>
      <c r="DT41" s="1091"/>
      <c r="DU41" s="1091"/>
      <c r="DV41" s="1091"/>
      <c r="DW41" s="1091"/>
      <c r="DX41" s="1091"/>
      <c r="DY41" s="1091"/>
      <c r="DZ41" s="1091"/>
      <c r="EA41" s="1091"/>
      <c r="EB41" s="1091"/>
      <c r="EC41" s="1091"/>
      <c r="ED41" s="1091"/>
      <c r="EE41" s="1091"/>
      <c r="EF41" s="1091"/>
      <c r="EG41" s="1091"/>
      <c r="EH41" s="1091"/>
      <c r="EI41" s="1091"/>
      <c r="EJ41" s="1091"/>
      <c r="EK41" s="1091"/>
      <c r="EL41" s="1091"/>
      <c r="EM41" s="1091"/>
      <c r="EN41" s="1091"/>
      <c r="EO41" s="1091"/>
      <c r="EP41" s="1091"/>
      <c r="EQ41" s="1091"/>
      <c r="ER41" s="1091"/>
      <c r="ES41" s="1091"/>
      <c r="ET41" s="1091"/>
      <c r="EU41" s="1091"/>
      <c r="EV41" s="1091"/>
      <c r="EW41" s="1091"/>
      <c r="EX41" s="1091"/>
      <c r="EY41" s="1091"/>
      <c r="EZ41" s="1091"/>
      <c r="FA41" s="1091"/>
      <c r="FB41" s="1091"/>
      <c r="FC41" s="1091"/>
      <c r="FD41" s="1091"/>
      <c r="FE41" s="1091"/>
      <c r="FF41" s="1091"/>
      <c r="FG41" s="1091"/>
      <c r="FH41" s="1091"/>
      <c r="FI41" s="1091"/>
      <c r="FJ41" s="1091"/>
      <c r="FK41" s="1091"/>
      <c r="FL41" s="1091"/>
      <c r="FM41" s="1091"/>
      <c r="FN41" s="1091"/>
      <c r="FO41" s="1091"/>
      <c r="FP41" s="1091"/>
      <c r="FQ41" s="1091"/>
      <c r="FR41" s="1091"/>
      <c r="FS41" s="1091"/>
      <c r="FT41" s="1091"/>
      <c r="FU41" s="1091"/>
      <c r="FV41" s="1091"/>
      <c r="FW41" s="1091"/>
      <c r="FX41" s="1091"/>
      <c r="FY41" s="1091"/>
      <c r="FZ41" s="1091"/>
      <c r="GA41" s="1091"/>
      <c r="GB41" s="1091"/>
      <c r="GC41" s="1091"/>
      <c r="GD41" s="1091"/>
      <c r="GE41" s="1091"/>
      <c r="GF41" s="1091"/>
      <c r="GG41" s="1091"/>
      <c r="GH41" s="1091"/>
      <c r="GI41" s="1091"/>
      <c r="GJ41" s="1091"/>
      <c r="GK41" s="1091"/>
      <c r="GL41" s="1091"/>
      <c r="GM41" s="1091"/>
      <c r="GN41" s="1091"/>
      <c r="GO41" s="1091"/>
      <c r="GP41" s="1091"/>
      <c r="GQ41" s="1091"/>
      <c r="GR41" s="1091"/>
      <c r="GS41" s="1091"/>
      <c r="GT41" s="1091"/>
      <c r="GU41" s="1091"/>
      <c r="GV41" s="1091"/>
      <c r="GW41" s="1091"/>
      <c r="GX41" s="1091"/>
      <c r="GY41" s="1091"/>
      <c r="GZ41" s="1091"/>
      <c r="HA41" s="1091"/>
      <c r="HB41" s="1091"/>
      <c r="HC41" s="1091"/>
      <c r="HD41" s="1091"/>
      <c r="HE41" s="1091"/>
      <c r="HF41" s="1091"/>
      <c r="HG41" s="1091"/>
      <c r="HH41" s="1091"/>
      <c r="HI41" s="1091"/>
      <c r="HJ41" s="1091"/>
      <c r="HK41" s="1091"/>
      <c r="HL41" s="1091"/>
      <c r="HM41" s="1091"/>
      <c r="HN41" s="1091"/>
      <c r="HO41" s="1091"/>
      <c r="HP41" s="1091"/>
      <c r="HQ41" s="1091"/>
      <c r="HR41" s="1091"/>
      <c r="HS41" s="1091"/>
      <c r="HT41" s="1091"/>
      <c r="HU41" s="1091"/>
      <c r="HV41" s="1091"/>
      <c r="HW41" s="1091"/>
      <c r="HX41" s="1091"/>
      <c r="HY41" s="1091"/>
      <c r="HZ41" s="1091"/>
      <c r="IA41" s="1091"/>
      <c r="IB41" s="1091"/>
      <c r="IC41" s="1091"/>
      <c r="ID41" s="1091"/>
      <c r="IE41" s="1091"/>
      <c r="IF41" s="1091"/>
      <c r="IG41" s="1091"/>
      <c r="IH41" s="1091"/>
      <c r="II41" s="1091"/>
      <c r="IJ41" s="1091"/>
      <c r="IK41" s="1091"/>
      <c r="IL41" s="1091"/>
      <c r="IM41" s="1091"/>
      <c r="IN41" s="1091"/>
      <c r="IO41" s="1091"/>
      <c r="IP41" s="1091"/>
      <c r="IQ41" s="1091"/>
      <c r="IR41" s="1091"/>
      <c r="IS41" s="1091"/>
      <c r="IT41" s="1091"/>
      <c r="IU41" s="1091"/>
      <c r="IV41" s="1091"/>
      <c r="IW41" s="1091"/>
      <c r="IX41" s="1091"/>
      <c r="IY41" s="1091"/>
      <c r="IZ41" s="1091"/>
      <c r="JA41" s="1091"/>
      <c r="JB41" s="1091"/>
      <c r="JC41" s="1091"/>
      <c r="JD41" s="1091"/>
      <c r="JE41" s="1091"/>
      <c r="JF41" s="1091"/>
      <c r="JG41" s="1091"/>
      <c r="JH41" s="1091"/>
      <c r="JI41" s="1091"/>
      <c r="JJ41" s="1091"/>
      <c r="JK41" s="1091"/>
      <c r="JL41" s="1091"/>
      <c r="JM41" s="1091"/>
      <c r="JN41" s="1091"/>
      <c r="JO41" s="1091"/>
      <c r="JP41" s="1091"/>
      <c r="JQ41" s="1091"/>
      <c r="JR41" s="1091"/>
      <c r="JS41" s="1091"/>
      <c r="JT41" s="1091"/>
      <c r="JU41" s="1091"/>
      <c r="JV41" s="1091"/>
      <c r="JW41" s="1091"/>
      <c r="JX41" s="1091"/>
      <c r="JY41" s="1091"/>
      <c r="JZ41" s="1091"/>
      <c r="KA41" s="1091"/>
      <c r="KB41" s="1091"/>
      <c r="KC41" s="1091"/>
      <c r="KD41" s="1091"/>
      <c r="KE41" s="1091"/>
      <c r="KF41" s="1091"/>
      <c r="KG41" s="1091"/>
      <c r="KH41" s="1091"/>
      <c r="KI41" s="1091"/>
      <c r="KJ41" s="1091"/>
      <c r="KK41" s="1091"/>
      <c r="KL41" s="1091"/>
      <c r="KM41" s="1091"/>
      <c r="KN41" s="1091"/>
      <c r="KO41" s="1091"/>
      <c r="KP41" s="1091"/>
      <c r="KQ41" s="1091"/>
      <c r="KR41" s="1091"/>
      <c r="KS41" s="1091"/>
      <c r="KT41" s="1091"/>
      <c r="KU41" s="1091"/>
      <c r="KV41" s="1091"/>
      <c r="KW41" s="1091"/>
      <c r="KX41" s="1091"/>
      <c r="KY41" s="1091"/>
      <c r="KZ41" s="1091"/>
      <c r="LA41" s="1091"/>
      <c r="LB41" s="1091"/>
      <c r="LC41" s="1091"/>
      <c r="LD41" s="1091"/>
      <c r="LE41" s="1091"/>
      <c r="LF41" s="1091"/>
      <c r="LG41" s="1091"/>
      <c r="LH41" s="1091"/>
      <c r="LI41" s="1091"/>
      <c r="LJ41" s="1091"/>
      <c r="LK41" s="1091"/>
      <c r="LL41" s="1091"/>
      <c r="LM41" s="1091"/>
      <c r="LN41" s="1091"/>
      <c r="LO41" s="1091"/>
      <c r="LP41" s="1091"/>
      <c r="LQ41" s="1091"/>
      <c r="LR41" s="1091"/>
      <c r="LS41" s="1091"/>
      <c r="LT41" s="1091"/>
      <c r="LU41" s="1091"/>
      <c r="LV41" s="1091"/>
      <c r="LW41" s="1091"/>
      <c r="LX41" s="1091"/>
      <c r="LY41" s="1091"/>
      <c r="LZ41" s="1091"/>
      <c r="MA41" s="1091"/>
      <c r="MB41" s="1091"/>
      <c r="MC41" s="1091"/>
      <c r="MD41" s="1091"/>
      <c r="ME41" s="1091"/>
      <c r="MF41" s="1091"/>
      <c r="MG41" s="1091"/>
      <c r="MH41" s="1091"/>
      <c r="MI41" s="1091"/>
      <c r="MJ41" s="1091"/>
      <c r="MK41" s="1091"/>
      <c r="ML41" s="1091"/>
      <c r="MM41" s="1091"/>
      <c r="MN41" s="1091"/>
      <c r="MO41" s="1091"/>
      <c r="MP41" s="1091"/>
      <c r="MQ41" s="1091"/>
      <c r="MR41" s="1091"/>
      <c r="MS41" s="1091"/>
      <c r="MT41" s="1091"/>
      <c r="MU41" s="1091"/>
      <c r="MV41" s="1091"/>
      <c r="MW41" s="1091"/>
      <c r="MX41" s="1091"/>
      <c r="MY41" s="1091"/>
      <c r="MZ41" s="1091"/>
      <c r="NA41" s="1091"/>
      <c r="NB41" s="1091"/>
      <c r="NC41" s="1091"/>
      <c r="ND41" s="1091"/>
      <c r="NE41" s="1091"/>
      <c r="NF41" s="1091"/>
      <c r="NG41" s="1091"/>
      <c r="NH41" s="1091"/>
      <c r="NI41" s="1091"/>
      <c r="NJ41" s="1091"/>
      <c r="NK41" s="1091"/>
      <c r="NL41" s="1091"/>
      <c r="NM41" s="1091"/>
      <c r="NN41" s="1091"/>
      <c r="NO41" s="1091"/>
      <c r="NP41" s="1091"/>
      <c r="NQ41" s="1091"/>
      <c r="NR41" s="1091"/>
      <c r="NS41" s="1091"/>
      <c r="NT41" s="1091"/>
      <c r="NU41" s="1091"/>
      <c r="NV41" s="1091"/>
      <c r="NW41" s="1091"/>
      <c r="NX41" s="1091"/>
      <c r="NY41" s="1091"/>
      <c r="NZ41" s="1091"/>
      <c r="OA41" s="1091"/>
      <c r="OB41" s="1091"/>
      <c r="OC41" s="1091"/>
      <c r="OD41" s="1091"/>
      <c r="OE41" s="1091"/>
      <c r="OF41" s="1091"/>
      <c r="OG41" s="1091"/>
      <c r="OH41" s="1091"/>
      <c r="OI41" s="1091"/>
      <c r="OJ41" s="1091"/>
      <c r="OK41" s="1091"/>
      <c r="OL41" s="1091"/>
      <c r="OM41" s="1091"/>
      <c r="ON41" s="1091"/>
      <c r="OO41" s="1091"/>
      <c r="OP41" s="1091"/>
      <c r="OQ41" s="1091"/>
      <c r="OR41" s="1091"/>
      <c r="OS41" s="1091"/>
      <c r="OT41" s="1091"/>
      <c r="OU41" s="1091"/>
      <c r="OV41" s="1091"/>
      <c r="OW41" s="1091"/>
      <c r="OX41" s="1091"/>
      <c r="OY41" s="1091"/>
      <c r="OZ41" s="1091"/>
      <c r="PA41" s="1091"/>
      <c r="PB41" s="1091"/>
      <c r="PC41" s="1091"/>
      <c r="PD41" s="1091"/>
      <c r="PE41" s="1091"/>
      <c r="PF41" s="1091"/>
      <c r="PG41" s="1091"/>
      <c r="PH41" s="1091"/>
      <c r="PI41" s="1091"/>
      <c r="PJ41" s="1091"/>
      <c r="PK41" s="1091"/>
      <c r="PL41" s="1091"/>
      <c r="PM41" s="1091"/>
      <c r="PN41" s="1091"/>
      <c r="PO41" s="1091"/>
      <c r="PP41" s="1091"/>
      <c r="PQ41" s="1091"/>
      <c r="PR41" s="1091"/>
      <c r="PS41" s="1091"/>
      <c r="PT41" s="1091"/>
      <c r="PU41" s="1091"/>
      <c r="PV41" s="1091"/>
      <c r="PW41" s="1091"/>
      <c r="PX41" s="1091"/>
      <c r="PY41" s="1091"/>
      <c r="PZ41" s="1091"/>
      <c r="QA41" s="1091"/>
      <c r="QB41" s="1091"/>
      <c r="QC41" s="1091"/>
      <c r="QD41" s="1091"/>
      <c r="QE41" s="1091"/>
      <c r="QF41" s="1091"/>
      <c r="QG41" s="1091"/>
      <c r="QH41" s="1091"/>
      <c r="QI41" s="1091"/>
      <c r="QJ41" s="1091"/>
      <c r="QK41" s="1091"/>
      <c r="QL41" s="1091"/>
      <c r="QM41" s="1091"/>
      <c r="QN41" s="1091"/>
      <c r="QO41" s="1091"/>
      <c r="QP41" s="1091"/>
      <c r="QQ41" s="1091"/>
      <c r="QR41" s="1091"/>
      <c r="QS41" s="1091"/>
      <c r="QT41" s="1091"/>
      <c r="QU41" s="1091"/>
      <c r="QV41" s="1091"/>
      <c r="QW41" s="1091"/>
      <c r="QX41" s="1091"/>
      <c r="QY41" s="1091"/>
      <c r="QZ41" s="1091"/>
      <c r="RA41" s="1091"/>
      <c r="RB41" s="1091"/>
      <c r="RC41" s="1091"/>
      <c r="RD41" s="1091"/>
      <c r="RE41" s="1091"/>
      <c r="RF41" s="1091"/>
      <c r="RG41" s="1091"/>
      <c r="RH41" s="1091"/>
      <c r="RI41" s="1091"/>
      <c r="RJ41" s="1091"/>
      <c r="RK41" s="1091"/>
      <c r="RL41" s="1091"/>
      <c r="RM41" s="1091"/>
      <c r="RN41" s="1091"/>
      <c r="RO41" s="1091"/>
      <c r="RP41" s="1091"/>
      <c r="RQ41" s="1091"/>
      <c r="RR41" s="1091"/>
      <c r="RS41" s="1091"/>
      <c r="RT41" s="1091"/>
      <c r="RU41" s="1091"/>
      <c r="RV41" s="1091"/>
      <c r="RW41" s="1091"/>
      <c r="RX41" s="1091"/>
      <c r="RY41" s="1091"/>
      <c r="RZ41" s="1091"/>
      <c r="SA41" s="1091"/>
      <c r="SB41" s="1091"/>
      <c r="SC41" s="1091"/>
      <c r="SD41" s="1091"/>
      <c r="SE41" s="1091"/>
      <c r="SF41" s="1091"/>
      <c r="SG41" s="1091"/>
      <c r="SH41" s="1091"/>
      <c r="SI41" s="1091"/>
      <c r="SJ41" s="1091"/>
      <c r="SK41" s="1091"/>
      <c r="SL41" s="1091"/>
      <c r="SM41" s="1091"/>
      <c r="SN41" s="1091"/>
      <c r="SO41" s="1091"/>
      <c r="SP41" s="1091"/>
      <c r="SQ41" s="1091"/>
      <c r="SR41" s="1091"/>
      <c r="SS41" s="1091"/>
      <c r="ST41" s="1091"/>
      <c r="SU41" s="1091"/>
      <c r="SV41" s="1091"/>
      <c r="SW41" s="1091"/>
      <c r="SX41" s="1091"/>
      <c r="SY41" s="1091"/>
      <c r="SZ41" s="1091"/>
      <c r="TA41" s="1091"/>
      <c r="TB41" s="1091"/>
      <c r="TC41" s="1091"/>
      <c r="TD41" s="1091"/>
      <c r="TE41" s="1091"/>
      <c r="TF41" s="1091"/>
      <c r="TG41" s="1091"/>
      <c r="TH41" s="1091"/>
      <c r="TI41" s="1091"/>
      <c r="TJ41" s="1091"/>
      <c r="TK41" s="1091"/>
      <c r="TL41" s="1091"/>
      <c r="TM41" s="1091"/>
      <c r="TN41" s="1091"/>
      <c r="TO41" s="1091"/>
      <c r="TP41" s="1091"/>
      <c r="TQ41" s="1091"/>
      <c r="TR41" s="1091"/>
      <c r="TS41" s="1091"/>
      <c r="TT41" s="1091"/>
      <c r="TU41" s="1091"/>
      <c r="TV41" s="1091"/>
      <c r="TW41" s="1091"/>
      <c r="TX41" s="1091"/>
      <c r="TY41" s="1091"/>
      <c r="TZ41" s="1091"/>
      <c r="UA41" s="1091"/>
      <c r="UB41" s="1091"/>
      <c r="UC41" s="1091"/>
      <c r="UD41" s="1091"/>
      <c r="UE41" s="1091"/>
      <c r="UF41" s="1091"/>
      <c r="UG41" s="1091"/>
      <c r="UH41" s="1091"/>
      <c r="UI41" s="1091"/>
      <c r="UJ41" s="1091"/>
      <c r="UK41" s="1091"/>
      <c r="UL41" s="1091"/>
      <c r="UM41" s="1091"/>
      <c r="UN41" s="1091"/>
      <c r="UO41" s="1091"/>
      <c r="UP41" s="1091"/>
      <c r="UQ41" s="1091"/>
      <c r="UR41" s="1091"/>
      <c r="US41" s="1091"/>
      <c r="UT41" s="1091"/>
      <c r="UU41" s="1091"/>
      <c r="UV41" s="1091"/>
      <c r="UW41" s="1091"/>
      <c r="UX41" s="1091"/>
      <c r="UY41" s="1091"/>
      <c r="UZ41" s="1091"/>
      <c r="VA41" s="1091"/>
      <c r="VB41" s="1091"/>
      <c r="VC41" s="1091"/>
      <c r="VD41" s="1091"/>
      <c r="VE41" s="1091"/>
      <c r="VF41" s="1091"/>
      <c r="VG41" s="1091"/>
      <c r="VH41" s="1091"/>
      <c r="VI41" s="1091"/>
      <c r="VJ41" s="1091"/>
      <c r="VK41" s="1091"/>
      <c r="VL41" s="1091"/>
      <c r="VM41" s="1091"/>
      <c r="VN41" s="1091"/>
      <c r="VO41" s="1091"/>
      <c r="VP41" s="1091"/>
      <c r="VQ41" s="1091"/>
      <c r="VR41" s="1091"/>
      <c r="VS41" s="1091"/>
      <c r="VT41" s="1091"/>
      <c r="VU41" s="1091"/>
      <c r="VV41" s="1091"/>
      <c r="VW41" s="1091"/>
      <c r="VX41" s="1091"/>
      <c r="VY41" s="1091"/>
      <c r="VZ41" s="1091"/>
      <c r="WA41" s="1091"/>
      <c r="WB41" s="1091"/>
      <c r="WC41" s="1091"/>
      <c r="WD41" s="1091"/>
      <c r="WE41" s="1091"/>
      <c r="WF41" s="1091"/>
      <c r="WG41" s="1091"/>
      <c r="WH41" s="1091"/>
      <c r="WI41" s="1091"/>
      <c r="WJ41" s="1091"/>
      <c r="WK41" s="1091"/>
      <c r="WL41" s="1091"/>
      <c r="WM41" s="1091"/>
      <c r="WN41" s="1091"/>
      <c r="WO41" s="1091"/>
      <c r="WP41" s="1091"/>
      <c r="WQ41" s="1091"/>
      <c r="WR41" s="1091"/>
      <c r="WS41" s="1091"/>
      <c r="WT41" s="1091"/>
      <c r="WU41" s="1091"/>
      <c r="WV41" s="1091"/>
      <c r="WW41" s="1091"/>
      <c r="WX41" s="1091"/>
      <c r="WY41" s="1091"/>
      <c r="WZ41" s="1091"/>
      <c r="XA41" s="1091"/>
      <c r="XB41" s="1091"/>
      <c r="XC41" s="1091"/>
      <c r="XD41" s="1091"/>
      <c r="XE41" s="1091"/>
      <c r="XF41" s="1091"/>
      <c r="XG41" s="1091"/>
      <c r="XH41" s="1091"/>
      <c r="XI41" s="1091"/>
      <c r="XJ41" s="1091"/>
      <c r="XK41" s="1091"/>
      <c r="XL41" s="1091"/>
      <c r="XM41" s="1091"/>
      <c r="XN41" s="1091"/>
      <c r="XO41" s="1091"/>
      <c r="XP41" s="1091"/>
      <c r="XQ41" s="1091"/>
      <c r="XR41" s="1091"/>
      <c r="XS41" s="1091"/>
      <c r="XT41" s="1091"/>
      <c r="XU41" s="1091"/>
      <c r="XV41" s="1091"/>
      <c r="XW41" s="1091"/>
      <c r="XX41" s="1091"/>
      <c r="XY41" s="1091"/>
      <c r="XZ41" s="1091"/>
      <c r="YA41" s="1091"/>
      <c r="YB41" s="1091"/>
      <c r="YC41" s="1091"/>
      <c r="YD41" s="1091"/>
      <c r="YE41" s="1091"/>
      <c r="YF41" s="1091"/>
      <c r="YG41" s="1091"/>
      <c r="YH41" s="1091"/>
      <c r="YI41" s="1091"/>
      <c r="YJ41" s="1091"/>
      <c r="YK41" s="1091"/>
      <c r="YL41" s="1091"/>
      <c r="YM41" s="1091"/>
      <c r="YN41" s="1091"/>
      <c r="YO41" s="1091"/>
      <c r="YP41" s="1091"/>
      <c r="YQ41" s="1091"/>
      <c r="YR41" s="1091"/>
      <c r="YS41" s="1091"/>
      <c r="YT41" s="1091"/>
      <c r="YU41" s="1091"/>
      <c r="YV41" s="1091"/>
      <c r="YW41" s="1091"/>
      <c r="YX41" s="1091"/>
      <c r="YY41" s="1091"/>
      <c r="YZ41" s="1091"/>
      <c r="ZA41" s="1091"/>
      <c r="ZB41" s="1091"/>
      <c r="ZC41" s="1091"/>
      <c r="ZD41" s="1091"/>
      <c r="ZE41" s="1091"/>
      <c r="ZF41" s="1091"/>
      <c r="ZG41" s="1091"/>
      <c r="ZH41" s="1091"/>
      <c r="ZI41" s="1091"/>
      <c r="ZJ41" s="1091"/>
      <c r="ZK41" s="1091"/>
      <c r="ZL41" s="1091"/>
      <c r="ZM41" s="1091"/>
      <c r="ZN41" s="1091"/>
      <c r="ZO41" s="1091"/>
      <c r="ZP41" s="1091"/>
      <c r="ZQ41" s="1091"/>
      <c r="ZR41" s="1091"/>
      <c r="ZS41" s="1091"/>
      <c r="ZT41" s="1091"/>
      <c r="ZU41" s="1091"/>
      <c r="ZV41" s="1091"/>
      <c r="ZW41" s="1091"/>
      <c r="ZX41" s="1091"/>
      <c r="ZY41" s="1091"/>
      <c r="ZZ41" s="1091"/>
      <c r="AAA41" s="1091"/>
      <c r="AAB41" s="1091"/>
      <c r="AAC41" s="1091"/>
      <c r="AAD41" s="1091"/>
      <c r="AAE41" s="1091"/>
      <c r="AAF41" s="1091"/>
      <c r="AAG41" s="1091"/>
      <c r="AAH41" s="1091"/>
      <c r="AAI41" s="1091"/>
      <c r="AAJ41" s="1091"/>
      <c r="AAK41" s="1091"/>
      <c r="AAL41" s="1091"/>
      <c r="AAM41" s="1091"/>
      <c r="AAN41" s="1091"/>
      <c r="AAO41" s="1091"/>
      <c r="AAP41" s="1091"/>
      <c r="AAQ41" s="1091"/>
      <c r="AAR41" s="1091"/>
      <c r="AAS41" s="1091"/>
      <c r="AAT41" s="1091"/>
      <c r="AAU41" s="1091"/>
      <c r="AAV41" s="1091"/>
      <c r="AAW41" s="1091"/>
      <c r="AAX41" s="1091"/>
      <c r="AAY41" s="1091"/>
      <c r="AAZ41" s="1091"/>
      <c r="ABA41" s="1091"/>
      <c r="ABB41" s="1091"/>
      <c r="ABC41" s="1091"/>
      <c r="ABD41" s="1091"/>
      <c r="ABE41" s="1091"/>
      <c r="ABF41" s="1091"/>
      <c r="ABG41" s="1091"/>
      <c r="ABH41" s="1091"/>
      <c r="ABI41" s="1091"/>
      <c r="ABJ41" s="1091"/>
      <c r="ABK41" s="1091"/>
      <c r="ABL41" s="1091"/>
      <c r="ABM41" s="1091"/>
      <c r="ABN41" s="1091"/>
      <c r="ABO41" s="1091"/>
      <c r="ABP41" s="1091"/>
      <c r="ABQ41" s="1091"/>
      <c r="ABR41" s="1091"/>
      <c r="ABS41" s="1091"/>
      <c r="ABT41" s="1091"/>
      <c r="ABU41" s="1091"/>
      <c r="ABV41" s="1091"/>
      <c r="ABW41" s="1091"/>
      <c r="ABX41" s="1091"/>
      <c r="ABY41" s="1091"/>
      <c r="ABZ41" s="1091"/>
      <c r="ACA41" s="1091"/>
      <c r="ACB41" s="1091"/>
      <c r="ACC41" s="1091"/>
      <c r="ACD41" s="1091"/>
      <c r="ACE41" s="1091"/>
      <c r="ACF41" s="1091"/>
      <c r="ACG41" s="1091"/>
      <c r="ACH41" s="1091"/>
      <c r="ACI41" s="1091"/>
      <c r="ACJ41" s="1091"/>
      <c r="ACK41" s="1091"/>
      <c r="ACL41" s="1091"/>
      <c r="ACM41" s="1091"/>
      <c r="ACN41" s="1091"/>
      <c r="ACO41" s="1091"/>
      <c r="ACP41" s="1091"/>
      <c r="ACQ41" s="1091"/>
      <c r="ACR41" s="1091"/>
      <c r="ACS41" s="1091"/>
      <c r="ACT41" s="1091"/>
      <c r="ACU41" s="1091"/>
      <c r="ACV41" s="1091"/>
      <c r="ACW41" s="1091"/>
      <c r="ACX41" s="1091"/>
      <c r="ACY41" s="1091"/>
      <c r="ACZ41" s="1091"/>
      <c r="ADA41" s="1091"/>
      <c r="ADB41" s="1091"/>
      <c r="ADC41" s="1091"/>
      <c r="ADD41" s="1091"/>
      <c r="ADE41" s="1091"/>
      <c r="ADF41" s="1091"/>
      <c r="ADG41" s="1091"/>
      <c r="ADH41" s="1091"/>
      <c r="ADI41" s="1091"/>
      <c r="ADJ41" s="1091"/>
      <c r="ADK41" s="1091"/>
      <c r="ADL41" s="1091"/>
      <c r="ADM41" s="1091"/>
      <c r="ADN41" s="1091"/>
      <c r="ADO41" s="1091"/>
      <c r="ADP41" s="1091"/>
      <c r="ADQ41" s="1091"/>
      <c r="ADR41" s="1091"/>
      <c r="ADS41" s="1091"/>
      <c r="ADT41" s="1091"/>
      <c r="ADU41" s="1091"/>
      <c r="ADV41" s="1091"/>
      <c r="ADW41" s="1091"/>
      <c r="ADX41" s="1091"/>
      <c r="ADY41" s="1091"/>
      <c r="ADZ41" s="1091"/>
      <c r="AEA41" s="1091"/>
      <c r="AEB41" s="1091"/>
      <c r="AEC41" s="1091"/>
      <c r="AED41" s="1091"/>
      <c r="AEE41" s="1091"/>
      <c r="AEF41" s="1091"/>
      <c r="AEG41" s="1091"/>
      <c r="AEH41" s="1091"/>
      <c r="AEI41" s="1091"/>
      <c r="AEJ41" s="1091"/>
      <c r="AEK41" s="1091"/>
      <c r="AEL41" s="1091"/>
      <c r="AEM41" s="1091"/>
      <c r="AEN41" s="1091"/>
      <c r="AEO41" s="1091"/>
      <c r="AEP41" s="1091"/>
      <c r="AEQ41" s="1091"/>
      <c r="AER41" s="1091"/>
      <c r="AES41" s="1091"/>
      <c r="AET41" s="1091"/>
      <c r="AEU41" s="1091"/>
      <c r="AEV41" s="1091"/>
      <c r="AEW41" s="1091"/>
      <c r="AEX41" s="1091"/>
      <c r="AEY41" s="1091"/>
      <c r="AEZ41" s="1091"/>
      <c r="AFA41" s="1091"/>
      <c r="AFB41" s="1091"/>
      <c r="AFC41" s="1091"/>
      <c r="AFD41" s="1091"/>
      <c r="AFE41" s="1091"/>
      <c r="AFF41" s="1091"/>
      <c r="AFG41" s="1091"/>
      <c r="AFH41" s="1091"/>
      <c r="AFI41" s="1091"/>
      <c r="AFJ41" s="1091"/>
      <c r="AFK41" s="1091"/>
      <c r="AFL41" s="1091"/>
      <c r="AFM41" s="1091"/>
      <c r="AFN41" s="1091"/>
      <c r="AFO41" s="1091"/>
      <c r="AFP41" s="1091"/>
      <c r="AFQ41" s="1091"/>
      <c r="AFR41" s="1091"/>
      <c r="AFS41" s="1091"/>
      <c r="AFT41" s="1091"/>
      <c r="AFU41" s="1091"/>
      <c r="AFV41" s="1091"/>
      <c r="AFW41" s="1091"/>
      <c r="AFX41" s="1091"/>
      <c r="AFY41" s="1091"/>
      <c r="AFZ41" s="1091"/>
      <c r="AGA41" s="1091"/>
      <c r="AGB41" s="1091"/>
      <c r="AGC41" s="1091"/>
      <c r="AGD41" s="1091"/>
      <c r="AGE41" s="1091"/>
      <c r="AGF41" s="1091"/>
      <c r="AGG41" s="1091"/>
      <c r="AGH41" s="1091"/>
      <c r="AGI41" s="1091"/>
      <c r="AGJ41" s="1091"/>
      <c r="AGK41" s="1091"/>
      <c r="AGL41" s="1091"/>
      <c r="AGM41" s="1091"/>
      <c r="AGN41" s="1091"/>
      <c r="AGO41" s="1091"/>
      <c r="AGP41" s="1091"/>
      <c r="AGQ41" s="1091"/>
      <c r="AGR41" s="1091"/>
      <c r="AGS41" s="1091"/>
      <c r="AGT41" s="1091"/>
      <c r="AGU41" s="1091"/>
      <c r="AGV41" s="1091"/>
      <c r="AGW41" s="1091"/>
      <c r="AGX41" s="1091"/>
      <c r="AGY41" s="1091"/>
      <c r="AGZ41" s="1091"/>
      <c r="AHA41" s="1091"/>
      <c r="AHB41" s="1091"/>
      <c r="AHC41" s="1091"/>
      <c r="AHD41" s="1091"/>
      <c r="AHE41" s="1091"/>
      <c r="AHF41" s="1091"/>
      <c r="AHG41" s="1091"/>
      <c r="AHH41" s="1091"/>
      <c r="AHI41" s="1091"/>
      <c r="AHJ41" s="1091"/>
      <c r="AHK41" s="1091"/>
      <c r="AHL41" s="1091"/>
      <c r="AHM41" s="1091"/>
      <c r="AHN41" s="1091"/>
      <c r="AHO41" s="1091"/>
      <c r="AHP41" s="1091"/>
      <c r="AHQ41" s="1091"/>
      <c r="AHR41" s="1091"/>
      <c r="AHS41" s="1091"/>
      <c r="AHT41" s="1091"/>
      <c r="AHU41" s="1091"/>
      <c r="AHV41" s="1091"/>
      <c r="AHW41" s="1091"/>
      <c r="AHX41" s="1091"/>
      <c r="AHY41" s="1091"/>
      <c r="AHZ41" s="1091"/>
      <c r="AIA41" s="1091"/>
      <c r="AIB41" s="1091"/>
      <c r="AIC41" s="1091"/>
      <c r="AID41" s="1091"/>
      <c r="AIE41" s="1091"/>
      <c r="AIF41" s="1091"/>
      <c r="AIG41" s="1091"/>
      <c r="AIH41" s="1091"/>
      <c r="AII41" s="1091"/>
      <c r="AIJ41" s="1091"/>
      <c r="AIK41" s="1091"/>
      <c r="AIL41" s="1091"/>
      <c r="AIM41" s="1091"/>
      <c r="AIN41" s="1091"/>
      <c r="AIO41" s="1091"/>
      <c r="AIP41" s="1091"/>
      <c r="AIQ41" s="1091"/>
      <c r="AIR41" s="1091"/>
      <c r="AIS41" s="1091"/>
      <c r="AIT41" s="1091"/>
      <c r="AIU41" s="1091"/>
      <c r="AIV41" s="1091"/>
      <c r="AIW41" s="1091"/>
      <c r="AIX41" s="1091"/>
      <c r="AIY41" s="1091"/>
      <c r="AIZ41" s="1091"/>
      <c r="AJA41" s="1091"/>
      <c r="AJB41" s="1091"/>
      <c r="AJC41" s="1091"/>
      <c r="AJD41" s="1091"/>
      <c r="AJE41" s="1091"/>
      <c r="AJF41" s="1091"/>
      <c r="AJG41" s="1091"/>
      <c r="AJH41" s="1091"/>
      <c r="AJI41" s="1091"/>
      <c r="AJJ41" s="1091"/>
      <c r="AJK41" s="1091"/>
      <c r="AJL41" s="1091"/>
      <c r="AJM41" s="1091"/>
      <c r="AJN41" s="1091"/>
      <c r="AJO41" s="1091"/>
      <c r="AJP41" s="1091"/>
      <c r="AJQ41" s="1091"/>
      <c r="AJR41" s="1091"/>
      <c r="AJS41" s="1091"/>
      <c r="AJT41" s="1091"/>
      <c r="AJU41" s="1091"/>
      <c r="AJV41" s="1091"/>
      <c r="AJW41" s="1091"/>
      <c r="AJX41" s="1091"/>
      <c r="AJY41" s="1091"/>
      <c r="AJZ41" s="1091"/>
      <c r="AKA41" s="1091"/>
      <c r="AKB41" s="1091"/>
      <c r="AKC41" s="1091"/>
      <c r="AKD41" s="1091"/>
      <c r="AKE41" s="1091"/>
      <c r="AKF41" s="1091"/>
      <c r="AKG41" s="1091"/>
      <c r="AKH41" s="1091"/>
      <c r="AKI41" s="1091"/>
      <c r="AKJ41" s="1091"/>
      <c r="AKK41" s="1091"/>
      <c r="AKL41" s="1091"/>
      <c r="AKM41" s="1091"/>
      <c r="AKN41" s="1091"/>
      <c r="AKO41" s="1091"/>
      <c r="AKP41" s="1091"/>
      <c r="AKQ41" s="1091"/>
      <c r="AKR41" s="1091"/>
      <c r="AKS41" s="1091"/>
      <c r="AKT41" s="1091"/>
      <c r="AKU41" s="1091"/>
      <c r="AKV41" s="1091"/>
      <c r="AKW41" s="1091"/>
      <c r="AKX41" s="1091"/>
      <c r="AKY41" s="1091"/>
      <c r="AKZ41" s="1091"/>
      <c r="ALA41" s="1091"/>
      <c r="ALB41" s="1091"/>
      <c r="ALC41" s="1091"/>
      <c r="ALD41" s="1091"/>
      <c r="ALE41" s="1091"/>
      <c r="ALF41" s="1091"/>
      <c r="ALG41" s="1091"/>
      <c r="ALH41" s="1091"/>
      <c r="ALI41" s="1091"/>
      <c r="ALJ41" s="1091"/>
      <c r="ALK41" s="1091"/>
      <c r="ALL41" s="1091"/>
      <c r="ALM41" s="1091"/>
      <c r="ALN41" s="1091"/>
      <c r="ALO41" s="1091"/>
      <c r="ALP41" s="1091"/>
      <c r="ALQ41" s="1091"/>
      <c r="ALR41" s="1091"/>
      <c r="ALS41" s="1091"/>
      <c r="ALT41" s="1091"/>
      <c r="ALU41" s="1091"/>
      <c r="ALV41" s="1091"/>
      <c r="ALW41" s="1091"/>
      <c r="ALX41" s="1091"/>
      <c r="ALY41" s="1091"/>
      <c r="ALZ41" s="1091"/>
      <c r="AMA41" s="1091"/>
      <c r="AMB41" s="1091"/>
      <c r="AMC41" s="1091"/>
      <c r="AMD41" s="1091"/>
      <c r="AME41" s="1091"/>
      <c r="AMF41" s="1091"/>
      <c r="AMG41" s="1091"/>
      <c r="AMH41" s="1091"/>
      <c r="AMI41" s="1091"/>
      <c r="AMJ41" s="1091"/>
      <c r="AMK41" s="1091"/>
      <c r="AML41" s="1091"/>
      <c r="AMM41" s="1091"/>
      <c r="AMN41" s="1091"/>
      <c r="AMO41" s="1091"/>
      <c r="AMP41" s="1091"/>
      <c r="AMQ41" s="1091"/>
      <c r="AMR41" s="1091"/>
      <c r="AMS41" s="1091"/>
      <c r="AMT41" s="1091"/>
      <c r="AMU41" s="1091"/>
      <c r="AMV41" s="1091"/>
      <c r="AMW41" s="1091"/>
      <c r="AMX41" s="1091"/>
      <c r="AMY41" s="1091"/>
      <c r="AMZ41" s="1091"/>
      <c r="ANA41" s="1091"/>
      <c r="ANB41" s="1091"/>
      <c r="ANC41" s="1091"/>
      <c r="AND41" s="1091"/>
      <c r="ANE41" s="1091"/>
      <c r="ANF41" s="1091"/>
      <c r="ANG41" s="1091"/>
      <c r="ANH41" s="1091"/>
      <c r="ANI41" s="1091"/>
      <c r="ANJ41" s="1091"/>
      <c r="ANK41" s="1091"/>
      <c r="ANL41" s="1091"/>
      <c r="ANM41" s="1091"/>
      <c r="ANN41" s="1091"/>
      <c r="ANO41" s="1091"/>
      <c r="ANP41" s="1091"/>
      <c r="ANQ41" s="1091"/>
      <c r="ANR41" s="1091"/>
      <c r="ANS41" s="1091"/>
      <c r="ANT41" s="1091"/>
      <c r="ANU41" s="1091"/>
      <c r="ANV41" s="1091"/>
      <c r="ANW41" s="1091"/>
      <c r="ANX41" s="1091"/>
      <c r="ANY41" s="1091"/>
      <c r="ANZ41" s="1091"/>
      <c r="AOA41" s="1091"/>
      <c r="AOB41" s="1091"/>
      <c r="AOC41" s="1091"/>
      <c r="AOD41" s="1091"/>
      <c r="AOE41" s="1091"/>
      <c r="AOF41" s="1091"/>
      <c r="AOG41" s="1091"/>
      <c r="AOH41" s="1091"/>
      <c r="AOI41" s="1091"/>
      <c r="AOJ41" s="1091"/>
      <c r="AOK41" s="1091"/>
      <c r="AOL41" s="1091"/>
      <c r="AOM41" s="1091"/>
      <c r="AON41" s="1091"/>
      <c r="AOO41" s="1091"/>
      <c r="AOP41" s="1091"/>
      <c r="AOQ41" s="1091"/>
      <c r="AOR41" s="1091"/>
      <c r="AOS41" s="1091"/>
      <c r="AOT41" s="1091"/>
      <c r="AOU41" s="1091"/>
      <c r="AOV41" s="1091"/>
      <c r="AOW41" s="1091"/>
      <c r="AOX41" s="1091"/>
      <c r="AOY41" s="1091"/>
      <c r="AOZ41" s="1091"/>
      <c r="APA41" s="1091"/>
      <c r="APB41" s="1091"/>
      <c r="APC41" s="1091"/>
      <c r="APD41" s="1091"/>
      <c r="APE41" s="1091"/>
      <c r="APF41" s="1091"/>
      <c r="APG41" s="1091"/>
      <c r="APH41" s="1091"/>
      <c r="API41" s="1091"/>
      <c r="APJ41" s="1091"/>
      <c r="APK41" s="1091"/>
      <c r="APL41" s="1091"/>
      <c r="APM41" s="1091"/>
      <c r="APN41" s="1091"/>
      <c r="APO41" s="1091"/>
      <c r="APP41" s="1091"/>
      <c r="APQ41" s="1091"/>
      <c r="APR41" s="1091"/>
      <c r="APS41" s="1091"/>
      <c r="APT41" s="1091"/>
      <c r="APU41" s="1091"/>
      <c r="APV41" s="1091"/>
      <c r="APW41" s="1091"/>
      <c r="APX41" s="1091"/>
      <c r="APY41" s="1091"/>
      <c r="APZ41" s="1091"/>
      <c r="AQA41" s="1091"/>
      <c r="AQB41" s="1091"/>
      <c r="AQC41" s="1091"/>
      <c r="AQD41" s="1091"/>
      <c r="AQE41" s="1091"/>
      <c r="AQF41" s="1091"/>
      <c r="AQG41" s="1091"/>
      <c r="AQH41" s="1091"/>
      <c r="AQI41" s="1091"/>
      <c r="AQJ41" s="1091"/>
      <c r="AQK41" s="1091"/>
      <c r="AQL41" s="1091"/>
      <c r="AQM41" s="1091"/>
      <c r="AQN41" s="1091"/>
      <c r="AQO41" s="1091"/>
      <c r="AQP41" s="1091"/>
      <c r="AQQ41" s="1091"/>
      <c r="AQR41" s="1091"/>
      <c r="AQS41" s="1091"/>
      <c r="AQT41" s="1091"/>
      <c r="AQU41" s="1091"/>
      <c r="AQV41" s="1091"/>
      <c r="AQW41" s="1091"/>
      <c r="AQX41" s="1091"/>
      <c r="AQY41" s="1091"/>
      <c r="AQZ41" s="1091"/>
      <c r="ARA41" s="1091"/>
      <c r="ARB41" s="1091"/>
      <c r="ARC41" s="1091"/>
      <c r="ARD41" s="1091"/>
      <c r="ARE41" s="1091"/>
      <c r="ARF41" s="1091"/>
      <c r="ARG41" s="1091"/>
      <c r="ARH41" s="1091"/>
      <c r="ARI41" s="1091"/>
      <c r="ARJ41" s="1091"/>
      <c r="ARK41" s="1091"/>
      <c r="ARL41" s="1091"/>
      <c r="ARM41" s="1091"/>
      <c r="ARN41" s="1091"/>
      <c r="ARO41" s="1091"/>
      <c r="ARP41" s="1091"/>
      <c r="ARQ41" s="1091"/>
      <c r="ARR41" s="1091"/>
      <c r="ARS41" s="1091"/>
      <c r="ART41" s="1091"/>
      <c r="ARU41" s="1091"/>
      <c r="ARV41" s="1091"/>
      <c r="ARW41" s="1091"/>
      <c r="ARX41" s="1091"/>
      <c r="ARY41" s="1091"/>
      <c r="ARZ41" s="1091"/>
      <c r="ASA41" s="1091"/>
      <c r="ASB41" s="1091"/>
      <c r="ASC41" s="1091"/>
      <c r="ASD41" s="1091"/>
      <c r="ASE41" s="1091"/>
      <c r="ASF41" s="1091"/>
      <c r="ASG41" s="1091"/>
      <c r="ASH41" s="1091"/>
      <c r="ASI41" s="1091"/>
      <c r="ASJ41" s="1091"/>
      <c r="ASK41" s="1091"/>
      <c r="ASL41" s="1091"/>
      <c r="ASM41" s="1091"/>
      <c r="ASN41" s="1091"/>
      <c r="ASO41" s="1091"/>
      <c r="ASP41" s="1091"/>
      <c r="ASQ41" s="1091"/>
      <c r="ASR41" s="1091"/>
      <c r="ASS41" s="1091"/>
      <c r="AST41" s="1091"/>
      <c r="ASU41" s="1091"/>
      <c r="ASV41" s="1091"/>
      <c r="ASW41" s="1091"/>
      <c r="ASX41" s="1091"/>
      <c r="ASY41" s="1091"/>
      <c r="ASZ41" s="1091"/>
      <c r="ATA41" s="1091"/>
      <c r="ATB41" s="1091"/>
      <c r="ATC41" s="1091"/>
      <c r="ATD41" s="1091"/>
      <c r="ATE41" s="1091"/>
      <c r="ATF41" s="1091"/>
      <c r="ATG41" s="1091"/>
      <c r="ATH41" s="1091"/>
      <c r="ATI41" s="1091"/>
      <c r="ATJ41" s="1091"/>
      <c r="ATK41" s="1091"/>
      <c r="ATL41" s="1091"/>
      <c r="ATM41" s="1091"/>
      <c r="ATN41" s="1091"/>
      <c r="ATO41" s="1091"/>
      <c r="ATP41" s="1091"/>
      <c r="ATQ41" s="1091"/>
      <c r="ATR41" s="1091"/>
      <c r="ATS41" s="1091"/>
      <c r="ATT41" s="1091"/>
      <c r="ATU41" s="1091"/>
      <c r="ATV41" s="1091"/>
      <c r="ATW41" s="1091"/>
      <c r="ATX41" s="1091"/>
      <c r="ATY41" s="1091"/>
      <c r="ATZ41" s="1091"/>
      <c r="AUA41" s="1091"/>
      <c r="AUB41" s="1091"/>
      <c r="AUC41" s="1091"/>
      <c r="AUD41" s="1091"/>
      <c r="AUE41" s="1091"/>
      <c r="AUF41" s="1091"/>
      <c r="AUG41" s="1091"/>
      <c r="AUH41" s="1091"/>
      <c r="AUI41" s="1091"/>
      <c r="AUJ41" s="1091"/>
      <c r="AUK41" s="1091"/>
      <c r="AUL41" s="1091"/>
      <c r="AUM41" s="1091"/>
      <c r="AUN41" s="1091"/>
      <c r="AUO41" s="1091"/>
      <c r="AUP41" s="1091"/>
      <c r="AUQ41" s="1091"/>
      <c r="AUR41" s="1091"/>
      <c r="AUS41" s="1091"/>
      <c r="AUT41" s="1091"/>
      <c r="AUU41" s="1091"/>
      <c r="AUV41" s="1091"/>
      <c r="AUW41" s="1091"/>
      <c r="AUX41" s="1091"/>
      <c r="AUY41" s="1091"/>
      <c r="AUZ41" s="1091"/>
      <c r="AVA41" s="1091"/>
      <c r="AVB41" s="1091"/>
      <c r="AVC41" s="1091"/>
      <c r="AVD41" s="1091"/>
      <c r="AVE41" s="1091"/>
      <c r="AVF41" s="1091"/>
      <c r="AVG41" s="1091"/>
      <c r="AVH41" s="1091"/>
      <c r="AVI41" s="1091"/>
      <c r="AVJ41" s="1091"/>
      <c r="AVK41" s="1091"/>
      <c r="AVL41" s="1091"/>
      <c r="AVM41" s="1091"/>
      <c r="AVN41" s="1091"/>
      <c r="AVO41" s="1091"/>
      <c r="AVP41" s="1091"/>
      <c r="AVQ41" s="1091"/>
      <c r="AVR41" s="1091"/>
      <c r="AVS41" s="1091"/>
      <c r="AVT41" s="1091"/>
      <c r="AVU41" s="1091"/>
      <c r="AVV41" s="1091"/>
      <c r="AVW41" s="1091"/>
      <c r="AVX41" s="1091"/>
      <c r="AVY41" s="1091"/>
      <c r="AVZ41" s="1091"/>
      <c r="AWA41" s="1091"/>
      <c r="AWB41" s="1091"/>
      <c r="AWC41" s="1091"/>
      <c r="AWD41" s="1091"/>
      <c r="AWE41" s="1091"/>
      <c r="AWF41" s="1091"/>
      <c r="AWG41" s="1091"/>
      <c r="AWH41" s="1091"/>
      <c r="AWI41" s="1091"/>
      <c r="AWJ41" s="1091"/>
      <c r="AWK41" s="1091"/>
      <c r="AWL41" s="1091"/>
      <c r="AWM41" s="1091"/>
      <c r="AWN41" s="1091"/>
      <c r="AWO41" s="1091"/>
      <c r="AWP41" s="1091"/>
      <c r="AWQ41" s="1091"/>
      <c r="AWR41" s="1091"/>
      <c r="AWS41" s="1091"/>
      <c r="AWT41" s="1091"/>
      <c r="AWU41" s="1091"/>
      <c r="AWV41" s="1091"/>
      <c r="AWW41" s="1091"/>
      <c r="AWX41" s="1091"/>
      <c r="AWY41" s="1091"/>
      <c r="AWZ41" s="1091"/>
      <c r="AXA41" s="1091"/>
      <c r="AXB41" s="1091"/>
      <c r="AXC41" s="1091"/>
      <c r="AXD41" s="1091"/>
      <c r="AXE41" s="1091"/>
      <c r="AXF41" s="1091"/>
      <c r="AXG41" s="1091"/>
      <c r="AXH41" s="1091"/>
      <c r="AXI41" s="1091"/>
      <c r="AXJ41" s="1091"/>
      <c r="AXK41" s="1091"/>
      <c r="AXL41" s="1091"/>
      <c r="AXM41" s="1091"/>
      <c r="AXN41" s="1091"/>
      <c r="AXO41" s="1091"/>
      <c r="AXP41" s="1091"/>
      <c r="AXQ41" s="1091"/>
      <c r="AXR41" s="1091"/>
      <c r="AXS41" s="1091"/>
      <c r="AXT41" s="1091"/>
      <c r="AXU41" s="1091"/>
      <c r="AXV41" s="1091"/>
      <c r="AXW41" s="1091"/>
      <c r="AXX41" s="1091"/>
      <c r="AXY41" s="1091"/>
      <c r="AXZ41" s="1091"/>
      <c r="AYA41" s="1091"/>
      <c r="AYB41" s="1091"/>
      <c r="AYC41" s="1091"/>
      <c r="AYD41" s="1091"/>
      <c r="AYE41" s="1091"/>
      <c r="AYF41" s="1091"/>
      <c r="AYG41" s="1091"/>
      <c r="AYH41" s="1091"/>
      <c r="AYI41" s="1091"/>
      <c r="AYJ41" s="1091"/>
      <c r="AYK41" s="1091"/>
      <c r="AYL41" s="1091"/>
      <c r="AYM41" s="1091"/>
      <c r="AYN41" s="1091"/>
      <c r="AYO41" s="1091"/>
      <c r="AYP41" s="1091"/>
      <c r="AYQ41" s="1091"/>
      <c r="AYR41" s="1091"/>
      <c r="AYS41" s="1091"/>
      <c r="AYT41" s="1091"/>
      <c r="AYU41" s="1091"/>
      <c r="AYV41" s="1091"/>
      <c r="AYW41" s="1091"/>
      <c r="AYX41" s="1091"/>
      <c r="AYY41" s="1091"/>
      <c r="AYZ41" s="1091"/>
      <c r="AZA41" s="1091"/>
      <c r="AZB41" s="1091"/>
      <c r="AZC41" s="1091"/>
      <c r="AZD41" s="1091"/>
      <c r="AZE41" s="1091"/>
      <c r="AZF41" s="1091"/>
      <c r="AZG41" s="1091"/>
      <c r="AZH41" s="1091"/>
      <c r="AZI41" s="1091"/>
      <c r="AZJ41" s="1091"/>
      <c r="AZK41" s="1091"/>
      <c r="AZL41" s="1091"/>
      <c r="AZM41" s="1091"/>
      <c r="AZN41" s="1091"/>
      <c r="AZO41" s="1091"/>
      <c r="AZP41" s="1091"/>
      <c r="AZQ41" s="1091"/>
      <c r="AZR41" s="1091"/>
      <c r="AZS41" s="1091"/>
      <c r="AZT41" s="1091"/>
      <c r="AZU41" s="1091"/>
      <c r="AZV41" s="1091"/>
      <c r="AZW41" s="1091"/>
      <c r="AZX41" s="1091"/>
      <c r="AZY41" s="1091"/>
      <c r="AZZ41" s="1091"/>
      <c r="BAA41" s="1091"/>
      <c r="BAB41" s="1091"/>
      <c r="BAC41" s="1091"/>
      <c r="BAD41" s="1091"/>
      <c r="BAE41" s="1091"/>
      <c r="BAF41" s="1091"/>
      <c r="BAG41" s="1091"/>
      <c r="BAH41" s="1091"/>
      <c r="BAI41" s="1091"/>
      <c r="BAJ41" s="1091"/>
      <c r="BAK41" s="1091"/>
      <c r="BAL41" s="1091"/>
      <c r="BAM41" s="1091"/>
      <c r="BAN41" s="1091"/>
      <c r="BAO41" s="1091"/>
      <c r="BAP41" s="1091"/>
      <c r="BAQ41" s="1091"/>
      <c r="BAR41" s="1091"/>
      <c r="BAS41" s="1091"/>
      <c r="BAT41" s="1091"/>
      <c r="BAU41" s="1091"/>
      <c r="BAV41" s="1091"/>
      <c r="BAW41" s="1091"/>
      <c r="BAX41" s="1091"/>
      <c r="BAY41" s="1091"/>
      <c r="BAZ41" s="1091"/>
      <c r="BBA41" s="1091"/>
      <c r="BBB41" s="1091"/>
      <c r="BBC41" s="1091"/>
      <c r="BBD41" s="1091"/>
      <c r="BBE41" s="1091"/>
      <c r="BBF41" s="1091"/>
      <c r="BBG41" s="1091"/>
      <c r="BBH41" s="1091"/>
      <c r="BBI41" s="1091"/>
      <c r="BBJ41" s="1091"/>
      <c r="BBK41" s="1091"/>
      <c r="BBL41" s="1091"/>
      <c r="BBM41" s="1091"/>
      <c r="BBN41" s="1091"/>
      <c r="BBO41" s="1091"/>
      <c r="BBP41" s="1091"/>
      <c r="BBQ41" s="1091"/>
      <c r="BBR41" s="1091"/>
      <c r="BBS41" s="1091"/>
      <c r="BBT41" s="1091"/>
      <c r="BBU41" s="1091"/>
      <c r="BBV41" s="1091"/>
      <c r="BBW41" s="1091"/>
      <c r="BBX41" s="1091"/>
      <c r="BBY41" s="1091"/>
      <c r="BBZ41" s="1091"/>
      <c r="BCA41" s="1091"/>
      <c r="BCB41" s="1091"/>
      <c r="BCC41" s="1091"/>
      <c r="BCD41" s="1091"/>
      <c r="BCE41" s="1091"/>
      <c r="BCF41" s="1091"/>
      <c r="BCG41" s="1091"/>
      <c r="BCH41" s="1091"/>
      <c r="BCI41" s="1091"/>
      <c r="BCJ41" s="1091"/>
      <c r="BCK41" s="1091"/>
      <c r="BCL41" s="1091"/>
      <c r="BCM41" s="1091"/>
      <c r="BCN41" s="1091"/>
      <c r="BCO41" s="1091"/>
      <c r="BCP41" s="1091"/>
      <c r="BCQ41" s="1091"/>
      <c r="BCR41" s="1091"/>
      <c r="BCS41" s="1091"/>
      <c r="BCT41" s="1091"/>
      <c r="BCU41" s="1091"/>
      <c r="BCV41" s="1091"/>
      <c r="BCW41" s="1091"/>
      <c r="BCX41" s="1091"/>
      <c r="BCY41" s="1091"/>
      <c r="BCZ41" s="1091"/>
      <c r="BDA41" s="1091"/>
      <c r="BDB41" s="1091"/>
      <c r="BDC41" s="1091"/>
      <c r="BDD41" s="1091"/>
      <c r="BDE41" s="1091"/>
      <c r="BDF41" s="1091"/>
      <c r="BDG41" s="1091"/>
      <c r="BDH41" s="1091"/>
      <c r="BDI41" s="1091"/>
      <c r="BDJ41" s="1091"/>
      <c r="BDK41" s="1091"/>
      <c r="BDL41" s="1091"/>
      <c r="BDM41" s="1091"/>
      <c r="BDN41" s="1091"/>
      <c r="BDO41" s="1091"/>
      <c r="BDP41" s="1091"/>
      <c r="BDQ41" s="1091"/>
      <c r="BDR41" s="1091"/>
      <c r="BDS41" s="1091"/>
      <c r="BDT41" s="1091"/>
      <c r="BDU41" s="1091"/>
      <c r="BDV41" s="1091"/>
      <c r="BDW41" s="1091"/>
      <c r="BDX41" s="1091"/>
      <c r="BDY41" s="1091"/>
      <c r="BDZ41" s="1091"/>
      <c r="BEA41" s="1091"/>
      <c r="BEB41" s="1091"/>
      <c r="BEC41" s="1091"/>
      <c r="BED41" s="1091"/>
      <c r="BEE41" s="1091"/>
      <c r="BEF41" s="1091"/>
      <c r="BEG41" s="1091"/>
      <c r="BEH41" s="1091"/>
      <c r="BEI41" s="1091"/>
      <c r="BEJ41" s="1091"/>
      <c r="BEK41" s="1091"/>
      <c r="BEL41" s="1091"/>
      <c r="BEM41" s="1091"/>
      <c r="BEN41" s="1091"/>
      <c r="BEO41" s="1091"/>
      <c r="BEP41" s="1091"/>
      <c r="BEQ41" s="1091"/>
      <c r="BER41" s="1091"/>
      <c r="BES41" s="1091"/>
      <c r="BET41" s="1091"/>
      <c r="BEU41" s="1091"/>
      <c r="BEV41" s="1091"/>
      <c r="BEW41" s="1091"/>
      <c r="BEX41" s="1091"/>
      <c r="BEY41" s="1091"/>
      <c r="BEZ41" s="1091"/>
      <c r="BFA41" s="1091"/>
      <c r="BFB41" s="1091"/>
      <c r="BFC41" s="1091"/>
      <c r="BFD41" s="1091"/>
      <c r="BFE41" s="1091"/>
      <c r="BFF41" s="1091"/>
      <c r="BFG41" s="1091"/>
      <c r="BFH41" s="1091"/>
      <c r="BFI41" s="1091"/>
      <c r="BFJ41" s="1091"/>
      <c r="BFK41" s="1091"/>
      <c r="BFL41" s="1091"/>
      <c r="BFM41" s="1091"/>
      <c r="BFN41" s="1091"/>
      <c r="BFO41" s="1091"/>
      <c r="BFP41" s="1091"/>
      <c r="BFQ41" s="1091"/>
      <c r="BFR41" s="1091"/>
      <c r="BFS41" s="1091"/>
      <c r="BFT41" s="1091"/>
      <c r="BFU41" s="1091"/>
      <c r="BFV41" s="1091"/>
      <c r="BFW41" s="1091"/>
      <c r="BFX41" s="1091"/>
      <c r="BFY41" s="1091"/>
      <c r="BFZ41" s="1091"/>
      <c r="BGA41" s="1091"/>
      <c r="BGB41" s="1091"/>
      <c r="BGC41" s="1091"/>
      <c r="BGD41" s="1091"/>
      <c r="BGE41" s="1091"/>
      <c r="BGF41" s="1091"/>
      <c r="BGG41" s="1091"/>
      <c r="BGH41" s="1091"/>
      <c r="BGI41" s="1091"/>
      <c r="BGJ41" s="1091"/>
      <c r="BGK41" s="1091"/>
      <c r="BGL41" s="1091"/>
      <c r="BGM41" s="1091"/>
      <c r="BGN41" s="1091"/>
      <c r="BGO41" s="1091"/>
      <c r="BGP41" s="1091"/>
      <c r="BGQ41" s="1091"/>
      <c r="BGR41" s="1091"/>
      <c r="BGS41" s="1091"/>
      <c r="BGT41" s="1091"/>
      <c r="BGU41" s="1091"/>
      <c r="BGV41" s="1091"/>
      <c r="BGW41" s="1091"/>
      <c r="BGX41" s="1091"/>
      <c r="BGY41" s="1091"/>
      <c r="BGZ41" s="1091"/>
      <c r="BHA41" s="1091"/>
      <c r="BHB41" s="1091"/>
      <c r="BHC41" s="1091"/>
      <c r="BHD41" s="1091"/>
      <c r="BHE41" s="1091"/>
      <c r="BHF41" s="1091"/>
      <c r="BHG41" s="1091"/>
      <c r="BHH41" s="1091"/>
      <c r="BHI41" s="1091"/>
      <c r="BHJ41" s="1091"/>
      <c r="BHK41" s="1091"/>
      <c r="BHL41" s="1091"/>
      <c r="BHM41" s="1091"/>
      <c r="BHN41" s="1091"/>
      <c r="BHO41" s="1091"/>
      <c r="BHP41" s="1091"/>
      <c r="BHQ41" s="1091"/>
      <c r="BHR41" s="1091"/>
      <c r="BHS41" s="1091"/>
      <c r="BHT41" s="1091"/>
      <c r="BHU41" s="1091"/>
      <c r="BHV41" s="1091"/>
      <c r="BHW41" s="1091"/>
      <c r="BHX41" s="1091"/>
      <c r="BHY41" s="1091"/>
      <c r="BHZ41" s="1091"/>
      <c r="BIA41" s="1091"/>
      <c r="BIB41" s="1091"/>
      <c r="BIC41" s="1091"/>
      <c r="BID41" s="1091"/>
      <c r="BIE41" s="1091"/>
      <c r="BIF41" s="1091"/>
      <c r="BIG41" s="1091"/>
      <c r="BIH41" s="1091"/>
      <c r="BII41" s="1091"/>
      <c r="BIJ41" s="1091"/>
      <c r="BIK41" s="1091"/>
      <c r="BIL41" s="1091"/>
      <c r="BIM41" s="1091"/>
      <c r="BIN41" s="1091"/>
      <c r="BIO41" s="1091"/>
      <c r="BIP41" s="1091"/>
      <c r="BIQ41" s="1091"/>
      <c r="BIR41" s="1091"/>
      <c r="BIS41" s="1091"/>
      <c r="BIT41" s="1091"/>
      <c r="BIU41" s="1091"/>
      <c r="BIV41" s="1091"/>
      <c r="BIW41" s="1091"/>
      <c r="BIX41" s="1091"/>
      <c r="BIY41" s="1091"/>
      <c r="BIZ41" s="1091"/>
      <c r="BJA41" s="1091"/>
      <c r="BJB41" s="1091"/>
      <c r="BJC41" s="1091"/>
      <c r="BJD41" s="1091"/>
      <c r="BJE41" s="1091"/>
      <c r="BJF41" s="1091"/>
      <c r="BJG41" s="1091"/>
      <c r="BJH41" s="1091"/>
      <c r="BJI41" s="1091"/>
      <c r="BJJ41" s="1091"/>
      <c r="BJK41" s="1091"/>
      <c r="BJL41" s="1091"/>
      <c r="BJM41" s="1091"/>
      <c r="BJN41" s="1091"/>
      <c r="BJO41" s="1091"/>
      <c r="BJP41" s="1091"/>
      <c r="BJQ41" s="1091"/>
      <c r="BJR41" s="1091"/>
      <c r="BJS41" s="1091"/>
      <c r="BJT41" s="1091"/>
      <c r="BJU41" s="1091"/>
      <c r="BJV41" s="1091"/>
      <c r="BJW41" s="1091"/>
      <c r="BJX41" s="1091"/>
      <c r="BJY41" s="1091"/>
      <c r="BJZ41" s="1091"/>
      <c r="BKA41" s="1091"/>
      <c r="BKB41" s="1091"/>
      <c r="BKC41" s="1091"/>
      <c r="BKD41" s="1091"/>
      <c r="BKE41" s="1091"/>
      <c r="BKF41" s="1091"/>
      <c r="BKG41" s="1091"/>
      <c r="BKH41" s="1091"/>
      <c r="BKI41" s="1091"/>
      <c r="BKJ41" s="1091"/>
      <c r="BKK41" s="1091"/>
      <c r="BKL41" s="1091"/>
      <c r="BKM41" s="1091"/>
      <c r="BKN41" s="1091"/>
      <c r="BKO41" s="1091"/>
      <c r="BKP41" s="1091"/>
      <c r="BKQ41" s="1091"/>
      <c r="BKR41" s="1091"/>
      <c r="BKS41" s="1091"/>
      <c r="BKT41" s="1091"/>
      <c r="BKU41" s="1091"/>
      <c r="BKV41" s="1091"/>
      <c r="BKW41" s="1091"/>
      <c r="BKX41" s="1091"/>
      <c r="BKY41" s="1091"/>
      <c r="BKZ41" s="1091"/>
      <c r="BLA41" s="1091"/>
      <c r="BLB41" s="1091"/>
      <c r="BLC41" s="1091"/>
      <c r="BLD41" s="1091"/>
      <c r="BLE41" s="1091"/>
      <c r="BLF41" s="1091"/>
      <c r="BLG41" s="1091"/>
      <c r="BLH41" s="1091"/>
      <c r="BLI41" s="1091"/>
      <c r="BLJ41" s="1091"/>
      <c r="BLK41" s="1091"/>
      <c r="BLL41" s="1091"/>
      <c r="BLM41" s="1091"/>
      <c r="BLN41" s="1091"/>
      <c r="BLO41" s="1091"/>
      <c r="BLP41" s="1091"/>
      <c r="BLQ41" s="1091"/>
      <c r="BLR41" s="1091"/>
      <c r="BLS41" s="1091"/>
      <c r="BLT41" s="1091"/>
      <c r="BLU41" s="1091"/>
      <c r="BLV41" s="1091"/>
      <c r="BLW41" s="1091"/>
      <c r="BLX41" s="1091"/>
      <c r="BLY41" s="1091"/>
      <c r="BLZ41" s="1091"/>
      <c r="BMA41" s="1091"/>
      <c r="BMB41" s="1091"/>
      <c r="BMC41" s="1091"/>
      <c r="BMD41" s="1091"/>
      <c r="BME41" s="1091"/>
      <c r="BMF41" s="1091"/>
      <c r="BMG41" s="1091"/>
      <c r="BMH41" s="1091"/>
      <c r="BMI41" s="1091"/>
      <c r="BMJ41" s="1091"/>
      <c r="BMK41" s="1091"/>
      <c r="BML41" s="1091"/>
      <c r="BMM41" s="1091"/>
      <c r="BMN41" s="1091"/>
      <c r="BMO41" s="1091"/>
      <c r="BMP41" s="1091"/>
      <c r="BMQ41" s="1091"/>
      <c r="BMR41" s="1091"/>
      <c r="BMS41" s="1091"/>
      <c r="BMT41" s="1091"/>
      <c r="BMU41" s="1091"/>
      <c r="BMV41" s="1091"/>
      <c r="BMW41" s="1091"/>
      <c r="BMX41" s="1091"/>
      <c r="BMY41" s="1091"/>
      <c r="BMZ41" s="1091"/>
      <c r="BNA41" s="1091"/>
      <c r="BNB41" s="1091"/>
      <c r="BNC41" s="1091"/>
      <c r="BND41" s="1091"/>
      <c r="BNE41" s="1091"/>
      <c r="BNF41" s="1091"/>
      <c r="BNG41" s="1091"/>
      <c r="BNH41" s="1091"/>
      <c r="BNI41" s="1091"/>
      <c r="BNJ41" s="1091"/>
      <c r="BNK41" s="1091"/>
      <c r="BNL41" s="1091"/>
      <c r="BNM41" s="1091"/>
      <c r="BNN41" s="1091"/>
      <c r="BNO41" s="1091"/>
      <c r="BNP41" s="1091"/>
      <c r="BNQ41" s="1091"/>
      <c r="BNR41" s="1091"/>
      <c r="BNS41" s="1091"/>
      <c r="BNT41" s="1091"/>
      <c r="BNU41" s="1091"/>
      <c r="BNV41" s="1091"/>
      <c r="BNW41" s="1091"/>
      <c r="BNX41" s="1091"/>
      <c r="BNY41" s="1091"/>
      <c r="BNZ41" s="1091"/>
      <c r="BOA41" s="1091"/>
      <c r="BOB41" s="1091"/>
      <c r="BOC41" s="1091"/>
      <c r="BOD41" s="1091"/>
      <c r="BOE41" s="1091"/>
      <c r="BOF41" s="1091"/>
      <c r="BOG41" s="1091"/>
      <c r="BOH41" s="1091"/>
      <c r="BOI41" s="1091"/>
      <c r="BOJ41" s="1091"/>
      <c r="BOK41" s="1091"/>
      <c r="BOL41" s="1091"/>
      <c r="BOM41" s="1091"/>
      <c r="BON41" s="1091"/>
      <c r="BOO41" s="1091"/>
      <c r="BOP41" s="1091"/>
      <c r="BOQ41" s="1091"/>
      <c r="BOR41" s="1091"/>
      <c r="BOS41" s="1091"/>
      <c r="BOT41" s="1091"/>
      <c r="BOU41" s="1091"/>
      <c r="BOV41" s="1091"/>
      <c r="BOW41" s="1091"/>
      <c r="BOX41" s="1091"/>
      <c r="BOY41" s="1091"/>
      <c r="BOZ41" s="1091"/>
      <c r="BPA41" s="1091"/>
      <c r="BPB41" s="1091"/>
      <c r="BPC41" s="1091"/>
      <c r="BPD41" s="1091"/>
      <c r="BPE41" s="1091"/>
      <c r="BPF41" s="1091"/>
      <c r="BPG41" s="1091"/>
      <c r="BPH41" s="1091"/>
      <c r="BPI41" s="1091"/>
      <c r="BPJ41" s="1091"/>
      <c r="BPK41" s="1091"/>
      <c r="BPL41" s="1091"/>
      <c r="BPM41" s="1091"/>
      <c r="BPN41" s="1091"/>
      <c r="BPO41" s="1091"/>
      <c r="BPP41" s="1091"/>
      <c r="BPQ41" s="1091"/>
      <c r="BPR41" s="1091"/>
      <c r="BPS41" s="1091"/>
      <c r="BPT41" s="1091"/>
      <c r="BPU41" s="1091"/>
      <c r="BPV41" s="1091"/>
      <c r="BPW41" s="1091"/>
      <c r="BPX41" s="1091"/>
      <c r="BPY41" s="1091"/>
      <c r="BPZ41" s="1091"/>
      <c r="BQA41" s="1091"/>
      <c r="BQB41" s="1091"/>
      <c r="BQC41" s="1091"/>
      <c r="BQD41" s="1091"/>
      <c r="BQE41" s="1091"/>
      <c r="BQF41" s="1091"/>
      <c r="BQG41" s="1091"/>
      <c r="BQH41" s="1091"/>
      <c r="BQI41" s="1091"/>
      <c r="BQJ41" s="1091"/>
      <c r="BQK41" s="1091"/>
      <c r="BQL41" s="1091"/>
      <c r="BQM41" s="1091"/>
      <c r="BQN41" s="1091"/>
      <c r="BQO41" s="1091"/>
      <c r="BQP41" s="1091"/>
      <c r="BQQ41" s="1091"/>
      <c r="BQR41" s="1091"/>
      <c r="BQS41" s="1091"/>
      <c r="BQT41" s="1091"/>
      <c r="BQU41" s="1091"/>
      <c r="BQV41" s="1091"/>
      <c r="BQW41" s="1091"/>
      <c r="BQX41" s="1091"/>
      <c r="BQY41" s="1091"/>
      <c r="BQZ41" s="1091"/>
      <c r="BRA41" s="1091"/>
      <c r="BRB41" s="1091"/>
      <c r="BRC41" s="1091"/>
      <c r="BRD41" s="1091"/>
      <c r="BRE41" s="1091"/>
      <c r="BRF41" s="1091"/>
      <c r="BRG41" s="1091"/>
      <c r="BRH41" s="1091"/>
      <c r="BRI41" s="1091"/>
      <c r="BRJ41" s="1091"/>
      <c r="BRK41" s="1091"/>
      <c r="BRL41" s="1091"/>
      <c r="BRM41" s="1091"/>
      <c r="BRN41" s="1091"/>
      <c r="BRO41" s="1091"/>
      <c r="BRP41" s="1091"/>
      <c r="BRQ41" s="1091"/>
      <c r="BRR41" s="1091"/>
      <c r="BRS41" s="1091"/>
      <c r="BRT41" s="1091"/>
      <c r="BRU41" s="1091"/>
      <c r="BRV41" s="1091"/>
      <c r="BRW41" s="1091"/>
      <c r="BRX41" s="1091"/>
      <c r="BRY41" s="1091"/>
      <c r="BRZ41" s="1091"/>
      <c r="BSA41" s="1091"/>
      <c r="BSB41" s="1091"/>
      <c r="BSC41" s="1091"/>
      <c r="BSD41" s="1091"/>
      <c r="BSE41" s="1091"/>
      <c r="BSF41" s="1091"/>
      <c r="BSG41" s="1091"/>
      <c r="BSH41" s="1091"/>
      <c r="BSI41" s="1091"/>
      <c r="BSJ41" s="1091"/>
      <c r="BSK41" s="1091"/>
      <c r="BSL41" s="1091"/>
      <c r="BSM41" s="1091"/>
      <c r="BSN41" s="1091"/>
      <c r="BSO41" s="1091"/>
      <c r="BSP41" s="1091"/>
      <c r="BSQ41" s="1091"/>
      <c r="BSR41" s="1091"/>
      <c r="BSS41" s="1091"/>
      <c r="BST41" s="1091"/>
      <c r="BSU41" s="1091"/>
      <c r="BSV41" s="1091"/>
      <c r="BSW41" s="1091"/>
      <c r="BSX41" s="1091"/>
      <c r="BSY41" s="1091"/>
      <c r="BSZ41" s="1091"/>
      <c r="BTA41" s="1091"/>
      <c r="BTB41" s="1091"/>
      <c r="BTC41" s="1091"/>
      <c r="BTD41" s="1091"/>
      <c r="BTE41" s="1091"/>
      <c r="BTF41" s="1091"/>
      <c r="BTG41" s="1091"/>
      <c r="BTH41" s="1091"/>
      <c r="BTI41" s="1091"/>
      <c r="BTJ41" s="1091"/>
      <c r="BTK41" s="1091"/>
      <c r="BTL41" s="1091"/>
      <c r="BTM41" s="1091"/>
      <c r="BTN41" s="1091"/>
      <c r="BTO41" s="1091"/>
      <c r="BTP41" s="1091"/>
      <c r="BTQ41" s="1091"/>
      <c r="BTR41" s="1091"/>
      <c r="BTS41" s="1091"/>
      <c r="BTT41" s="1091"/>
      <c r="BTU41" s="1091"/>
      <c r="BTV41" s="1091"/>
      <c r="BTW41" s="1091"/>
      <c r="BTX41" s="1091"/>
      <c r="BTY41" s="1091"/>
      <c r="BTZ41" s="1091"/>
      <c r="BUA41" s="1091"/>
      <c r="BUB41" s="1091"/>
      <c r="BUC41" s="1091"/>
      <c r="BUD41" s="1091"/>
      <c r="BUE41" s="1091"/>
      <c r="BUF41" s="1091"/>
      <c r="BUG41" s="1091"/>
      <c r="BUH41" s="1091"/>
      <c r="BUI41" s="1091"/>
      <c r="BUJ41" s="1091"/>
      <c r="BUK41" s="1091"/>
      <c r="BUL41" s="1091"/>
      <c r="BUM41" s="1091"/>
      <c r="BUN41" s="1091"/>
      <c r="BUO41" s="1091"/>
      <c r="BUP41" s="1091"/>
      <c r="BUQ41" s="1091"/>
      <c r="BUR41" s="1091"/>
      <c r="BUS41" s="1091"/>
      <c r="BUT41" s="1091"/>
      <c r="BUU41" s="1091"/>
      <c r="BUV41" s="1091"/>
      <c r="BUW41" s="1091"/>
      <c r="BUX41" s="1091"/>
      <c r="BUY41" s="1091"/>
      <c r="BUZ41" s="1091"/>
      <c r="BVA41" s="1091"/>
      <c r="BVB41" s="1091"/>
      <c r="BVC41" s="1091"/>
      <c r="BVD41" s="1091"/>
      <c r="BVE41" s="1091"/>
      <c r="BVF41" s="1091"/>
      <c r="BVG41" s="1091"/>
      <c r="BVH41" s="1091"/>
      <c r="BVI41" s="1091"/>
      <c r="BVJ41" s="1091"/>
      <c r="BVK41" s="1091"/>
      <c r="BVL41" s="1091"/>
      <c r="BVM41" s="1091"/>
      <c r="BVN41" s="1091"/>
      <c r="BVO41" s="1091"/>
      <c r="BVP41" s="1091"/>
      <c r="BVQ41" s="1091"/>
      <c r="BVR41" s="1091"/>
      <c r="BVS41" s="1091"/>
      <c r="BVT41" s="1091"/>
      <c r="BVU41" s="1091"/>
      <c r="BVV41" s="1091"/>
      <c r="BVW41" s="1091"/>
      <c r="BVX41" s="1091"/>
      <c r="BVY41" s="1091"/>
      <c r="BVZ41" s="1091"/>
      <c r="BWA41" s="1091"/>
      <c r="BWB41" s="1091"/>
      <c r="BWC41" s="1091"/>
      <c r="BWD41" s="1091"/>
      <c r="BWE41" s="1091"/>
      <c r="BWF41" s="1091"/>
      <c r="BWG41" s="1091"/>
      <c r="BWH41" s="1091"/>
      <c r="BWI41" s="1091"/>
      <c r="BWJ41" s="1091"/>
      <c r="BWK41" s="1091"/>
      <c r="BWL41" s="1091"/>
      <c r="BWM41" s="1091"/>
      <c r="BWN41" s="1091"/>
      <c r="BWO41" s="1091"/>
      <c r="BWP41" s="1091"/>
      <c r="BWQ41" s="1091"/>
      <c r="BWR41" s="1091"/>
      <c r="BWS41" s="1091"/>
      <c r="BWT41" s="1091"/>
      <c r="BWU41" s="1091"/>
      <c r="BWV41" s="1091"/>
      <c r="BWW41" s="1091"/>
      <c r="BWX41" s="1091"/>
      <c r="BWY41" s="1091"/>
      <c r="BWZ41" s="1091"/>
      <c r="BXA41" s="1091"/>
      <c r="BXB41" s="1091"/>
      <c r="BXC41" s="1091"/>
      <c r="BXD41" s="1091"/>
      <c r="BXE41" s="1091"/>
      <c r="BXF41" s="1091"/>
      <c r="BXG41" s="1091"/>
      <c r="BXH41" s="1091"/>
      <c r="BXI41" s="1091"/>
      <c r="BXJ41" s="1091"/>
      <c r="BXK41" s="1091"/>
      <c r="BXL41" s="1091"/>
      <c r="BXM41" s="1091"/>
      <c r="BXN41" s="1091"/>
      <c r="BXO41" s="1091"/>
      <c r="BXP41" s="1091"/>
      <c r="BXQ41" s="1091"/>
      <c r="BXR41" s="1091"/>
      <c r="BXS41" s="1091"/>
      <c r="BXT41" s="1091"/>
      <c r="BXU41" s="1091"/>
      <c r="BXV41" s="1091"/>
      <c r="BXW41" s="1091"/>
      <c r="BXX41" s="1091"/>
      <c r="BXY41" s="1091"/>
      <c r="BXZ41" s="1091"/>
      <c r="BYA41" s="1091"/>
      <c r="BYB41" s="1091"/>
      <c r="BYC41" s="1091"/>
      <c r="BYD41" s="1091"/>
      <c r="BYE41" s="1091"/>
      <c r="BYF41" s="1091"/>
      <c r="BYG41" s="1091"/>
      <c r="BYH41" s="1091"/>
      <c r="BYI41" s="1091"/>
      <c r="BYJ41" s="1091"/>
      <c r="BYK41" s="1091"/>
      <c r="BYL41" s="1091"/>
      <c r="BYM41" s="1091"/>
      <c r="BYN41" s="1091"/>
      <c r="BYO41" s="1091"/>
      <c r="BYP41" s="1091"/>
      <c r="BYQ41" s="1091"/>
      <c r="BYR41" s="1091"/>
      <c r="BYS41" s="1091"/>
      <c r="BYT41" s="1091"/>
      <c r="BYU41" s="1091"/>
      <c r="BYV41" s="1091"/>
      <c r="BYW41" s="1091"/>
      <c r="BYX41" s="1091"/>
      <c r="BYY41" s="1091"/>
      <c r="BYZ41" s="1091"/>
      <c r="BZA41" s="1091"/>
      <c r="BZB41" s="1091"/>
      <c r="BZC41" s="1091"/>
      <c r="BZD41" s="1091"/>
      <c r="BZE41" s="1091"/>
      <c r="BZF41" s="1091"/>
      <c r="BZG41" s="1091"/>
      <c r="BZH41" s="1091"/>
      <c r="BZI41" s="1091"/>
      <c r="BZJ41" s="1091"/>
      <c r="BZK41" s="1091"/>
      <c r="BZL41" s="1091"/>
      <c r="BZM41" s="1091"/>
      <c r="BZN41" s="1091"/>
      <c r="BZO41" s="1091"/>
      <c r="BZP41" s="1091"/>
      <c r="BZQ41" s="1091"/>
      <c r="BZR41" s="1091"/>
      <c r="BZS41" s="1091"/>
      <c r="BZT41" s="1091"/>
      <c r="BZU41" s="1091"/>
      <c r="BZV41" s="1091"/>
      <c r="BZW41" s="1091"/>
      <c r="BZX41" s="1091"/>
      <c r="BZY41" s="1091"/>
      <c r="BZZ41" s="1091"/>
      <c r="CAA41" s="1091"/>
      <c r="CAB41" s="1091"/>
      <c r="CAC41" s="1091"/>
      <c r="CAD41" s="1091"/>
      <c r="CAE41" s="1091"/>
      <c r="CAF41" s="1091"/>
      <c r="CAG41" s="1091"/>
      <c r="CAH41" s="1091"/>
      <c r="CAI41" s="1091"/>
      <c r="CAJ41" s="1091"/>
      <c r="CAK41" s="1091"/>
      <c r="CAL41" s="1091"/>
      <c r="CAM41" s="1091"/>
      <c r="CAN41" s="1091"/>
      <c r="CAO41" s="1091"/>
      <c r="CAP41" s="1091"/>
      <c r="CAQ41" s="1091"/>
      <c r="CAR41" s="1091"/>
      <c r="CAS41" s="1091"/>
      <c r="CAT41" s="1091"/>
      <c r="CAU41" s="1091"/>
      <c r="CAV41" s="1091"/>
      <c r="CAW41" s="1091"/>
      <c r="CAX41" s="1091"/>
      <c r="CAY41" s="1091"/>
      <c r="CAZ41" s="1091"/>
      <c r="CBA41" s="1091"/>
      <c r="CBB41" s="1091"/>
      <c r="CBC41" s="1091"/>
      <c r="CBD41" s="1091"/>
      <c r="CBE41" s="1091"/>
      <c r="CBF41" s="1091"/>
      <c r="CBG41" s="1091"/>
      <c r="CBH41" s="1091"/>
      <c r="CBI41" s="1091"/>
      <c r="CBJ41" s="1091"/>
      <c r="CBK41" s="1091"/>
      <c r="CBL41" s="1091"/>
      <c r="CBM41" s="1091"/>
      <c r="CBN41" s="1091"/>
      <c r="CBO41" s="1091"/>
      <c r="CBP41" s="1091"/>
      <c r="CBQ41" s="1091"/>
      <c r="CBR41" s="1091"/>
      <c r="CBS41" s="1091"/>
      <c r="CBT41" s="1091"/>
      <c r="CBU41" s="1091"/>
      <c r="CBV41" s="1091"/>
      <c r="CBW41" s="1091"/>
      <c r="CBX41" s="1091"/>
      <c r="CBY41" s="1091"/>
      <c r="CBZ41" s="1091"/>
      <c r="CCA41" s="1091"/>
      <c r="CCB41" s="1091"/>
      <c r="CCC41" s="1091"/>
      <c r="CCD41" s="1091"/>
      <c r="CCE41" s="1091"/>
      <c r="CCF41" s="1091"/>
      <c r="CCG41" s="1091"/>
      <c r="CCH41" s="1091"/>
      <c r="CCI41" s="1091"/>
      <c r="CCJ41" s="1091"/>
      <c r="CCK41" s="1091"/>
      <c r="CCL41" s="1091"/>
      <c r="CCM41" s="1091"/>
      <c r="CCN41" s="1091"/>
      <c r="CCO41" s="1091"/>
      <c r="CCP41" s="1091"/>
      <c r="CCQ41" s="1091"/>
      <c r="CCR41" s="1091"/>
      <c r="CCS41" s="1091"/>
      <c r="CCT41" s="1091"/>
      <c r="CCU41" s="1091"/>
      <c r="CCV41" s="1091"/>
      <c r="CCW41" s="1091"/>
      <c r="CCX41" s="1091"/>
      <c r="CCY41" s="1091"/>
      <c r="CCZ41" s="1091"/>
      <c r="CDA41" s="1091"/>
      <c r="CDB41" s="1091"/>
      <c r="CDC41" s="1091"/>
      <c r="CDD41" s="1091"/>
      <c r="CDE41" s="1091"/>
      <c r="CDF41" s="1091"/>
      <c r="CDG41" s="1091"/>
      <c r="CDH41" s="1091"/>
      <c r="CDI41" s="1091"/>
      <c r="CDJ41" s="1091"/>
      <c r="CDK41" s="1091"/>
      <c r="CDL41" s="1091"/>
      <c r="CDM41" s="1091"/>
      <c r="CDN41" s="1091"/>
      <c r="CDO41" s="1091"/>
      <c r="CDP41" s="1091"/>
      <c r="CDQ41" s="1091"/>
      <c r="CDR41" s="1091"/>
      <c r="CDS41" s="1091"/>
      <c r="CDT41" s="1091"/>
      <c r="CDU41" s="1091"/>
      <c r="CDV41" s="1091"/>
      <c r="CDW41" s="1091"/>
      <c r="CDX41" s="1091"/>
      <c r="CDY41" s="1091"/>
      <c r="CDZ41" s="1091"/>
      <c r="CEA41" s="1091"/>
      <c r="CEB41" s="1091"/>
      <c r="CEC41" s="1091"/>
      <c r="CED41" s="1091"/>
      <c r="CEE41" s="1091"/>
      <c r="CEF41" s="1091"/>
      <c r="CEG41" s="1091"/>
      <c r="CEH41" s="1091"/>
      <c r="CEI41" s="1091"/>
      <c r="CEJ41" s="1091"/>
      <c r="CEK41" s="1091"/>
      <c r="CEL41" s="1091"/>
      <c r="CEM41" s="1091"/>
      <c r="CEN41" s="1091"/>
      <c r="CEO41" s="1091"/>
      <c r="CEP41" s="1091"/>
      <c r="CEQ41" s="1091"/>
      <c r="CER41" s="1091"/>
      <c r="CES41" s="1091"/>
      <c r="CET41" s="1091"/>
      <c r="CEU41" s="1091"/>
      <c r="CEV41" s="1091"/>
      <c r="CEW41" s="1091"/>
      <c r="CEX41" s="1091"/>
      <c r="CEY41" s="1091"/>
      <c r="CEZ41" s="1091"/>
      <c r="CFA41" s="1091"/>
      <c r="CFB41" s="1091"/>
      <c r="CFC41" s="1091"/>
      <c r="CFD41" s="1091"/>
      <c r="CFE41" s="1091"/>
      <c r="CFF41" s="1091"/>
      <c r="CFG41" s="1091"/>
      <c r="CFH41" s="1091"/>
      <c r="CFI41" s="1091"/>
      <c r="CFJ41" s="1091"/>
      <c r="CFK41" s="1091"/>
      <c r="CFL41" s="1091"/>
      <c r="CFM41" s="1091"/>
      <c r="CFN41" s="1091"/>
      <c r="CFO41" s="1091"/>
      <c r="CFP41" s="1091"/>
      <c r="CFQ41" s="1091"/>
      <c r="CFR41" s="1091"/>
      <c r="CFS41" s="1091"/>
      <c r="CFT41" s="1091"/>
      <c r="CFU41" s="1091"/>
      <c r="CFV41" s="1091"/>
      <c r="CFW41" s="1091"/>
      <c r="CFX41" s="1091"/>
      <c r="CFY41" s="1091"/>
      <c r="CFZ41" s="1091"/>
      <c r="CGA41" s="1091"/>
      <c r="CGB41" s="1091"/>
      <c r="CGC41" s="1091"/>
      <c r="CGD41" s="1091"/>
      <c r="CGE41" s="1091"/>
      <c r="CGF41" s="1091"/>
      <c r="CGG41" s="1091"/>
      <c r="CGH41" s="1091"/>
      <c r="CGI41" s="1091"/>
      <c r="CGJ41" s="1091"/>
      <c r="CGK41" s="1091"/>
      <c r="CGL41" s="1091"/>
      <c r="CGM41" s="1091"/>
      <c r="CGN41" s="1091"/>
      <c r="CGO41" s="1091"/>
      <c r="CGP41" s="1091"/>
      <c r="CGQ41" s="1091"/>
      <c r="CGR41" s="1091"/>
      <c r="CGS41" s="1091"/>
      <c r="CGT41" s="1091"/>
      <c r="CGU41" s="1091"/>
      <c r="CGV41" s="1091"/>
      <c r="CGW41" s="1091"/>
      <c r="CGX41" s="1091"/>
      <c r="CGY41" s="1091"/>
      <c r="CGZ41" s="1091"/>
      <c r="CHA41" s="1091"/>
      <c r="CHB41" s="1091"/>
      <c r="CHC41" s="1091"/>
      <c r="CHD41" s="1091"/>
      <c r="CHE41" s="1091"/>
      <c r="CHF41" s="1091"/>
      <c r="CHG41" s="1091"/>
      <c r="CHH41" s="1091"/>
      <c r="CHI41" s="1091"/>
      <c r="CHJ41" s="1091"/>
      <c r="CHK41" s="1091"/>
      <c r="CHL41" s="1091"/>
      <c r="CHM41" s="1091"/>
      <c r="CHN41" s="1091"/>
      <c r="CHO41" s="1091"/>
      <c r="CHP41" s="1091"/>
      <c r="CHQ41" s="1091"/>
      <c r="CHR41" s="1091"/>
      <c r="CHS41" s="1091"/>
      <c r="CHT41" s="1091"/>
      <c r="CHU41" s="1091"/>
      <c r="CHV41" s="1091"/>
      <c r="CHW41" s="1091"/>
      <c r="CHX41" s="1091"/>
      <c r="CHY41" s="1091"/>
      <c r="CHZ41" s="1091"/>
      <c r="CIA41" s="1091"/>
      <c r="CIB41" s="1091"/>
      <c r="CIC41" s="1091"/>
      <c r="CID41" s="1091"/>
      <c r="CIE41" s="1091"/>
      <c r="CIF41" s="1091"/>
      <c r="CIG41" s="1091"/>
      <c r="CIH41" s="1091"/>
      <c r="CII41" s="1091"/>
      <c r="CIJ41" s="1091"/>
      <c r="CIK41" s="1091"/>
      <c r="CIL41" s="1091"/>
      <c r="CIM41" s="1091"/>
      <c r="CIN41" s="1091"/>
      <c r="CIO41" s="1091"/>
      <c r="CIP41" s="1091"/>
      <c r="CIQ41" s="1091"/>
      <c r="CIR41" s="1091"/>
      <c r="CIS41" s="1091"/>
      <c r="CIT41" s="1091"/>
      <c r="CIU41" s="1091"/>
      <c r="CIV41" s="1091"/>
      <c r="CIW41" s="1091"/>
      <c r="CIX41" s="1091"/>
      <c r="CIY41" s="1091"/>
      <c r="CIZ41" s="1091"/>
      <c r="CJA41" s="1091"/>
      <c r="CJB41" s="1091"/>
      <c r="CJC41" s="1091"/>
      <c r="CJD41" s="1091"/>
      <c r="CJE41" s="1091"/>
      <c r="CJF41" s="1091"/>
      <c r="CJG41" s="1091"/>
      <c r="CJH41" s="1091"/>
      <c r="CJI41" s="1091"/>
      <c r="CJJ41" s="1091"/>
      <c r="CJK41" s="1091"/>
      <c r="CJL41" s="1091"/>
      <c r="CJM41" s="1091"/>
      <c r="CJN41" s="1091"/>
      <c r="CJO41" s="1091"/>
      <c r="CJP41" s="1091"/>
      <c r="CJQ41" s="1091"/>
      <c r="CJR41" s="1091"/>
      <c r="CJS41" s="1091"/>
      <c r="CJT41" s="1091"/>
      <c r="CJU41" s="1091"/>
      <c r="CJV41" s="1091"/>
      <c r="CJW41" s="1091"/>
      <c r="CJX41" s="1091"/>
      <c r="CJY41" s="1091"/>
      <c r="CJZ41" s="1091"/>
      <c r="CKA41" s="1091"/>
      <c r="CKB41" s="1091"/>
      <c r="CKC41" s="1091"/>
      <c r="CKD41" s="1091"/>
      <c r="CKE41" s="1091"/>
      <c r="CKF41" s="1091"/>
      <c r="CKG41" s="1091"/>
      <c r="CKH41" s="1091"/>
      <c r="CKI41" s="1091"/>
      <c r="CKJ41" s="1091"/>
      <c r="CKK41" s="1091"/>
      <c r="CKL41" s="1091"/>
      <c r="CKM41" s="1091"/>
      <c r="CKN41" s="1091"/>
      <c r="CKO41" s="1091"/>
      <c r="CKP41" s="1091"/>
      <c r="CKQ41" s="1091"/>
      <c r="CKR41" s="1091"/>
      <c r="CKS41" s="1091"/>
      <c r="CKT41" s="1091"/>
      <c r="CKU41" s="1091"/>
      <c r="CKV41" s="1091"/>
      <c r="CKW41" s="1091"/>
      <c r="CKX41" s="1091"/>
      <c r="CKY41" s="1091"/>
      <c r="CKZ41" s="1091"/>
      <c r="CLA41" s="1091"/>
      <c r="CLB41" s="1091"/>
      <c r="CLC41" s="1091"/>
      <c r="CLD41" s="1091"/>
      <c r="CLE41" s="1091"/>
      <c r="CLF41" s="1091"/>
      <c r="CLG41" s="1091"/>
      <c r="CLH41" s="1091"/>
      <c r="CLI41" s="1091"/>
      <c r="CLJ41" s="1091"/>
      <c r="CLK41" s="1091"/>
      <c r="CLL41" s="1091"/>
      <c r="CLM41" s="1091"/>
      <c r="CLN41" s="1091"/>
      <c r="CLO41" s="1091"/>
      <c r="CLP41" s="1091"/>
      <c r="CLQ41" s="1091"/>
      <c r="CLR41" s="1091"/>
      <c r="CLS41" s="1091"/>
      <c r="CLT41" s="1091"/>
      <c r="CLU41" s="1091"/>
      <c r="CLV41" s="1091"/>
      <c r="CLW41" s="1091"/>
      <c r="CLX41" s="1091"/>
      <c r="CLY41" s="1091"/>
      <c r="CLZ41" s="1091"/>
      <c r="CMA41" s="1091"/>
      <c r="CMB41" s="1091"/>
      <c r="CMC41" s="1091"/>
      <c r="CMD41" s="1091"/>
      <c r="CME41" s="1091"/>
      <c r="CMF41" s="1091"/>
      <c r="CMG41" s="1091"/>
      <c r="CMH41" s="1091"/>
      <c r="CMI41" s="1091"/>
      <c r="CMJ41" s="1091"/>
      <c r="CMK41" s="1091"/>
      <c r="CML41" s="1091"/>
      <c r="CMM41" s="1091"/>
      <c r="CMN41" s="1091"/>
      <c r="CMO41" s="1091"/>
      <c r="CMP41" s="1091"/>
      <c r="CMQ41" s="1091"/>
      <c r="CMR41" s="1091"/>
      <c r="CMS41" s="1091"/>
      <c r="CMT41" s="1091"/>
      <c r="CMU41" s="1091"/>
      <c r="CMV41" s="1091"/>
      <c r="CMW41" s="1091"/>
      <c r="CMX41" s="1091"/>
      <c r="CMY41" s="1091"/>
      <c r="CMZ41" s="1091"/>
      <c r="CNA41" s="1091"/>
      <c r="CNB41" s="1091"/>
      <c r="CNC41" s="1091"/>
      <c r="CND41" s="1091"/>
      <c r="CNE41" s="1091"/>
      <c r="CNF41" s="1091"/>
      <c r="CNG41" s="1091"/>
      <c r="CNH41" s="1091"/>
      <c r="CNI41" s="1091"/>
      <c r="CNJ41" s="1091"/>
      <c r="CNK41" s="1091"/>
      <c r="CNL41" s="1091"/>
      <c r="CNM41" s="1091"/>
      <c r="CNN41" s="1091"/>
      <c r="CNO41" s="1091"/>
      <c r="CNP41" s="1091"/>
      <c r="CNQ41" s="1091"/>
      <c r="CNR41" s="1091"/>
      <c r="CNS41" s="1091"/>
      <c r="CNT41" s="1091"/>
      <c r="CNU41" s="1091"/>
      <c r="CNV41" s="1091"/>
      <c r="CNW41" s="1091"/>
      <c r="CNX41" s="1091"/>
      <c r="CNY41" s="1091"/>
      <c r="CNZ41" s="1091"/>
      <c r="COA41" s="1091"/>
      <c r="COB41" s="1091"/>
      <c r="COC41" s="1091"/>
      <c r="COD41" s="1091"/>
      <c r="COE41" s="1091"/>
      <c r="COF41" s="1091"/>
      <c r="COG41" s="1091"/>
      <c r="COH41" s="1091"/>
      <c r="COI41" s="1091"/>
      <c r="COJ41" s="1091"/>
      <c r="COK41" s="1091"/>
      <c r="COL41" s="1091"/>
      <c r="COM41" s="1091"/>
      <c r="CON41" s="1091"/>
      <c r="COO41" s="1091"/>
      <c r="COP41" s="1091"/>
      <c r="COQ41" s="1091"/>
      <c r="COR41" s="1091"/>
      <c r="COS41" s="1091"/>
      <c r="COT41" s="1091"/>
      <c r="COU41" s="1091"/>
      <c r="COV41" s="1091"/>
      <c r="COW41" s="1091"/>
      <c r="COX41" s="1091"/>
      <c r="COY41" s="1091"/>
      <c r="COZ41" s="1091"/>
      <c r="CPA41" s="1091"/>
      <c r="CPB41" s="1091"/>
      <c r="CPC41" s="1091"/>
      <c r="CPD41" s="1091"/>
      <c r="CPE41" s="1091"/>
      <c r="CPF41" s="1091"/>
      <c r="CPG41" s="1091"/>
      <c r="CPH41" s="1091"/>
      <c r="CPI41" s="1091"/>
      <c r="CPJ41" s="1091"/>
      <c r="CPK41" s="1091"/>
      <c r="CPL41" s="1091"/>
      <c r="CPM41" s="1091"/>
      <c r="CPN41" s="1091"/>
      <c r="CPO41" s="1091"/>
      <c r="CPP41" s="1091"/>
      <c r="CPQ41" s="1091"/>
      <c r="CPR41" s="1091"/>
      <c r="CPS41" s="1091"/>
      <c r="CPT41" s="1091"/>
      <c r="CPU41" s="1091"/>
      <c r="CPV41" s="1091"/>
      <c r="CPW41" s="1091"/>
      <c r="CPX41" s="1091"/>
      <c r="CPY41" s="1091"/>
      <c r="CPZ41" s="1091"/>
      <c r="CQA41" s="1091"/>
      <c r="CQB41" s="1091"/>
      <c r="CQC41" s="1091"/>
      <c r="CQD41" s="1091"/>
      <c r="CQE41" s="1091"/>
      <c r="CQF41" s="1091"/>
      <c r="CQG41" s="1091"/>
      <c r="CQH41" s="1091"/>
      <c r="CQI41" s="1091"/>
      <c r="CQJ41" s="1091"/>
      <c r="CQK41" s="1091"/>
      <c r="CQL41" s="1091"/>
      <c r="CQM41" s="1091"/>
      <c r="CQN41" s="1091"/>
      <c r="CQO41" s="1091"/>
      <c r="CQP41" s="1091"/>
      <c r="CQQ41" s="1091"/>
      <c r="CQR41" s="1091"/>
      <c r="CQS41" s="1091"/>
      <c r="CQT41" s="1091"/>
      <c r="CQU41" s="1091"/>
      <c r="CQV41" s="1091"/>
      <c r="CQW41" s="1091"/>
      <c r="CQX41" s="1091"/>
      <c r="CQY41" s="1091"/>
      <c r="CQZ41" s="1091"/>
      <c r="CRA41" s="1091"/>
      <c r="CRB41" s="1091"/>
      <c r="CRC41" s="1091"/>
      <c r="CRD41" s="1091"/>
      <c r="CRE41" s="1091"/>
      <c r="CRF41" s="1091"/>
      <c r="CRG41" s="1091"/>
      <c r="CRH41" s="1091"/>
      <c r="CRI41" s="1091"/>
      <c r="CRJ41" s="1091"/>
      <c r="CRK41" s="1091"/>
      <c r="CRL41" s="1091"/>
      <c r="CRM41" s="1091"/>
      <c r="CRN41" s="1091"/>
      <c r="CRO41" s="1091"/>
      <c r="CRP41" s="1091"/>
      <c r="CRQ41" s="1091"/>
      <c r="CRR41" s="1091"/>
      <c r="CRS41" s="1091"/>
      <c r="CRT41" s="1091"/>
      <c r="CRU41" s="1091"/>
      <c r="CRV41" s="1091"/>
      <c r="CRW41" s="1091"/>
      <c r="CRX41" s="1091"/>
      <c r="CRY41" s="1091"/>
      <c r="CRZ41" s="1091"/>
      <c r="CSA41" s="1091"/>
      <c r="CSB41" s="1091"/>
      <c r="CSC41" s="1091"/>
      <c r="CSD41" s="1091"/>
      <c r="CSE41" s="1091"/>
      <c r="CSF41" s="1091"/>
      <c r="CSG41" s="1091"/>
      <c r="CSH41" s="1091"/>
      <c r="CSI41" s="1091"/>
      <c r="CSJ41" s="1091"/>
      <c r="CSK41" s="1091"/>
      <c r="CSL41" s="1091"/>
      <c r="CSM41" s="1091"/>
      <c r="CSN41" s="1091"/>
      <c r="CSO41" s="1091"/>
      <c r="CSP41" s="1091"/>
      <c r="CSQ41" s="1091"/>
      <c r="CSR41" s="1091"/>
      <c r="CSS41" s="1091"/>
      <c r="CST41" s="1091"/>
      <c r="CSU41" s="1091"/>
      <c r="CSV41" s="1091"/>
      <c r="CSW41" s="1091"/>
      <c r="CSX41" s="1091"/>
      <c r="CSY41" s="1091"/>
      <c r="CSZ41" s="1091"/>
      <c r="CTA41" s="1091"/>
      <c r="CTB41" s="1091"/>
      <c r="CTC41" s="1091"/>
      <c r="CTD41" s="1091"/>
      <c r="CTE41" s="1091"/>
      <c r="CTF41" s="1091"/>
      <c r="CTG41" s="1091"/>
      <c r="CTH41" s="1091"/>
      <c r="CTI41" s="1091"/>
      <c r="CTJ41" s="1091"/>
      <c r="CTK41" s="1091"/>
      <c r="CTL41" s="1091"/>
      <c r="CTM41" s="1091"/>
      <c r="CTN41" s="1091"/>
      <c r="CTO41" s="1091"/>
      <c r="CTP41" s="1091"/>
      <c r="CTQ41" s="1091"/>
      <c r="CTR41" s="1091"/>
      <c r="CTS41" s="1091"/>
      <c r="CTT41" s="1091"/>
      <c r="CTU41" s="1091"/>
      <c r="CTV41" s="1091"/>
      <c r="CTW41" s="1091"/>
      <c r="CTX41" s="1091"/>
      <c r="CTY41" s="1091"/>
      <c r="CTZ41" s="1091"/>
      <c r="CUA41" s="1091"/>
      <c r="CUB41" s="1091"/>
      <c r="CUC41" s="1091"/>
      <c r="CUD41" s="1091"/>
      <c r="CUE41" s="1091"/>
      <c r="CUF41" s="1091"/>
      <c r="CUG41" s="1091"/>
      <c r="CUH41" s="1091"/>
      <c r="CUI41" s="1091"/>
      <c r="CUJ41" s="1091"/>
      <c r="CUK41" s="1091"/>
      <c r="CUL41" s="1091"/>
      <c r="CUM41" s="1091"/>
      <c r="CUN41" s="1091"/>
      <c r="CUO41" s="1091"/>
      <c r="CUP41" s="1091"/>
      <c r="CUQ41" s="1091"/>
      <c r="CUR41" s="1091"/>
      <c r="CUS41" s="1091"/>
      <c r="CUT41" s="1091"/>
      <c r="CUU41" s="1091"/>
      <c r="CUV41" s="1091"/>
      <c r="CUW41" s="1091"/>
      <c r="CUX41" s="1091"/>
      <c r="CUY41" s="1091"/>
      <c r="CUZ41" s="1091"/>
      <c r="CVA41" s="1091"/>
      <c r="CVB41" s="1091"/>
      <c r="CVC41" s="1091"/>
      <c r="CVD41" s="1091"/>
      <c r="CVE41" s="1091"/>
      <c r="CVF41" s="1091"/>
      <c r="CVG41" s="1091"/>
      <c r="CVH41" s="1091"/>
      <c r="CVI41" s="1091"/>
      <c r="CVJ41" s="1091"/>
      <c r="CVK41" s="1091"/>
      <c r="CVL41" s="1091"/>
      <c r="CVM41" s="1091"/>
      <c r="CVN41" s="1091"/>
      <c r="CVO41" s="1091"/>
      <c r="CVP41" s="1091"/>
      <c r="CVQ41" s="1091"/>
      <c r="CVR41" s="1091"/>
      <c r="CVS41" s="1091"/>
      <c r="CVT41" s="1091"/>
      <c r="CVU41" s="1091"/>
      <c r="CVV41" s="1091"/>
      <c r="CVW41" s="1091"/>
      <c r="CVX41" s="1091"/>
      <c r="CVY41" s="1091"/>
      <c r="CVZ41" s="1091"/>
      <c r="CWA41" s="1091"/>
      <c r="CWB41" s="1091"/>
      <c r="CWC41" s="1091"/>
      <c r="CWD41" s="1091"/>
      <c r="CWE41" s="1091"/>
      <c r="CWF41" s="1091"/>
      <c r="CWG41" s="1091"/>
      <c r="CWH41" s="1091"/>
      <c r="CWI41" s="1091"/>
      <c r="CWJ41" s="1091"/>
      <c r="CWK41" s="1091"/>
      <c r="CWL41" s="1091"/>
      <c r="CWM41" s="1091"/>
      <c r="CWN41" s="1091"/>
      <c r="CWO41" s="1091"/>
      <c r="CWP41" s="1091"/>
      <c r="CWQ41" s="1091"/>
      <c r="CWR41" s="1091"/>
      <c r="CWS41" s="1091"/>
      <c r="CWT41" s="1091"/>
      <c r="CWU41" s="1091"/>
      <c r="CWV41" s="1091"/>
      <c r="CWW41" s="1091"/>
      <c r="CWX41" s="1091"/>
      <c r="CWY41" s="1091"/>
      <c r="CWZ41" s="1091"/>
      <c r="CXA41" s="1091"/>
      <c r="CXB41" s="1091"/>
      <c r="CXC41" s="1091"/>
      <c r="CXD41" s="1091"/>
      <c r="CXE41" s="1091"/>
      <c r="CXF41" s="1091"/>
      <c r="CXG41" s="1091"/>
      <c r="CXH41" s="1091"/>
      <c r="CXI41" s="1091"/>
      <c r="CXJ41" s="1091"/>
      <c r="CXK41" s="1091"/>
      <c r="CXL41" s="1091"/>
      <c r="CXM41" s="1091"/>
      <c r="CXN41" s="1091"/>
      <c r="CXO41" s="1091"/>
      <c r="CXP41" s="1091"/>
      <c r="CXQ41" s="1091"/>
      <c r="CXR41" s="1091"/>
      <c r="CXS41" s="1091"/>
      <c r="CXT41" s="1091"/>
      <c r="CXU41" s="1091"/>
      <c r="CXV41" s="1091"/>
      <c r="CXW41" s="1091"/>
      <c r="CXX41" s="1091"/>
      <c r="CXY41" s="1091"/>
      <c r="CXZ41" s="1091"/>
      <c r="CYA41" s="1091"/>
      <c r="CYB41" s="1091"/>
      <c r="CYC41" s="1091"/>
      <c r="CYD41" s="1091"/>
      <c r="CYE41" s="1091"/>
      <c r="CYF41" s="1091"/>
      <c r="CYG41" s="1091"/>
      <c r="CYH41" s="1091"/>
      <c r="CYI41" s="1091"/>
      <c r="CYJ41" s="1091"/>
      <c r="CYK41" s="1091"/>
      <c r="CYL41" s="1091"/>
      <c r="CYM41" s="1091"/>
      <c r="CYN41" s="1091"/>
      <c r="CYO41" s="1091"/>
      <c r="CYP41" s="1091"/>
      <c r="CYQ41" s="1091"/>
      <c r="CYR41" s="1091"/>
      <c r="CYS41" s="1091"/>
      <c r="CYT41" s="1091"/>
      <c r="CYU41" s="1091"/>
      <c r="CYV41" s="1091"/>
      <c r="CYW41" s="1091"/>
      <c r="CYX41" s="1091"/>
      <c r="CYY41" s="1091"/>
      <c r="CYZ41" s="1091"/>
      <c r="CZA41" s="1091"/>
      <c r="CZB41" s="1091"/>
      <c r="CZC41" s="1091"/>
      <c r="CZD41" s="1091"/>
      <c r="CZE41" s="1091"/>
      <c r="CZF41" s="1091"/>
      <c r="CZG41" s="1091"/>
      <c r="CZH41" s="1091"/>
      <c r="CZI41" s="1091"/>
      <c r="CZJ41" s="1091"/>
      <c r="CZK41" s="1091"/>
      <c r="CZL41" s="1091"/>
      <c r="CZM41" s="1091"/>
      <c r="CZN41" s="1091"/>
      <c r="CZO41" s="1091"/>
      <c r="CZP41" s="1091"/>
      <c r="CZQ41" s="1091"/>
      <c r="CZR41" s="1091"/>
      <c r="CZS41" s="1091"/>
      <c r="CZT41" s="1091"/>
      <c r="CZU41" s="1091"/>
      <c r="CZV41" s="1091"/>
      <c r="CZW41" s="1091"/>
      <c r="CZX41" s="1091"/>
      <c r="CZY41" s="1091"/>
      <c r="CZZ41" s="1091"/>
      <c r="DAA41" s="1091"/>
      <c r="DAB41" s="1091"/>
      <c r="DAC41" s="1091"/>
      <c r="DAD41" s="1091"/>
      <c r="DAE41" s="1091"/>
      <c r="DAF41" s="1091"/>
      <c r="DAG41" s="1091"/>
      <c r="DAH41" s="1091"/>
      <c r="DAI41" s="1091"/>
      <c r="DAJ41" s="1091"/>
      <c r="DAK41" s="1091"/>
      <c r="DAL41" s="1091"/>
      <c r="DAM41" s="1091"/>
      <c r="DAN41" s="1091"/>
      <c r="DAO41" s="1091"/>
      <c r="DAP41" s="1091"/>
      <c r="DAQ41" s="1091"/>
      <c r="DAR41" s="1091"/>
      <c r="DAS41" s="1091"/>
      <c r="DAT41" s="1091"/>
      <c r="DAU41" s="1091"/>
      <c r="DAV41" s="1091"/>
      <c r="DAW41" s="1091"/>
      <c r="DAX41" s="1091"/>
      <c r="DAY41" s="1091"/>
      <c r="DAZ41" s="1091"/>
      <c r="DBA41" s="1091"/>
      <c r="DBB41" s="1091"/>
      <c r="DBC41" s="1091"/>
      <c r="DBD41" s="1091"/>
      <c r="DBE41" s="1091"/>
      <c r="DBF41" s="1091"/>
      <c r="DBG41" s="1091"/>
      <c r="DBH41" s="1091"/>
      <c r="DBI41" s="1091"/>
      <c r="DBJ41" s="1091"/>
      <c r="DBK41" s="1091"/>
      <c r="DBL41" s="1091"/>
      <c r="DBM41" s="1091"/>
      <c r="DBN41" s="1091"/>
      <c r="DBO41" s="1091"/>
      <c r="DBP41" s="1091"/>
      <c r="DBQ41" s="1091"/>
      <c r="DBR41" s="1091"/>
      <c r="DBS41" s="1091"/>
      <c r="DBT41" s="1091"/>
      <c r="DBU41" s="1091"/>
      <c r="DBV41" s="1091"/>
      <c r="DBW41" s="1091"/>
      <c r="DBX41" s="1091"/>
      <c r="DBY41" s="1091"/>
      <c r="DBZ41" s="1091"/>
      <c r="DCA41" s="1091"/>
      <c r="DCB41" s="1091"/>
      <c r="DCC41" s="1091"/>
      <c r="DCD41" s="1091"/>
      <c r="DCE41" s="1091"/>
      <c r="DCF41" s="1091"/>
      <c r="DCG41" s="1091"/>
      <c r="DCH41" s="1091"/>
      <c r="DCI41" s="1091"/>
      <c r="DCJ41" s="1091"/>
      <c r="DCK41" s="1091"/>
      <c r="DCL41" s="1091"/>
      <c r="DCM41" s="1091"/>
      <c r="DCN41" s="1091"/>
      <c r="DCO41" s="1091"/>
      <c r="DCP41" s="1091"/>
      <c r="DCQ41" s="1091"/>
      <c r="DCR41" s="1091"/>
      <c r="DCS41" s="1091"/>
      <c r="DCT41" s="1091"/>
      <c r="DCU41" s="1091"/>
      <c r="DCV41" s="1091"/>
      <c r="DCW41" s="1091"/>
      <c r="DCX41" s="1091"/>
      <c r="DCY41" s="1091"/>
      <c r="DCZ41" s="1091"/>
      <c r="DDA41" s="1091"/>
      <c r="DDB41" s="1091"/>
      <c r="DDC41" s="1091"/>
      <c r="DDD41" s="1091"/>
      <c r="DDE41" s="1091"/>
      <c r="DDF41" s="1091"/>
      <c r="DDG41" s="1091"/>
      <c r="DDH41" s="1091"/>
      <c r="DDI41" s="1091"/>
      <c r="DDJ41" s="1091"/>
      <c r="DDK41" s="1091"/>
      <c r="DDL41" s="1091"/>
      <c r="DDM41" s="1091"/>
      <c r="DDN41" s="1091"/>
      <c r="DDO41" s="1091"/>
      <c r="DDP41" s="1091"/>
      <c r="DDQ41" s="1091"/>
      <c r="DDR41" s="1091"/>
      <c r="DDS41" s="1091"/>
      <c r="DDT41" s="1091"/>
      <c r="DDU41" s="1091"/>
      <c r="DDV41" s="1091"/>
      <c r="DDW41" s="1091"/>
      <c r="DDX41" s="1091"/>
      <c r="DDY41" s="1091"/>
      <c r="DDZ41" s="1091"/>
      <c r="DEA41" s="1091"/>
      <c r="DEB41" s="1091"/>
      <c r="DEC41" s="1091"/>
      <c r="DED41" s="1091"/>
      <c r="DEE41" s="1091"/>
      <c r="DEF41" s="1091"/>
      <c r="DEG41" s="1091"/>
      <c r="DEH41" s="1091"/>
      <c r="DEI41" s="1091"/>
      <c r="DEJ41" s="1091"/>
      <c r="DEK41" s="1091"/>
      <c r="DEL41" s="1091"/>
      <c r="DEM41" s="1091"/>
      <c r="DEN41" s="1091"/>
      <c r="DEO41" s="1091"/>
      <c r="DEP41" s="1091"/>
      <c r="DEQ41" s="1091"/>
      <c r="DER41" s="1091"/>
      <c r="DES41" s="1091"/>
      <c r="DET41" s="1091"/>
      <c r="DEU41" s="1091"/>
      <c r="DEV41" s="1091"/>
      <c r="DEW41" s="1091"/>
      <c r="DEX41" s="1091"/>
      <c r="DEY41" s="1091"/>
      <c r="DEZ41" s="1091"/>
      <c r="DFA41" s="1091"/>
      <c r="DFB41" s="1091"/>
      <c r="DFC41" s="1091"/>
      <c r="DFD41" s="1091"/>
      <c r="DFE41" s="1091"/>
      <c r="DFF41" s="1091"/>
      <c r="DFG41" s="1091"/>
      <c r="DFH41" s="1091"/>
      <c r="DFI41" s="1091"/>
      <c r="DFJ41" s="1091"/>
      <c r="DFK41" s="1091"/>
      <c r="DFL41" s="1091"/>
      <c r="DFM41" s="1091"/>
      <c r="DFN41" s="1091"/>
      <c r="DFO41" s="1091"/>
      <c r="DFP41" s="1091"/>
      <c r="DFQ41" s="1091"/>
      <c r="DFR41" s="1091"/>
      <c r="DFS41" s="1091"/>
      <c r="DFT41" s="1091"/>
      <c r="DFU41" s="1091"/>
      <c r="DFV41" s="1091"/>
      <c r="DFW41" s="1091"/>
      <c r="DFX41" s="1091"/>
      <c r="DFY41" s="1091"/>
      <c r="DFZ41" s="1091"/>
      <c r="DGA41" s="1091"/>
      <c r="DGB41" s="1091"/>
      <c r="DGC41" s="1091"/>
      <c r="DGD41" s="1091"/>
      <c r="DGE41" s="1091"/>
      <c r="DGF41" s="1091"/>
      <c r="DGG41" s="1091"/>
      <c r="DGH41" s="1091"/>
      <c r="DGI41" s="1091"/>
      <c r="DGJ41" s="1091"/>
      <c r="DGK41" s="1091"/>
      <c r="DGL41" s="1091"/>
      <c r="DGM41" s="1091"/>
      <c r="DGN41" s="1091"/>
      <c r="DGO41" s="1091"/>
      <c r="DGP41" s="1091"/>
      <c r="DGQ41" s="1091"/>
      <c r="DGR41" s="1091"/>
      <c r="DGS41" s="1091"/>
      <c r="DGT41" s="1091"/>
      <c r="DGU41" s="1091"/>
      <c r="DGV41" s="1091"/>
      <c r="DGW41" s="1091"/>
      <c r="DGX41" s="1091"/>
      <c r="DGY41" s="1091"/>
      <c r="DGZ41" s="1091"/>
      <c r="DHA41" s="1091"/>
      <c r="DHB41" s="1091"/>
      <c r="DHC41" s="1091"/>
      <c r="DHD41" s="1091"/>
      <c r="DHE41" s="1091"/>
      <c r="DHF41" s="1091"/>
      <c r="DHG41" s="1091"/>
      <c r="DHH41" s="1091"/>
      <c r="DHI41" s="1091"/>
      <c r="DHJ41" s="1091"/>
      <c r="DHK41" s="1091"/>
      <c r="DHL41" s="1091"/>
      <c r="DHM41" s="1091"/>
      <c r="DHN41" s="1091"/>
      <c r="DHO41" s="1091"/>
      <c r="DHP41" s="1091"/>
      <c r="DHQ41" s="1091"/>
      <c r="DHR41" s="1091"/>
      <c r="DHS41" s="1091"/>
      <c r="DHT41" s="1091"/>
      <c r="DHU41" s="1091"/>
      <c r="DHV41" s="1091"/>
      <c r="DHW41" s="1091"/>
      <c r="DHX41" s="1091"/>
      <c r="DHY41" s="1091"/>
      <c r="DHZ41" s="1091"/>
      <c r="DIA41" s="1091"/>
      <c r="DIB41" s="1091"/>
      <c r="DIC41" s="1091"/>
      <c r="DID41" s="1091"/>
      <c r="DIE41" s="1091"/>
      <c r="DIF41" s="1091"/>
      <c r="DIG41" s="1091"/>
      <c r="DIH41" s="1091"/>
      <c r="DII41" s="1091"/>
      <c r="DIJ41" s="1091"/>
      <c r="DIK41" s="1091"/>
      <c r="DIL41" s="1091"/>
      <c r="DIM41" s="1091"/>
      <c r="DIN41" s="1091"/>
      <c r="DIO41" s="1091"/>
      <c r="DIP41" s="1091"/>
      <c r="DIQ41" s="1091"/>
      <c r="DIR41" s="1091"/>
      <c r="DIS41" s="1091"/>
      <c r="DIT41" s="1091"/>
      <c r="DIU41" s="1091"/>
      <c r="DIV41" s="1091"/>
      <c r="DIW41" s="1091"/>
      <c r="DIX41" s="1091"/>
      <c r="DIY41" s="1091"/>
      <c r="DIZ41" s="1091"/>
      <c r="DJA41" s="1091"/>
      <c r="DJB41" s="1091"/>
      <c r="DJC41" s="1091"/>
      <c r="DJD41" s="1091"/>
      <c r="DJE41" s="1091"/>
      <c r="DJF41" s="1091"/>
      <c r="DJG41" s="1091"/>
      <c r="DJH41" s="1091"/>
      <c r="DJI41" s="1091"/>
      <c r="DJJ41" s="1091"/>
      <c r="DJK41" s="1091"/>
      <c r="DJL41" s="1091"/>
      <c r="DJM41" s="1091"/>
      <c r="DJN41" s="1091"/>
      <c r="DJO41" s="1091"/>
      <c r="DJP41" s="1091"/>
      <c r="DJQ41" s="1091"/>
      <c r="DJR41" s="1091"/>
      <c r="DJS41" s="1091"/>
      <c r="DJT41" s="1091"/>
      <c r="DJU41" s="1091"/>
      <c r="DJV41" s="1091"/>
      <c r="DJW41" s="1091"/>
      <c r="DJX41" s="1091"/>
      <c r="DJY41" s="1091"/>
      <c r="DJZ41" s="1091"/>
      <c r="DKA41" s="1091"/>
      <c r="DKB41" s="1091"/>
      <c r="DKC41" s="1091"/>
      <c r="DKD41" s="1091"/>
      <c r="DKE41" s="1091"/>
      <c r="DKF41" s="1091"/>
      <c r="DKG41" s="1091"/>
      <c r="DKH41" s="1091"/>
      <c r="DKI41" s="1091"/>
      <c r="DKJ41" s="1091"/>
      <c r="DKK41" s="1091"/>
      <c r="DKL41" s="1091"/>
      <c r="DKM41" s="1091"/>
      <c r="DKN41" s="1091"/>
      <c r="DKO41" s="1091"/>
      <c r="DKP41" s="1091"/>
      <c r="DKQ41" s="1091"/>
      <c r="DKR41" s="1091"/>
      <c r="DKS41" s="1091"/>
      <c r="DKT41" s="1091"/>
      <c r="DKU41" s="1091"/>
      <c r="DKV41" s="1091"/>
      <c r="DKW41" s="1091"/>
      <c r="DKX41" s="1091"/>
      <c r="DKY41" s="1091"/>
      <c r="DKZ41" s="1091"/>
      <c r="DLA41" s="1091"/>
      <c r="DLB41" s="1091"/>
      <c r="DLC41" s="1091"/>
      <c r="DLD41" s="1091"/>
      <c r="DLE41" s="1091"/>
      <c r="DLF41" s="1091"/>
      <c r="DLG41" s="1091"/>
      <c r="DLH41" s="1091"/>
      <c r="DLI41" s="1091"/>
      <c r="DLJ41" s="1091"/>
      <c r="DLK41" s="1091"/>
      <c r="DLL41" s="1091"/>
      <c r="DLM41" s="1091"/>
      <c r="DLN41" s="1091"/>
      <c r="DLO41" s="1091"/>
      <c r="DLP41" s="1091"/>
      <c r="DLQ41" s="1091"/>
      <c r="DLR41" s="1091"/>
      <c r="DLS41" s="1091"/>
      <c r="DLT41" s="1091"/>
      <c r="DLU41" s="1091"/>
      <c r="DLV41" s="1091"/>
      <c r="DLW41" s="1091"/>
      <c r="DLX41" s="1091"/>
      <c r="DLY41" s="1091"/>
      <c r="DLZ41" s="1091"/>
      <c r="DMA41" s="1091"/>
      <c r="DMB41" s="1091"/>
      <c r="DMC41" s="1091"/>
      <c r="DMD41" s="1091"/>
      <c r="DME41" s="1091"/>
      <c r="DMF41" s="1091"/>
      <c r="DMG41" s="1091"/>
      <c r="DMH41" s="1091"/>
      <c r="DMI41" s="1091"/>
      <c r="DMJ41" s="1091"/>
      <c r="DMK41" s="1091"/>
      <c r="DML41" s="1091"/>
      <c r="DMM41" s="1091"/>
      <c r="DMN41" s="1091"/>
      <c r="DMO41" s="1091"/>
      <c r="DMP41" s="1091"/>
      <c r="DMQ41" s="1091"/>
      <c r="DMR41" s="1091"/>
      <c r="DMS41" s="1091"/>
      <c r="DMT41" s="1091"/>
      <c r="DMU41" s="1091"/>
      <c r="DMV41" s="1091"/>
      <c r="DMW41" s="1091"/>
      <c r="DMX41" s="1091"/>
      <c r="DMY41" s="1091"/>
      <c r="DMZ41" s="1091"/>
      <c r="DNA41" s="1091"/>
      <c r="DNB41" s="1091"/>
      <c r="DNC41" s="1091"/>
      <c r="DND41" s="1091"/>
      <c r="DNE41" s="1091"/>
      <c r="DNF41" s="1091"/>
      <c r="DNG41" s="1091"/>
      <c r="DNH41" s="1091"/>
      <c r="DNI41" s="1091"/>
      <c r="DNJ41" s="1091"/>
      <c r="DNK41" s="1091"/>
      <c r="DNL41" s="1091"/>
      <c r="DNM41" s="1091"/>
      <c r="DNN41" s="1091"/>
      <c r="DNO41" s="1091"/>
      <c r="DNP41" s="1091"/>
      <c r="DNQ41" s="1091"/>
      <c r="DNR41" s="1091"/>
      <c r="DNS41" s="1091"/>
      <c r="DNT41" s="1091"/>
      <c r="DNU41" s="1091"/>
      <c r="DNV41" s="1091"/>
      <c r="DNW41" s="1091"/>
      <c r="DNX41" s="1091"/>
      <c r="DNY41" s="1091"/>
      <c r="DNZ41" s="1091"/>
      <c r="DOA41" s="1091"/>
      <c r="DOB41" s="1091"/>
      <c r="DOC41" s="1091"/>
      <c r="DOD41" s="1091"/>
      <c r="DOE41" s="1091"/>
      <c r="DOF41" s="1091"/>
      <c r="DOG41" s="1091"/>
      <c r="DOH41" s="1091"/>
      <c r="DOI41" s="1091"/>
      <c r="DOJ41" s="1091"/>
      <c r="DOK41" s="1091"/>
      <c r="DOL41" s="1091"/>
      <c r="DOM41" s="1091"/>
      <c r="DON41" s="1091"/>
      <c r="DOO41" s="1091"/>
      <c r="DOP41" s="1091"/>
      <c r="DOQ41" s="1091"/>
      <c r="DOR41" s="1091"/>
      <c r="DOS41" s="1091"/>
      <c r="DOT41" s="1091"/>
      <c r="DOU41" s="1091"/>
      <c r="DOV41" s="1091"/>
      <c r="DOW41" s="1091"/>
      <c r="DOX41" s="1091"/>
      <c r="DOY41" s="1091"/>
      <c r="DOZ41" s="1091"/>
      <c r="DPA41" s="1091"/>
      <c r="DPB41" s="1091"/>
      <c r="DPC41" s="1091"/>
      <c r="DPD41" s="1091"/>
      <c r="DPE41" s="1091"/>
      <c r="DPF41" s="1091"/>
      <c r="DPG41" s="1091"/>
      <c r="DPH41" s="1091"/>
      <c r="DPI41" s="1091"/>
      <c r="DPJ41" s="1091"/>
      <c r="DPK41" s="1091"/>
      <c r="DPL41" s="1091"/>
      <c r="DPM41" s="1091"/>
      <c r="DPN41" s="1091"/>
      <c r="DPO41" s="1091"/>
      <c r="DPP41" s="1091"/>
      <c r="DPQ41" s="1091"/>
      <c r="DPR41" s="1091"/>
      <c r="DPS41" s="1091"/>
      <c r="DPT41" s="1091"/>
      <c r="DPU41" s="1091"/>
      <c r="DPV41" s="1091"/>
      <c r="DPW41" s="1091"/>
      <c r="DPX41" s="1091"/>
      <c r="DPY41" s="1091"/>
      <c r="DPZ41" s="1091"/>
      <c r="DQA41" s="1091"/>
      <c r="DQB41" s="1091"/>
      <c r="DQC41" s="1091"/>
      <c r="DQD41" s="1091"/>
      <c r="DQE41" s="1091"/>
      <c r="DQF41" s="1091"/>
      <c r="DQG41" s="1091"/>
      <c r="DQH41" s="1091"/>
      <c r="DQI41" s="1091"/>
      <c r="DQJ41" s="1091"/>
      <c r="DQK41" s="1091"/>
      <c r="DQL41" s="1091"/>
      <c r="DQM41" s="1091"/>
      <c r="DQN41" s="1091"/>
      <c r="DQO41" s="1091"/>
      <c r="DQP41" s="1091"/>
      <c r="DQQ41" s="1091"/>
      <c r="DQR41" s="1091"/>
      <c r="DQS41" s="1091"/>
      <c r="DQT41" s="1091"/>
      <c r="DQU41" s="1091"/>
      <c r="DQV41" s="1091"/>
      <c r="DQW41" s="1091"/>
      <c r="DQX41" s="1091"/>
      <c r="DQY41" s="1091"/>
      <c r="DQZ41" s="1091"/>
      <c r="DRA41" s="1091"/>
      <c r="DRB41" s="1091"/>
      <c r="DRC41" s="1091"/>
      <c r="DRD41" s="1091"/>
      <c r="DRE41" s="1091"/>
      <c r="DRF41" s="1091"/>
      <c r="DRG41" s="1091"/>
      <c r="DRH41" s="1091"/>
      <c r="DRI41" s="1091"/>
      <c r="DRJ41" s="1091"/>
      <c r="DRK41" s="1091"/>
      <c r="DRL41" s="1091"/>
      <c r="DRM41" s="1091"/>
      <c r="DRN41" s="1091"/>
      <c r="DRO41" s="1091"/>
      <c r="DRP41" s="1091"/>
      <c r="DRQ41" s="1091"/>
      <c r="DRR41" s="1091"/>
      <c r="DRS41" s="1091"/>
      <c r="DRT41" s="1091"/>
      <c r="DRU41" s="1091"/>
      <c r="DRV41" s="1091"/>
      <c r="DRW41" s="1091"/>
      <c r="DRX41" s="1091"/>
      <c r="DRY41" s="1091"/>
      <c r="DRZ41" s="1091"/>
      <c r="DSA41" s="1091"/>
      <c r="DSB41" s="1091"/>
      <c r="DSC41" s="1091"/>
      <c r="DSD41" s="1091"/>
      <c r="DSE41" s="1091"/>
      <c r="DSF41" s="1091"/>
      <c r="DSG41" s="1091"/>
      <c r="DSH41" s="1091"/>
      <c r="DSI41" s="1091"/>
      <c r="DSJ41" s="1091"/>
      <c r="DSK41" s="1091"/>
      <c r="DSL41" s="1091"/>
      <c r="DSM41" s="1091"/>
      <c r="DSN41" s="1091"/>
      <c r="DSO41" s="1091"/>
      <c r="DSP41" s="1091"/>
      <c r="DSQ41" s="1091"/>
      <c r="DSR41" s="1091"/>
      <c r="DSS41" s="1091"/>
      <c r="DST41" s="1091"/>
      <c r="DSU41" s="1091"/>
      <c r="DSV41" s="1091"/>
      <c r="DSW41" s="1091"/>
      <c r="DSX41" s="1091"/>
      <c r="DSY41" s="1091"/>
      <c r="DSZ41" s="1091"/>
      <c r="DTA41" s="1091"/>
      <c r="DTB41" s="1091"/>
      <c r="DTC41" s="1091"/>
      <c r="DTD41" s="1091"/>
      <c r="DTE41" s="1091"/>
      <c r="DTF41" s="1091"/>
      <c r="DTG41" s="1091"/>
      <c r="DTH41" s="1091"/>
      <c r="DTI41" s="1091"/>
      <c r="DTJ41" s="1091"/>
      <c r="DTK41" s="1091"/>
      <c r="DTL41" s="1091"/>
      <c r="DTM41" s="1091"/>
      <c r="DTN41" s="1091"/>
      <c r="DTO41" s="1091"/>
      <c r="DTP41" s="1091"/>
      <c r="DTQ41" s="1091"/>
      <c r="DTR41" s="1091"/>
      <c r="DTS41" s="1091"/>
      <c r="DTT41" s="1091"/>
      <c r="DTU41" s="1091"/>
      <c r="DTV41" s="1091"/>
      <c r="DTW41" s="1091"/>
      <c r="DTX41" s="1091"/>
      <c r="DTY41" s="1091"/>
      <c r="DTZ41" s="1091"/>
      <c r="DUA41" s="1091"/>
      <c r="DUB41" s="1091"/>
      <c r="DUC41" s="1091"/>
      <c r="DUD41" s="1091"/>
      <c r="DUE41" s="1091"/>
      <c r="DUF41" s="1091"/>
      <c r="DUG41" s="1091"/>
      <c r="DUH41" s="1091"/>
      <c r="DUI41" s="1091"/>
      <c r="DUJ41" s="1091"/>
      <c r="DUK41" s="1091"/>
      <c r="DUL41" s="1091"/>
      <c r="DUM41" s="1091"/>
      <c r="DUN41" s="1091"/>
      <c r="DUO41" s="1091"/>
      <c r="DUP41" s="1091"/>
      <c r="DUQ41" s="1091"/>
      <c r="DUR41" s="1091"/>
      <c r="DUS41" s="1091"/>
      <c r="DUT41" s="1091"/>
      <c r="DUU41" s="1091"/>
      <c r="DUV41" s="1091"/>
      <c r="DUW41" s="1091"/>
      <c r="DUX41" s="1091"/>
      <c r="DUY41" s="1091"/>
      <c r="DUZ41" s="1091"/>
      <c r="DVA41" s="1091"/>
      <c r="DVB41" s="1091"/>
      <c r="DVC41" s="1091"/>
      <c r="DVD41" s="1091"/>
      <c r="DVE41" s="1091"/>
      <c r="DVF41" s="1091"/>
      <c r="DVG41" s="1091"/>
      <c r="DVH41" s="1091"/>
      <c r="DVI41" s="1091"/>
      <c r="DVJ41" s="1091"/>
      <c r="DVK41" s="1091"/>
      <c r="DVL41" s="1091"/>
      <c r="DVM41" s="1091"/>
      <c r="DVN41" s="1091"/>
      <c r="DVO41" s="1091"/>
      <c r="DVP41" s="1091"/>
      <c r="DVQ41" s="1091"/>
      <c r="DVR41" s="1091"/>
      <c r="DVS41" s="1091"/>
      <c r="DVT41" s="1091"/>
      <c r="DVU41" s="1091"/>
      <c r="DVV41" s="1091"/>
      <c r="DVW41" s="1091"/>
      <c r="DVX41" s="1091"/>
      <c r="DVY41" s="1091"/>
      <c r="DVZ41" s="1091"/>
      <c r="DWA41" s="1091"/>
      <c r="DWB41" s="1091"/>
      <c r="DWC41" s="1091"/>
      <c r="DWD41" s="1091"/>
      <c r="DWE41" s="1091"/>
      <c r="DWF41" s="1091"/>
      <c r="DWG41" s="1091"/>
      <c r="DWH41" s="1091"/>
      <c r="DWI41" s="1091"/>
      <c r="DWJ41" s="1091"/>
      <c r="DWK41" s="1091"/>
      <c r="DWL41" s="1091"/>
      <c r="DWM41" s="1091"/>
      <c r="DWN41" s="1091"/>
      <c r="DWO41" s="1091"/>
      <c r="DWP41" s="1091"/>
      <c r="DWQ41" s="1091"/>
      <c r="DWR41" s="1091"/>
      <c r="DWS41" s="1091"/>
      <c r="DWT41" s="1091"/>
      <c r="DWU41" s="1091"/>
      <c r="DWV41" s="1091"/>
      <c r="DWW41" s="1091"/>
      <c r="DWX41" s="1091"/>
      <c r="DWY41" s="1091"/>
      <c r="DWZ41" s="1091"/>
      <c r="DXA41" s="1091"/>
      <c r="DXB41" s="1091"/>
      <c r="DXC41" s="1091"/>
      <c r="DXD41" s="1091"/>
      <c r="DXE41" s="1091"/>
      <c r="DXF41" s="1091"/>
      <c r="DXG41" s="1091"/>
      <c r="DXH41" s="1091"/>
      <c r="DXI41" s="1091"/>
      <c r="DXJ41" s="1091"/>
      <c r="DXK41" s="1091"/>
      <c r="DXL41" s="1091"/>
      <c r="DXM41" s="1091"/>
      <c r="DXN41" s="1091"/>
      <c r="DXO41" s="1091"/>
      <c r="DXP41" s="1091"/>
      <c r="DXQ41" s="1091"/>
      <c r="DXR41" s="1091"/>
      <c r="DXS41" s="1091"/>
      <c r="DXT41" s="1091"/>
      <c r="DXU41" s="1091"/>
      <c r="DXV41" s="1091"/>
      <c r="DXW41" s="1091"/>
      <c r="DXX41" s="1091"/>
      <c r="DXY41" s="1091"/>
      <c r="DXZ41" s="1091"/>
      <c r="DYA41" s="1091"/>
      <c r="DYB41" s="1091"/>
      <c r="DYC41" s="1091"/>
      <c r="DYD41" s="1091"/>
      <c r="DYE41" s="1091"/>
      <c r="DYF41" s="1091"/>
      <c r="DYG41" s="1091"/>
      <c r="DYH41" s="1091"/>
      <c r="DYI41" s="1091"/>
      <c r="DYJ41" s="1091"/>
      <c r="DYK41" s="1091"/>
      <c r="DYL41" s="1091"/>
      <c r="DYM41" s="1091"/>
      <c r="DYN41" s="1091"/>
      <c r="DYO41" s="1091"/>
      <c r="DYP41" s="1091"/>
      <c r="DYQ41" s="1091"/>
      <c r="DYR41" s="1091"/>
      <c r="DYS41" s="1091"/>
      <c r="DYT41" s="1091"/>
      <c r="DYU41" s="1091"/>
      <c r="DYV41" s="1091"/>
      <c r="DYW41" s="1091"/>
      <c r="DYX41" s="1091"/>
      <c r="DYY41" s="1091"/>
      <c r="DYZ41" s="1091"/>
      <c r="DZA41" s="1091"/>
      <c r="DZB41" s="1091"/>
      <c r="DZC41" s="1091"/>
      <c r="DZD41" s="1091"/>
      <c r="DZE41" s="1091"/>
      <c r="DZF41" s="1091"/>
      <c r="DZG41" s="1091"/>
      <c r="DZH41" s="1091"/>
      <c r="DZI41" s="1091"/>
      <c r="DZJ41" s="1091"/>
      <c r="DZK41" s="1091"/>
      <c r="DZL41" s="1091"/>
      <c r="DZM41" s="1091"/>
      <c r="DZN41" s="1091"/>
      <c r="DZO41" s="1091"/>
      <c r="DZP41" s="1091"/>
      <c r="DZQ41" s="1091"/>
      <c r="DZR41" s="1091"/>
      <c r="DZS41" s="1091"/>
      <c r="DZT41" s="1091"/>
      <c r="DZU41" s="1091"/>
      <c r="DZV41" s="1091"/>
      <c r="DZW41" s="1091"/>
      <c r="DZX41" s="1091"/>
      <c r="DZY41" s="1091"/>
      <c r="DZZ41" s="1091"/>
      <c r="EAA41" s="1091"/>
      <c r="EAB41" s="1091"/>
      <c r="EAC41" s="1091"/>
      <c r="EAD41" s="1091"/>
      <c r="EAE41" s="1091"/>
      <c r="EAF41" s="1091"/>
      <c r="EAG41" s="1091"/>
      <c r="EAH41" s="1091"/>
      <c r="EAI41" s="1091"/>
      <c r="EAJ41" s="1091"/>
      <c r="EAK41" s="1091"/>
      <c r="EAL41" s="1091"/>
      <c r="EAM41" s="1091"/>
      <c r="EAN41" s="1091"/>
      <c r="EAO41" s="1091"/>
      <c r="EAP41" s="1091"/>
      <c r="EAQ41" s="1091"/>
      <c r="EAR41" s="1091"/>
      <c r="EAS41" s="1091"/>
      <c r="EAT41" s="1091"/>
      <c r="EAU41" s="1091"/>
      <c r="EAV41" s="1091"/>
      <c r="EAW41" s="1091"/>
      <c r="EAX41" s="1091"/>
      <c r="EAY41" s="1091"/>
      <c r="EAZ41" s="1091"/>
      <c r="EBA41" s="1091"/>
      <c r="EBB41" s="1091"/>
      <c r="EBC41" s="1091"/>
      <c r="EBD41" s="1091"/>
      <c r="EBE41" s="1091"/>
      <c r="EBF41" s="1091"/>
      <c r="EBG41" s="1091"/>
      <c r="EBH41" s="1091"/>
      <c r="EBI41" s="1091"/>
      <c r="EBJ41" s="1091"/>
      <c r="EBK41" s="1091"/>
      <c r="EBL41" s="1091"/>
      <c r="EBM41" s="1091"/>
      <c r="EBN41" s="1091"/>
      <c r="EBO41" s="1091"/>
      <c r="EBP41" s="1091"/>
      <c r="EBQ41" s="1091"/>
      <c r="EBR41" s="1091"/>
      <c r="EBS41" s="1091"/>
      <c r="EBT41" s="1091"/>
      <c r="EBU41" s="1091"/>
      <c r="EBV41" s="1091"/>
      <c r="EBW41" s="1091"/>
      <c r="EBX41" s="1091"/>
      <c r="EBY41" s="1091"/>
      <c r="EBZ41" s="1091"/>
      <c r="ECA41" s="1091"/>
      <c r="ECB41" s="1091"/>
      <c r="ECC41" s="1091"/>
      <c r="ECD41" s="1091"/>
      <c r="ECE41" s="1091"/>
      <c r="ECF41" s="1091"/>
      <c r="ECG41" s="1091"/>
      <c r="ECH41" s="1091"/>
      <c r="ECI41" s="1091"/>
      <c r="ECJ41" s="1091"/>
      <c r="ECK41" s="1091"/>
      <c r="ECL41" s="1091"/>
      <c r="ECM41" s="1091"/>
      <c r="ECN41" s="1091"/>
      <c r="ECO41" s="1091"/>
      <c r="ECP41" s="1091"/>
      <c r="ECQ41" s="1091"/>
      <c r="ECR41" s="1091"/>
      <c r="ECS41" s="1091"/>
      <c r="ECT41" s="1091"/>
      <c r="ECU41" s="1091"/>
      <c r="ECV41" s="1091"/>
      <c r="ECW41" s="1091"/>
      <c r="ECX41" s="1091"/>
      <c r="ECY41" s="1091"/>
      <c r="ECZ41" s="1091"/>
      <c r="EDA41" s="1091"/>
      <c r="EDB41" s="1091"/>
      <c r="EDC41" s="1091"/>
      <c r="EDD41" s="1091"/>
      <c r="EDE41" s="1091"/>
      <c r="EDF41" s="1091"/>
      <c r="EDG41" s="1091"/>
      <c r="EDH41" s="1091"/>
      <c r="EDI41" s="1091"/>
      <c r="EDJ41" s="1091"/>
      <c r="EDK41" s="1091"/>
      <c r="EDL41" s="1091"/>
      <c r="EDM41" s="1091"/>
      <c r="EDN41" s="1091"/>
      <c r="EDO41" s="1091"/>
      <c r="EDP41" s="1091"/>
      <c r="EDQ41" s="1091"/>
      <c r="EDR41" s="1091"/>
      <c r="EDS41" s="1091"/>
      <c r="EDT41" s="1091"/>
      <c r="EDU41" s="1091"/>
      <c r="EDV41" s="1091"/>
      <c r="EDW41" s="1091"/>
      <c r="EDX41" s="1091"/>
      <c r="EDY41" s="1091"/>
      <c r="EDZ41" s="1091"/>
      <c r="EEA41" s="1091"/>
      <c r="EEB41" s="1091"/>
      <c r="EEC41" s="1091"/>
      <c r="EED41" s="1091"/>
      <c r="EEE41" s="1091"/>
      <c r="EEF41" s="1091"/>
      <c r="EEG41" s="1091"/>
      <c r="EEH41" s="1091"/>
      <c r="EEI41" s="1091"/>
      <c r="EEJ41" s="1091"/>
      <c r="EEK41" s="1091"/>
      <c r="EEL41" s="1091"/>
      <c r="EEM41" s="1091"/>
      <c r="EEN41" s="1091"/>
      <c r="EEO41" s="1091"/>
      <c r="EEP41" s="1091"/>
      <c r="EEQ41" s="1091"/>
      <c r="EER41" s="1091"/>
      <c r="EES41" s="1091"/>
      <c r="EET41" s="1091"/>
      <c r="EEU41" s="1091"/>
      <c r="EEV41" s="1091"/>
      <c r="EEW41" s="1091"/>
      <c r="EEX41" s="1091"/>
      <c r="EEY41" s="1091"/>
      <c r="EEZ41" s="1091"/>
      <c r="EFA41" s="1091"/>
      <c r="EFB41" s="1091"/>
      <c r="EFC41" s="1091"/>
      <c r="EFD41" s="1091"/>
      <c r="EFE41" s="1091"/>
      <c r="EFF41" s="1091"/>
      <c r="EFG41" s="1091"/>
      <c r="EFH41" s="1091"/>
      <c r="EFI41" s="1091"/>
      <c r="EFJ41" s="1091"/>
      <c r="EFK41" s="1091"/>
      <c r="EFL41" s="1091"/>
      <c r="EFM41" s="1091"/>
      <c r="EFN41" s="1091"/>
      <c r="EFO41" s="1091"/>
      <c r="EFP41" s="1091"/>
      <c r="EFQ41" s="1091"/>
      <c r="EFR41" s="1091"/>
      <c r="EFS41" s="1091"/>
      <c r="EFT41" s="1091"/>
      <c r="EFU41" s="1091"/>
      <c r="EFV41" s="1091"/>
      <c r="EFW41" s="1091"/>
      <c r="EFX41" s="1091"/>
      <c r="EFY41" s="1091"/>
      <c r="EFZ41" s="1091"/>
      <c r="EGA41" s="1091"/>
      <c r="EGB41" s="1091"/>
      <c r="EGC41" s="1091"/>
      <c r="EGD41" s="1091"/>
      <c r="EGE41" s="1091"/>
      <c r="EGF41" s="1091"/>
      <c r="EGG41" s="1091"/>
      <c r="EGH41" s="1091"/>
      <c r="EGI41" s="1091"/>
      <c r="EGJ41" s="1091"/>
      <c r="EGK41" s="1091"/>
      <c r="EGL41" s="1091"/>
      <c r="EGM41" s="1091"/>
      <c r="EGN41" s="1091"/>
      <c r="EGO41" s="1091"/>
      <c r="EGP41" s="1091"/>
      <c r="EGQ41" s="1091"/>
      <c r="EGR41" s="1091"/>
      <c r="EGS41" s="1091"/>
      <c r="EGT41" s="1091"/>
      <c r="EGU41" s="1091"/>
      <c r="EGV41" s="1091"/>
      <c r="EGW41" s="1091"/>
      <c r="EGX41" s="1091"/>
      <c r="EGY41" s="1091"/>
      <c r="EGZ41" s="1091"/>
      <c r="EHA41" s="1091"/>
      <c r="EHB41" s="1091"/>
      <c r="EHC41" s="1091"/>
      <c r="EHD41" s="1091"/>
      <c r="EHE41" s="1091"/>
      <c r="EHF41" s="1091"/>
      <c r="EHG41" s="1091"/>
      <c r="EHH41" s="1091"/>
      <c r="EHI41" s="1091"/>
      <c r="EHJ41" s="1091"/>
      <c r="EHK41" s="1091"/>
      <c r="EHL41" s="1091"/>
      <c r="EHM41" s="1091"/>
      <c r="EHN41" s="1091"/>
      <c r="EHO41" s="1091"/>
      <c r="EHP41" s="1091"/>
      <c r="EHQ41" s="1091"/>
      <c r="EHR41" s="1091"/>
      <c r="EHS41" s="1091"/>
      <c r="EHT41" s="1091"/>
      <c r="EHU41" s="1091"/>
      <c r="EHV41" s="1091"/>
      <c r="EHW41" s="1091"/>
      <c r="EHX41" s="1091"/>
      <c r="EHY41" s="1091"/>
      <c r="EHZ41" s="1091"/>
      <c r="EIA41" s="1091"/>
      <c r="EIB41" s="1091"/>
      <c r="EIC41" s="1091"/>
      <c r="EID41" s="1091"/>
      <c r="EIE41" s="1091"/>
      <c r="EIF41" s="1091"/>
      <c r="EIG41" s="1091"/>
      <c r="EIH41" s="1091"/>
      <c r="EII41" s="1091"/>
      <c r="EIJ41" s="1091"/>
      <c r="EIK41" s="1091"/>
      <c r="EIL41" s="1091"/>
      <c r="EIM41" s="1091"/>
      <c r="EIN41" s="1091"/>
      <c r="EIO41" s="1091"/>
      <c r="EIP41" s="1091"/>
      <c r="EIQ41" s="1091"/>
      <c r="EIR41" s="1091"/>
      <c r="EIS41" s="1091"/>
      <c r="EIT41" s="1091"/>
      <c r="EIU41" s="1091"/>
      <c r="EIV41" s="1091"/>
      <c r="EIW41" s="1091"/>
      <c r="EIX41" s="1091"/>
      <c r="EIY41" s="1091"/>
      <c r="EIZ41" s="1091"/>
      <c r="EJA41" s="1091"/>
      <c r="EJB41" s="1091"/>
      <c r="EJC41" s="1091"/>
      <c r="EJD41" s="1091"/>
      <c r="EJE41" s="1091"/>
      <c r="EJF41" s="1091"/>
      <c r="EJG41" s="1091"/>
      <c r="EJH41" s="1091"/>
      <c r="EJI41" s="1091"/>
      <c r="EJJ41" s="1091"/>
      <c r="EJK41" s="1091"/>
      <c r="EJL41" s="1091"/>
      <c r="EJM41" s="1091"/>
      <c r="EJN41" s="1091"/>
      <c r="EJO41" s="1091"/>
      <c r="EJP41" s="1091"/>
      <c r="EJQ41" s="1091"/>
      <c r="EJR41" s="1091"/>
      <c r="EJS41" s="1091"/>
      <c r="EJT41" s="1091"/>
      <c r="EJU41" s="1091"/>
      <c r="EJV41" s="1091"/>
      <c r="EJW41" s="1091"/>
      <c r="EJX41" s="1091"/>
      <c r="EJY41" s="1091"/>
      <c r="EJZ41" s="1091"/>
      <c r="EKA41" s="1091"/>
      <c r="EKB41" s="1091"/>
      <c r="EKC41" s="1091"/>
      <c r="EKD41" s="1091"/>
      <c r="EKE41" s="1091"/>
      <c r="EKF41" s="1091"/>
      <c r="EKG41" s="1091"/>
      <c r="EKH41" s="1091"/>
      <c r="EKI41" s="1091"/>
      <c r="EKJ41" s="1091"/>
      <c r="EKK41" s="1091"/>
      <c r="EKL41" s="1091"/>
      <c r="EKM41" s="1091"/>
      <c r="EKN41" s="1091"/>
      <c r="EKO41" s="1091"/>
      <c r="EKP41" s="1091"/>
      <c r="EKQ41" s="1091"/>
      <c r="EKR41" s="1091"/>
      <c r="EKS41" s="1091"/>
      <c r="EKT41" s="1091"/>
      <c r="EKU41" s="1091"/>
      <c r="EKV41" s="1091"/>
      <c r="EKW41" s="1091"/>
      <c r="EKX41" s="1091"/>
      <c r="EKY41" s="1091"/>
      <c r="EKZ41" s="1091"/>
      <c r="ELA41" s="1091"/>
      <c r="ELB41" s="1091"/>
      <c r="ELC41" s="1091"/>
      <c r="ELD41" s="1091"/>
      <c r="ELE41" s="1091"/>
      <c r="ELF41" s="1091"/>
      <c r="ELG41" s="1091"/>
      <c r="ELH41" s="1091"/>
      <c r="ELI41" s="1091"/>
      <c r="ELJ41" s="1091"/>
      <c r="ELK41" s="1091"/>
      <c r="ELL41" s="1091"/>
      <c r="ELM41" s="1091"/>
      <c r="ELN41" s="1091"/>
      <c r="ELO41" s="1091"/>
      <c r="ELP41" s="1091"/>
      <c r="ELQ41" s="1091"/>
      <c r="ELR41" s="1091"/>
      <c r="ELS41" s="1091"/>
      <c r="ELT41" s="1091"/>
      <c r="ELU41" s="1091"/>
      <c r="ELV41" s="1091"/>
      <c r="ELW41" s="1091"/>
      <c r="ELX41" s="1091"/>
      <c r="ELY41" s="1091"/>
      <c r="ELZ41" s="1091"/>
      <c r="EMA41" s="1091"/>
      <c r="EMB41" s="1091"/>
      <c r="EMC41" s="1091"/>
      <c r="EMD41" s="1091"/>
      <c r="EME41" s="1091"/>
      <c r="EMF41" s="1091"/>
      <c r="EMG41" s="1091"/>
      <c r="EMH41" s="1091"/>
      <c r="EMI41" s="1091"/>
      <c r="EMJ41" s="1091"/>
      <c r="EMK41" s="1091"/>
      <c r="EML41" s="1091"/>
      <c r="EMM41" s="1091"/>
      <c r="EMN41" s="1091"/>
      <c r="EMO41" s="1091"/>
      <c r="EMP41" s="1091"/>
      <c r="EMQ41" s="1091"/>
      <c r="EMR41" s="1091"/>
      <c r="EMS41" s="1091"/>
      <c r="EMT41" s="1091"/>
      <c r="EMU41" s="1091"/>
      <c r="EMV41" s="1091"/>
      <c r="EMW41" s="1091"/>
      <c r="EMX41" s="1091"/>
      <c r="EMY41" s="1091"/>
      <c r="EMZ41" s="1091"/>
      <c r="ENA41" s="1091"/>
      <c r="ENB41" s="1091"/>
      <c r="ENC41" s="1091"/>
      <c r="END41" s="1091"/>
      <c r="ENE41" s="1091"/>
      <c r="ENF41" s="1091"/>
      <c r="ENG41" s="1091"/>
      <c r="ENH41" s="1091"/>
      <c r="ENI41" s="1091"/>
      <c r="ENJ41" s="1091"/>
      <c r="ENK41" s="1091"/>
      <c r="ENL41" s="1091"/>
      <c r="ENM41" s="1091"/>
      <c r="ENN41" s="1091"/>
      <c r="ENO41" s="1091"/>
      <c r="ENP41" s="1091"/>
      <c r="ENQ41" s="1091"/>
      <c r="ENR41" s="1091"/>
      <c r="ENS41" s="1091"/>
      <c r="ENT41" s="1091"/>
      <c r="ENU41" s="1091"/>
      <c r="ENV41" s="1091"/>
      <c r="ENW41" s="1091"/>
      <c r="ENX41" s="1091"/>
      <c r="ENY41" s="1091"/>
      <c r="ENZ41" s="1091"/>
      <c r="EOA41" s="1091"/>
      <c r="EOB41" s="1091"/>
      <c r="EOC41" s="1091"/>
      <c r="EOD41" s="1091"/>
      <c r="EOE41" s="1091"/>
      <c r="EOF41" s="1091"/>
      <c r="EOG41" s="1091"/>
      <c r="EOH41" s="1091"/>
      <c r="EOI41" s="1091"/>
      <c r="EOJ41" s="1091"/>
      <c r="EOK41" s="1091"/>
      <c r="EOL41" s="1091"/>
      <c r="EOM41" s="1091"/>
      <c r="EON41" s="1091"/>
      <c r="EOO41" s="1091"/>
      <c r="EOP41" s="1091"/>
      <c r="EOQ41" s="1091"/>
      <c r="EOR41" s="1091"/>
      <c r="EOS41" s="1091"/>
      <c r="EOT41" s="1091"/>
      <c r="EOU41" s="1091"/>
      <c r="EOV41" s="1091"/>
      <c r="EOW41" s="1091"/>
      <c r="EOX41" s="1091"/>
      <c r="EOY41" s="1091"/>
      <c r="EOZ41" s="1091"/>
      <c r="EPA41" s="1091"/>
      <c r="EPB41" s="1091"/>
      <c r="EPC41" s="1091"/>
      <c r="EPD41" s="1091"/>
      <c r="EPE41" s="1091"/>
      <c r="EPF41" s="1091"/>
      <c r="EPG41" s="1091"/>
      <c r="EPH41" s="1091"/>
      <c r="EPI41" s="1091"/>
      <c r="EPJ41" s="1091"/>
      <c r="EPK41" s="1091"/>
      <c r="EPL41" s="1091"/>
      <c r="EPM41" s="1091"/>
      <c r="EPN41" s="1091"/>
      <c r="EPO41" s="1091"/>
      <c r="EPP41" s="1091"/>
      <c r="EPQ41" s="1091"/>
      <c r="EPR41" s="1091"/>
      <c r="EPS41" s="1091"/>
      <c r="EPT41" s="1091"/>
      <c r="EPU41" s="1091"/>
      <c r="EPV41" s="1091"/>
      <c r="EPW41" s="1091"/>
      <c r="EPX41" s="1091"/>
      <c r="EPY41" s="1091"/>
      <c r="EPZ41" s="1091"/>
      <c r="EQA41" s="1091"/>
      <c r="EQB41" s="1091"/>
      <c r="EQC41" s="1091"/>
      <c r="EQD41" s="1091"/>
      <c r="EQE41" s="1091"/>
      <c r="EQF41" s="1091"/>
      <c r="EQG41" s="1091"/>
      <c r="EQH41" s="1091"/>
      <c r="EQI41" s="1091"/>
      <c r="EQJ41" s="1091"/>
      <c r="EQK41" s="1091"/>
      <c r="EQL41" s="1091"/>
      <c r="EQM41" s="1091"/>
      <c r="EQN41" s="1091"/>
      <c r="EQO41" s="1091"/>
      <c r="EQP41" s="1091"/>
      <c r="EQQ41" s="1091"/>
      <c r="EQR41" s="1091"/>
      <c r="EQS41" s="1091"/>
      <c r="EQT41" s="1091"/>
      <c r="EQU41" s="1091"/>
      <c r="EQV41" s="1091"/>
      <c r="EQW41" s="1091"/>
      <c r="EQX41" s="1091"/>
      <c r="EQY41" s="1091"/>
      <c r="EQZ41" s="1091"/>
      <c r="ERA41" s="1091"/>
      <c r="ERB41" s="1091"/>
      <c r="ERC41" s="1091"/>
      <c r="ERD41" s="1091"/>
      <c r="ERE41" s="1091"/>
      <c r="ERF41" s="1091"/>
      <c r="ERG41" s="1091"/>
      <c r="ERH41" s="1091"/>
      <c r="ERI41" s="1091"/>
      <c r="ERJ41" s="1091"/>
      <c r="ERK41" s="1091"/>
      <c r="ERL41" s="1091"/>
      <c r="ERM41" s="1091"/>
      <c r="ERN41" s="1091"/>
      <c r="ERO41" s="1091"/>
      <c r="ERP41" s="1091"/>
      <c r="ERQ41" s="1091"/>
      <c r="ERR41" s="1091"/>
      <c r="ERS41" s="1091"/>
      <c r="ERT41" s="1091"/>
      <c r="ERU41" s="1091"/>
      <c r="ERV41" s="1091"/>
      <c r="ERW41" s="1091"/>
      <c r="ERX41" s="1091"/>
      <c r="ERY41" s="1091"/>
      <c r="ERZ41" s="1091"/>
      <c r="ESA41" s="1091"/>
      <c r="ESB41" s="1091"/>
      <c r="ESC41" s="1091"/>
      <c r="ESD41" s="1091"/>
      <c r="ESE41" s="1091"/>
      <c r="ESF41" s="1091"/>
      <c r="ESG41" s="1091"/>
      <c r="ESH41" s="1091"/>
      <c r="ESI41" s="1091"/>
      <c r="ESJ41" s="1091"/>
      <c r="ESK41" s="1091"/>
      <c r="ESL41" s="1091"/>
      <c r="ESM41" s="1091"/>
      <c r="ESN41" s="1091"/>
      <c r="ESO41" s="1091"/>
      <c r="ESP41" s="1091"/>
      <c r="ESQ41" s="1091"/>
      <c r="ESR41" s="1091"/>
      <c r="ESS41" s="1091"/>
      <c r="EST41" s="1091"/>
      <c r="ESU41" s="1091"/>
      <c r="ESV41" s="1091"/>
      <c r="ESW41" s="1091"/>
      <c r="ESX41" s="1091"/>
      <c r="ESY41" s="1091"/>
      <c r="ESZ41" s="1091"/>
      <c r="ETA41" s="1091"/>
      <c r="ETB41" s="1091"/>
      <c r="ETC41" s="1091"/>
      <c r="ETD41" s="1091"/>
      <c r="ETE41" s="1091"/>
      <c r="ETF41" s="1091"/>
      <c r="ETG41" s="1091"/>
      <c r="ETH41" s="1091"/>
      <c r="ETI41" s="1091"/>
      <c r="ETJ41" s="1091"/>
      <c r="ETK41" s="1091"/>
      <c r="ETL41" s="1091"/>
      <c r="ETM41" s="1091"/>
      <c r="ETN41" s="1091"/>
      <c r="ETO41" s="1091"/>
      <c r="ETP41" s="1091"/>
      <c r="ETQ41" s="1091"/>
      <c r="ETR41" s="1091"/>
      <c r="ETS41" s="1091"/>
      <c r="ETT41" s="1091"/>
      <c r="ETU41" s="1091"/>
      <c r="ETV41" s="1091"/>
      <c r="ETW41" s="1091"/>
      <c r="ETX41" s="1091"/>
      <c r="ETY41" s="1091"/>
      <c r="ETZ41" s="1091"/>
      <c r="EUA41" s="1091"/>
      <c r="EUB41" s="1091"/>
      <c r="EUC41" s="1091"/>
      <c r="EUD41" s="1091"/>
      <c r="EUE41" s="1091"/>
      <c r="EUF41" s="1091"/>
      <c r="EUG41" s="1091"/>
      <c r="EUH41" s="1091"/>
      <c r="EUI41" s="1091"/>
      <c r="EUJ41" s="1091"/>
      <c r="EUK41" s="1091"/>
      <c r="EUL41" s="1091"/>
      <c r="EUM41" s="1091"/>
      <c r="EUN41" s="1091"/>
      <c r="EUO41" s="1091"/>
      <c r="EUP41" s="1091"/>
      <c r="EUQ41" s="1091"/>
      <c r="EUR41" s="1091"/>
      <c r="EUS41" s="1091"/>
      <c r="EUT41" s="1091"/>
      <c r="EUU41" s="1091"/>
      <c r="EUV41" s="1091"/>
      <c r="EUW41" s="1091"/>
      <c r="EUX41" s="1091"/>
      <c r="EUY41" s="1091"/>
      <c r="EUZ41" s="1091"/>
      <c r="EVA41" s="1091"/>
      <c r="EVB41" s="1091"/>
      <c r="EVC41" s="1091"/>
      <c r="EVD41" s="1091"/>
      <c r="EVE41" s="1091"/>
      <c r="EVF41" s="1091"/>
      <c r="EVG41" s="1091"/>
      <c r="EVH41" s="1091"/>
      <c r="EVI41" s="1091"/>
      <c r="EVJ41" s="1091"/>
      <c r="EVK41" s="1091"/>
      <c r="EVL41" s="1091"/>
      <c r="EVM41" s="1091"/>
      <c r="EVN41" s="1091"/>
      <c r="EVO41" s="1091"/>
      <c r="EVP41" s="1091"/>
      <c r="EVQ41" s="1091"/>
      <c r="EVR41" s="1091"/>
      <c r="EVS41" s="1091"/>
      <c r="EVT41" s="1091"/>
      <c r="EVU41" s="1091"/>
      <c r="EVV41" s="1091"/>
      <c r="EVW41" s="1091"/>
      <c r="EVX41" s="1091"/>
      <c r="EVY41" s="1091"/>
      <c r="EVZ41" s="1091"/>
      <c r="EWA41" s="1091"/>
      <c r="EWB41" s="1091"/>
      <c r="EWC41" s="1091"/>
      <c r="EWD41" s="1091"/>
      <c r="EWE41" s="1091"/>
      <c r="EWF41" s="1091"/>
      <c r="EWG41" s="1091"/>
      <c r="EWH41" s="1091"/>
      <c r="EWI41" s="1091"/>
      <c r="EWJ41" s="1091"/>
      <c r="EWK41" s="1091"/>
      <c r="EWL41" s="1091"/>
      <c r="EWM41" s="1091"/>
      <c r="EWN41" s="1091"/>
      <c r="EWO41" s="1091"/>
      <c r="EWP41" s="1091"/>
      <c r="EWQ41" s="1091"/>
      <c r="EWR41" s="1091"/>
      <c r="EWS41" s="1091"/>
      <c r="EWT41" s="1091"/>
      <c r="EWU41" s="1091"/>
      <c r="EWV41" s="1091"/>
      <c r="EWW41" s="1091"/>
      <c r="EWX41" s="1091"/>
      <c r="EWY41" s="1091"/>
      <c r="EWZ41" s="1091"/>
      <c r="EXA41" s="1091"/>
      <c r="EXB41" s="1091"/>
      <c r="EXC41" s="1091"/>
      <c r="EXD41" s="1091"/>
      <c r="EXE41" s="1091"/>
      <c r="EXF41" s="1091"/>
      <c r="EXG41" s="1091"/>
      <c r="EXH41" s="1091"/>
      <c r="EXI41" s="1091"/>
      <c r="EXJ41" s="1091"/>
      <c r="EXK41" s="1091"/>
      <c r="EXL41" s="1091"/>
      <c r="EXM41" s="1091"/>
      <c r="EXN41" s="1091"/>
      <c r="EXO41" s="1091"/>
      <c r="EXP41" s="1091"/>
      <c r="EXQ41" s="1091"/>
      <c r="EXR41" s="1091"/>
      <c r="EXS41" s="1091"/>
      <c r="EXT41" s="1091"/>
      <c r="EXU41" s="1091"/>
      <c r="EXV41" s="1091"/>
      <c r="EXW41" s="1091"/>
      <c r="EXX41" s="1091"/>
      <c r="EXY41" s="1091"/>
      <c r="EXZ41" s="1091"/>
      <c r="EYA41" s="1091"/>
      <c r="EYB41" s="1091"/>
      <c r="EYC41" s="1091"/>
      <c r="EYD41" s="1091"/>
      <c r="EYE41" s="1091"/>
      <c r="EYF41" s="1091"/>
      <c r="EYG41" s="1091"/>
      <c r="EYH41" s="1091"/>
      <c r="EYI41" s="1091"/>
      <c r="EYJ41" s="1091"/>
      <c r="EYK41" s="1091"/>
      <c r="EYL41" s="1091"/>
      <c r="EYM41" s="1091"/>
      <c r="EYN41" s="1091"/>
      <c r="EYO41" s="1091"/>
      <c r="EYP41" s="1091"/>
      <c r="EYQ41" s="1091"/>
      <c r="EYR41" s="1091"/>
      <c r="EYS41" s="1091"/>
      <c r="EYT41" s="1091"/>
      <c r="EYU41" s="1091"/>
      <c r="EYV41" s="1091"/>
      <c r="EYW41" s="1091"/>
      <c r="EYX41" s="1091"/>
      <c r="EYY41" s="1091"/>
      <c r="EYZ41" s="1091"/>
      <c r="EZA41" s="1091"/>
      <c r="EZB41" s="1091"/>
      <c r="EZC41" s="1091"/>
      <c r="EZD41" s="1091"/>
      <c r="EZE41" s="1091"/>
      <c r="EZF41" s="1091"/>
      <c r="EZG41" s="1091"/>
      <c r="EZH41" s="1091"/>
      <c r="EZI41" s="1091"/>
      <c r="EZJ41" s="1091"/>
      <c r="EZK41" s="1091"/>
      <c r="EZL41" s="1091"/>
      <c r="EZM41" s="1091"/>
      <c r="EZN41" s="1091"/>
      <c r="EZO41" s="1091"/>
      <c r="EZP41" s="1091"/>
      <c r="EZQ41" s="1091"/>
      <c r="EZR41" s="1091"/>
      <c r="EZS41" s="1091"/>
      <c r="EZT41" s="1091"/>
      <c r="EZU41" s="1091"/>
      <c r="EZV41" s="1091"/>
      <c r="EZW41" s="1091"/>
      <c r="EZX41" s="1091"/>
      <c r="EZY41" s="1091"/>
      <c r="EZZ41" s="1091"/>
      <c r="FAA41" s="1091"/>
      <c r="FAB41" s="1091"/>
      <c r="FAC41" s="1091"/>
      <c r="FAD41" s="1091"/>
      <c r="FAE41" s="1091"/>
      <c r="FAF41" s="1091"/>
      <c r="FAG41" s="1091"/>
      <c r="FAH41" s="1091"/>
      <c r="FAI41" s="1091"/>
      <c r="FAJ41" s="1091"/>
      <c r="FAK41" s="1091"/>
      <c r="FAL41" s="1091"/>
      <c r="FAM41" s="1091"/>
      <c r="FAN41" s="1091"/>
      <c r="FAO41" s="1091"/>
      <c r="FAP41" s="1091"/>
      <c r="FAQ41" s="1091"/>
      <c r="FAR41" s="1091"/>
      <c r="FAS41" s="1091"/>
      <c r="FAT41" s="1091"/>
      <c r="FAU41" s="1091"/>
      <c r="FAV41" s="1091"/>
      <c r="FAW41" s="1091"/>
      <c r="FAX41" s="1091"/>
      <c r="FAY41" s="1091"/>
      <c r="FAZ41" s="1091"/>
      <c r="FBA41" s="1091"/>
      <c r="FBB41" s="1091"/>
      <c r="FBC41" s="1091"/>
      <c r="FBD41" s="1091"/>
      <c r="FBE41" s="1091"/>
      <c r="FBF41" s="1091"/>
      <c r="FBG41" s="1091"/>
      <c r="FBH41" s="1091"/>
      <c r="FBI41" s="1091"/>
      <c r="FBJ41" s="1091"/>
      <c r="FBK41" s="1091"/>
      <c r="FBL41" s="1091"/>
      <c r="FBM41" s="1091"/>
      <c r="FBN41" s="1091"/>
      <c r="FBO41" s="1091"/>
      <c r="FBP41" s="1091"/>
      <c r="FBQ41" s="1091"/>
      <c r="FBR41" s="1091"/>
      <c r="FBS41" s="1091"/>
      <c r="FBT41" s="1091"/>
      <c r="FBU41" s="1091"/>
      <c r="FBV41" s="1091"/>
      <c r="FBW41" s="1091"/>
      <c r="FBX41" s="1091"/>
      <c r="FBY41" s="1091"/>
      <c r="FBZ41" s="1091"/>
      <c r="FCA41" s="1091"/>
      <c r="FCB41" s="1091"/>
      <c r="FCC41" s="1091"/>
      <c r="FCD41" s="1091"/>
      <c r="FCE41" s="1091"/>
      <c r="FCF41" s="1091"/>
      <c r="FCG41" s="1091"/>
      <c r="FCH41" s="1091"/>
      <c r="FCI41" s="1091"/>
      <c r="FCJ41" s="1091"/>
      <c r="FCK41" s="1091"/>
      <c r="FCL41" s="1091"/>
      <c r="FCM41" s="1091"/>
      <c r="FCN41" s="1091"/>
      <c r="FCO41" s="1091"/>
      <c r="FCP41" s="1091"/>
      <c r="FCQ41" s="1091"/>
      <c r="FCR41" s="1091"/>
      <c r="FCS41" s="1091"/>
      <c r="FCT41" s="1091"/>
      <c r="FCU41" s="1091"/>
      <c r="FCV41" s="1091"/>
      <c r="FCW41" s="1091"/>
      <c r="FCX41" s="1091"/>
      <c r="FCY41" s="1091"/>
      <c r="FCZ41" s="1091"/>
      <c r="FDA41" s="1091"/>
      <c r="FDB41" s="1091"/>
      <c r="FDC41" s="1091"/>
      <c r="FDD41" s="1091"/>
      <c r="FDE41" s="1091"/>
      <c r="FDF41" s="1091"/>
      <c r="FDG41" s="1091"/>
      <c r="FDH41" s="1091"/>
      <c r="FDI41" s="1091"/>
      <c r="FDJ41" s="1091"/>
      <c r="FDK41" s="1091"/>
      <c r="FDL41" s="1091"/>
      <c r="FDM41" s="1091"/>
      <c r="FDN41" s="1091"/>
      <c r="FDO41" s="1091"/>
      <c r="FDP41" s="1091"/>
      <c r="FDQ41" s="1091"/>
      <c r="FDR41" s="1091"/>
      <c r="FDS41" s="1091"/>
      <c r="FDT41" s="1091"/>
      <c r="FDU41" s="1091"/>
      <c r="FDV41" s="1091"/>
      <c r="FDW41" s="1091"/>
      <c r="FDX41" s="1091"/>
      <c r="FDY41" s="1091"/>
      <c r="FDZ41" s="1091"/>
      <c r="FEA41" s="1091"/>
      <c r="FEB41" s="1091"/>
      <c r="FEC41" s="1091"/>
      <c r="FED41" s="1091"/>
      <c r="FEE41" s="1091"/>
      <c r="FEF41" s="1091"/>
      <c r="FEG41" s="1091"/>
      <c r="FEH41" s="1091"/>
      <c r="FEI41" s="1091"/>
      <c r="FEJ41" s="1091"/>
      <c r="FEK41" s="1091"/>
      <c r="FEL41" s="1091"/>
      <c r="FEM41" s="1091"/>
      <c r="FEN41" s="1091"/>
      <c r="FEO41" s="1091"/>
      <c r="FEP41" s="1091"/>
      <c r="FEQ41" s="1091"/>
      <c r="FER41" s="1091"/>
      <c r="FES41" s="1091"/>
      <c r="FET41" s="1091"/>
      <c r="FEU41" s="1091"/>
      <c r="FEV41" s="1091"/>
      <c r="FEW41" s="1091"/>
      <c r="FEX41" s="1091"/>
      <c r="FEY41" s="1091"/>
      <c r="FEZ41" s="1091"/>
      <c r="FFA41" s="1091"/>
      <c r="FFB41" s="1091"/>
      <c r="FFC41" s="1091"/>
      <c r="FFD41" s="1091"/>
      <c r="FFE41" s="1091"/>
      <c r="FFF41" s="1091"/>
      <c r="FFG41" s="1091"/>
      <c r="FFH41" s="1091"/>
      <c r="FFI41" s="1091"/>
      <c r="FFJ41" s="1091"/>
      <c r="FFK41" s="1091"/>
      <c r="FFL41" s="1091"/>
      <c r="FFM41" s="1091"/>
      <c r="FFN41" s="1091"/>
      <c r="FFO41" s="1091"/>
      <c r="FFP41" s="1091"/>
      <c r="FFQ41" s="1091"/>
      <c r="FFR41" s="1091"/>
      <c r="FFS41" s="1091"/>
      <c r="FFT41" s="1091"/>
      <c r="FFU41" s="1091"/>
      <c r="FFV41" s="1091"/>
      <c r="FFW41" s="1091"/>
      <c r="FFX41" s="1091"/>
      <c r="FFY41" s="1091"/>
      <c r="FFZ41" s="1091"/>
      <c r="FGA41" s="1091"/>
      <c r="FGB41" s="1091"/>
      <c r="FGC41" s="1091"/>
      <c r="FGD41" s="1091"/>
      <c r="FGE41" s="1091"/>
      <c r="FGF41" s="1091"/>
      <c r="FGG41" s="1091"/>
      <c r="FGH41" s="1091"/>
      <c r="FGI41" s="1091"/>
      <c r="FGJ41" s="1091"/>
      <c r="FGK41" s="1091"/>
      <c r="FGL41" s="1091"/>
      <c r="FGM41" s="1091"/>
      <c r="FGN41" s="1091"/>
      <c r="FGO41" s="1091"/>
      <c r="FGP41" s="1091"/>
      <c r="FGQ41" s="1091"/>
      <c r="FGR41" s="1091"/>
      <c r="FGS41" s="1091"/>
      <c r="FGT41" s="1091"/>
      <c r="FGU41" s="1091"/>
      <c r="FGV41" s="1091"/>
      <c r="FGW41" s="1091"/>
      <c r="FGX41" s="1091"/>
      <c r="FGY41" s="1091"/>
      <c r="FGZ41" s="1091"/>
      <c r="FHA41" s="1091"/>
      <c r="FHB41" s="1091"/>
      <c r="FHC41" s="1091"/>
      <c r="FHD41" s="1091"/>
      <c r="FHE41" s="1091"/>
      <c r="FHF41" s="1091"/>
      <c r="FHG41" s="1091"/>
      <c r="FHH41" s="1091"/>
      <c r="FHI41" s="1091"/>
      <c r="FHJ41" s="1091"/>
      <c r="FHK41" s="1091"/>
      <c r="FHL41" s="1091"/>
      <c r="FHM41" s="1091"/>
      <c r="FHN41" s="1091"/>
      <c r="FHO41" s="1091"/>
      <c r="FHP41" s="1091"/>
      <c r="FHQ41" s="1091"/>
      <c r="FHR41" s="1091"/>
      <c r="FHS41" s="1091"/>
      <c r="FHT41" s="1091"/>
      <c r="FHU41" s="1091"/>
      <c r="FHV41" s="1091"/>
      <c r="FHW41" s="1091"/>
      <c r="FHX41" s="1091"/>
      <c r="FHY41" s="1091"/>
      <c r="FHZ41" s="1091"/>
      <c r="FIA41" s="1091"/>
      <c r="FIB41" s="1091"/>
      <c r="FIC41" s="1091"/>
      <c r="FID41" s="1091"/>
      <c r="FIE41" s="1091"/>
      <c r="FIF41" s="1091"/>
      <c r="FIG41" s="1091"/>
      <c r="FIH41" s="1091"/>
      <c r="FII41" s="1091"/>
      <c r="FIJ41" s="1091"/>
      <c r="FIK41" s="1091"/>
      <c r="FIL41" s="1091"/>
      <c r="FIM41" s="1091"/>
      <c r="FIN41" s="1091"/>
      <c r="FIO41" s="1091"/>
      <c r="FIP41" s="1091"/>
      <c r="FIQ41" s="1091"/>
      <c r="FIR41" s="1091"/>
      <c r="FIS41" s="1091"/>
      <c r="FIT41" s="1091"/>
      <c r="FIU41" s="1091"/>
      <c r="FIV41" s="1091"/>
      <c r="FIW41" s="1091"/>
      <c r="FIX41" s="1091"/>
      <c r="FIY41" s="1091"/>
      <c r="FIZ41" s="1091"/>
      <c r="FJA41" s="1091"/>
      <c r="FJB41" s="1091"/>
      <c r="FJC41" s="1091"/>
      <c r="FJD41" s="1091"/>
      <c r="FJE41" s="1091"/>
      <c r="FJF41" s="1091"/>
      <c r="FJG41" s="1091"/>
      <c r="FJH41" s="1091"/>
      <c r="FJI41" s="1091"/>
      <c r="FJJ41" s="1091"/>
      <c r="FJK41" s="1091"/>
      <c r="FJL41" s="1091"/>
      <c r="FJM41" s="1091"/>
      <c r="FJN41" s="1091"/>
      <c r="FJO41" s="1091"/>
      <c r="FJP41" s="1091"/>
      <c r="FJQ41" s="1091"/>
      <c r="FJR41" s="1091"/>
      <c r="FJS41" s="1091"/>
      <c r="FJT41" s="1091"/>
      <c r="FJU41" s="1091"/>
      <c r="FJV41" s="1091"/>
      <c r="FJW41" s="1091"/>
      <c r="FJX41" s="1091"/>
      <c r="FJY41" s="1091"/>
      <c r="FJZ41" s="1091"/>
      <c r="FKA41" s="1091"/>
      <c r="FKB41" s="1091"/>
      <c r="FKC41" s="1091"/>
      <c r="FKD41" s="1091"/>
      <c r="FKE41" s="1091"/>
      <c r="FKF41" s="1091"/>
      <c r="FKG41" s="1091"/>
      <c r="FKH41" s="1091"/>
      <c r="FKI41" s="1091"/>
      <c r="FKJ41" s="1091"/>
      <c r="FKK41" s="1091"/>
      <c r="FKL41" s="1091"/>
      <c r="FKM41" s="1091"/>
      <c r="FKN41" s="1091"/>
      <c r="FKO41" s="1091"/>
      <c r="FKP41" s="1091"/>
      <c r="FKQ41" s="1091"/>
      <c r="FKR41" s="1091"/>
      <c r="FKS41" s="1091"/>
      <c r="FKT41" s="1091"/>
      <c r="FKU41" s="1091"/>
      <c r="FKV41" s="1091"/>
      <c r="FKW41" s="1091"/>
      <c r="FKX41" s="1091"/>
      <c r="FKY41" s="1091"/>
      <c r="FKZ41" s="1091"/>
      <c r="FLA41" s="1091"/>
      <c r="FLB41" s="1091"/>
      <c r="FLC41" s="1091"/>
      <c r="FLD41" s="1091"/>
      <c r="FLE41" s="1091"/>
      <c r="FLF41" s="1091"/>
      <c r="FLG41" s="1091"/>
      <c r="FLH41" s="1091"/>
      <c r="FLI41" s="1091"/>
      <c r="FLJ41" s="1091"/>
      <c r="FLK41" s="1091"/>
      <c r="FLL41" s="1091"/>
      <c r="FLM41" s="1091"/>
      <c r="FLN41" s="1091"/>
      <c r="FLO41" s="1091"/>
      <c r="FLP41" s="1091"/>
      <c r="FLQ41" s="1091"/>
      <c r="FLR41" s="1091"/>
      <c r="FLS41" s="1091"/>
      <c r="FLT41" s="1091"/>
      <c r="FLU41" s="1091"/>
      <c r="FLV41" s="1091"/>
      <c r="FLW41" s="1091"/>
      <c r="FLX41" s="1091"/>
      <c r="FLY41" s="1091"/>
      <c r="FLZ41" s="1091"/>
      <c r="FMA41" s="1091"/>
      <c r="FMB41" s="1091"/>
      <c r="FMC41" s="1091"/>
      <c r="FMD41" s="1091"/>
      <c r="FME41" s="1091"/>
      <c r="FMF41" s="1091"/>
      <c r="FMG41" s="1091"/>
      <c r="FMH41" s="1091"/>
      <c r="FMI41" s="1091"/>
      <c r="FMJ41" s="1091"/>
      <c r="FMK41" s="1091"/>
      <c r="FML41" s="1091"/>
      <c r="FMM41" s="1091"/>
      <c r="FMN41" s="1091"/>
      <c r="FMO41" s="1091"/>
      <c r="FMP41" s="1091"/>
      <c r="FMQ41" s="1091"/>
      <c r="FMR41" s="1091"/>
      <c r="FMS41" s="1091"/>
      <c r="FMT41" s="1091"/>
      <c r="FMU41" s="1091"/>
      <c r="FMV41" s="1091"/>
      <c r="FMW41" s="1091"/>
      <c r="FMX41" s="1091"/>
      <c r="FMY41" s="1091"/>
      <c r="FMZ41" s="1091"/>
      <c r="FNA41" s="1091"/>
      <c r="FNB41" s="1091"/>
      <c r="FNC41" s="1091"/>
      <c r="FND41" s="1091"/>
      <c r="FNE41" s="1091"/>
      <c r="FNF41" s="1091"/>
      <c r="FNG41" s="1091"/>
      <c r="FNH41" s="1091"/>
      <c r="FNI41" s="1091"/>
      <c r="FNJ41" s="1091"/>
      <c r="FNK41" s="1091"/>
      <c r="FNL41" s="1091"/>
      <c r="FNM41" s="1091"/>
      <c r="FNN41" s="1091"/>
      <c r="FNO41" s="1091"/>
      <c r="FNP41" s="1091"/>
      <c r="FNQ41" s="1091"/>
      <c r="FNR41" s="1091"/>
      <c r="FNS41" s="1091"/>
      <c r="FNT41" s="1091"/>
      <c r="FNU41" s="1091"/>
      <c r="FNV41" s="1091"/>
      <c r="FNW41" s="1091"/>
      <c r="FNX41" s="1091"/>
      <c r="FNY41" s="1091"/>
      <c r="FNZ41" s="1091"/>
      <c r="FOA41" s="1091"/>
      <c r="FOB41" s="1091"/>
      <c r="FOC41" s="1091"/>
      <c r="FOD41" s="1091"/>
      <c r="FOE41" s="1091"/>
      <c r="FOF41" s="1091"/>
      <c r="FOG41" s="1091"/>
      <c r="FOH41" s="1091"/>
      <c r="FOI41" s="1091"/>
      <c r="FOJ41" s="1091"/>
      <c r="FOK41" s="1091"/>
      <c r="FOL41" s="1091"/>
      <c r="FOM41" s="1091"/>
      <c r="FON41" s="1091"/>
      <c r="FOO41" s="1091"/>
      <c r="FOP41" s="1091"/>
      <c r="FOQ41" s="1091"/>
      <c r="FOR41" s="1091"/>
      <c r="FOS41" s="1091"/>
      <c r="FOT41" s="1091"/>
      <c r="FOU41" s="1091"/>
      <c r="FOV41" s="1091"/>
      <c r="FOW41" s="1091"/>
      <c r="FOX41" s="1091"/>
      <c r="FOY41" s="1091"/>
      <c r="FOZ41" s="1091"/>
      <c r="FPA41" s="1091"/>
      <c r="FPB41" s="1091"/>
      <c r="FPC41" s="1091"/>
      <c r="FPD41" s="1091"/>
      <c r="FPE41" s="1091"/>
      <c r="FPF41" s="1091"/>
      <c r="FPG41" s="1091"/>
      <c r="FPH41" s="1091"/>
      <c r="FPI41" s="1091"/>
      <c r="FPJ41" s="1091"/>
      <c r="FPK41" s="1091"/>
      <c r="FPL41" s="1091"/>
      <c r="FPM41" s="1091"/>
      <c r="FPN41" s="1091"/>
      <c r="FPO41" s="1091"/>
      <c r="FPP41" s="1091"/>
      <c r="FPQ41" s="1091"/>
      <c r="FPR41" s="1091"/>
      <c r="FPS41" s="1091"/>
      <c r="FPT41" s="1091"/>
      <c r="FPU41" s="1091"/>
      <c r="FPV41" s="1091"/>
      <c r="FPW41" s="1091"/>
      <c r="FPX41" s="1091"/>
      <c r="FPY41" s="1091"/>
      <c r="FPZ41" s="1091"/>
      <c r="FQA41" s="1091"/>
      <c r="FQB41" s="1091"/>
      <c r="FQC41" s="1091"/>
      <c r="FQD41" s="1091"/>
      <c r="FQE41" s="1091"/>
      <c r="FQF41" s="1091"/>
      <c r="FQG41" s="1091"/>
      <c r="FQH41" s="1091"/>
      <c r="FQI41" s="1091"/>
      <c r="FQJ41" s="1091"/>
      <c r="FQK41" s="1091"/>
      <c r="FQL41" s="1091"/>
      <c r="FQM41" s="1091"/>
      <c r="FQN41" s="1091"/>
      <c r="FQO41" s="1091"/>
      <c r="FQP41" s="1091"/>
      <c r="FQQ41" s="1091"/>
      <c r="FQR41" s="1091"/>
      <c r="FQS41" s="1091"/>
      <c r="FQT41" s="1091"/>
      <c r="FQU41" s="1091"/>
      <c r="FQV41" s="1091"/>
      <c r="FQW41" s="1091"/>
      <c r="FQX41" s="1091"/>
      <c r="FQY41" s="1091"/>
      <c r="FQZ41" s="1091"/>
      <c r="FRA41" s="1091"/>
      <c r="FRB41" s="1091"/>
      <c r="FRC41" s="1091"/>
      <c r="FRD41" s="1091"/>
      <c r="FRE41" s="1091"/>
      <c r="FRF41" s="1091"/>
      <c r="FRG41" s="1091"/>
      <c r="FRH41" s="1091"/>
      <c r="FRI41" s="1091"/>
      <c r="FRJ41" s="1091"/>
      <c r="FRK41" s="1091"/>
      <c r="FRL41" s="1091"/>
      <c r="FRM41" s="1091"/>
      <c r="FRN41" s="1091"/>
      <c r="FRO41" s="1091"/>
      <c r="FRP41" s="1091"/>
      <c r="FRQ41" s="1091"/>
      <c r="FRR41" s="1091"/>
      <c r="FRS41" s="1091"/>
      <c r="FRT41" s="1091"/>
      <c r="FRU41" s="1091"/>
      <c r="FRV41" s="1091"/>
      <c r="FRW41" s="1091"/>
      <c r="FRX41" s="1091"/>
      <c r="FRY41" s="1091"/>
      <c r="FRZ41" s="1091"/>
      <c r="FSA41" s="1091"/>
      <c r="FSB41" s="1091"/>
      <c r="FSC41" s="1091"/>
      <c r="FSD41" s="1091"/>
      <c r="FSE41" s="1091"/>
      <c r="FSF41" s="1091"/>
      <c r="FSG41" s="1091"/>
      <c r="FSH41" s="1091"/>
      <c r="FSI41" s="1091"/>
      <c r="FSJ41" s="1091"/>
      <c r="FSK41" s="1091"/>
      <c r="FSL41" s="1091"/>
      <c r="FSM41" s="1091"/>
      <c r="FSN41" s="1091"/>
      <c r="FSO41" s="1091"/>
      <c r="FSP41" s="1091"/>
      <c r="FSQ41" s="1091"/>
      <c r="FSR41" s="1091"/>
      <c r="FSS41" s="1091"/>
      <c r="FST41" s="1091"/>
      <c r="FSU41" s="1091"/>
      <c r="FSV41" s="1091"/>
      <c r="FSW41" s="1091"/>
      <c r="FSX41" s="1091"/>
      <c r="FSY41" s="1091"/>
      <c r="FSZ41" s="1091"/>
      <c r="FTA41" s="1091"/>
      <c r="FTB41" s="1091"/>
      <c r="FTC41" s="1091"/>
      <c r="FTD41" s="1091"/>
      <c r="FTE41" s="1091"/>
      <c r="FTF41" s="1091"/>
      <c r="FTG41" s="1091"/>
      <c r="FTH41" s="1091"/>
      <c r="FTI41" s="1091"/>
      <c r="FTJ41" s="1091"/>
      <c r="FTK41" s="1091"/>
      <c r="FTL41" s="1091"/>
      <c r="FTM41" s="1091"/>
      <c r="FTN41" s="1091"/>
      <c r="FTO41" s="1091"/>
      <c r="FTP41" s="1091"/>
      <c r="FTQ41" s="1091"/>
      <c r="FTR41" s="1091"/>
      <c r="FTS41" s="1091"/>
      <c r="FTT41" s="1091"/>
      <c r="FTU41" s="1091"/>
      <c r="FTV41" s="1091"/>
      <c r="FTW41" s="1091"/>
      <c r="FTX41" s="1091"/>
      <c r="FTY41" s="1091"/>
      <c r="FTZ41" s="1091"/>
      <c r="FUA41" s="1091"/>
      <c r="FUB41" s="1091"/>
      <c r="FUC41" s="1091"/>
      <c r="FUD41" s="1091"/>
      <c r="FUE41" s="1091"/>
      <c r="FUF41" s="1091"/>
      <c r="FUG41" s="1091"/>
      <c r="FUH41" s="1091"/>
      <c r="FUI41" s="1091"/>
      <c r="FUJ41" s="1091"/>
      <c r="FUK41" s="1091"/>
      <c r="FUL41" s="1091"/>
      <c r="FUM41" s="1091"/>
      <c r="FUN41" s="1091"/>
      <c r="FUO41" s="1091"/>
      <c r="FUP41" s="1091"/>
      <c r="FUQ41" s="1091"/>
      <c r="FUR41" s="1091"/>
      <c r="FUS41" s="1091"/>
      <c r="FUT41" s="1091"/>
      <c r="FUU41" s="1091"/>
      <c r="FUV41" s="1091"/>
      <c r="FUW41" s="1091"/>
      <c r="FUX41" s="1091"/>
      <c r="FUY41" s="1091"/>
      <c r="FUZ41" s="1091"/>
      <c r="FVA41" s="1091"/>
      <c r="FVB41" s="1091"/>
      <c r="FVC41" s="1091"/>
      <c r="FVD41" s="1091"/>
      <c r="FVE41" s="1091"/>
      <c r="FVF41" s="1091"/>
      <c r="FVG41" s="1091"/>
      <c r="FVH41" s="1091"/>
      <c r="FVI41" s="1091"/>
      <c r="FVJ41" s="1091"/>
      <c r="FVK41" s="1091"/>
      <c r="FVL41" s="1091"/>
      <c r="FVM41" s="1091"/>
      <c r="FVN41" s="1091"/>
      <c r="FVO41" s="1091"/>
      <c r="FVP41" s="1091"/>
      <c r="FVQ41" s="1091"/>
      <c r="FVR41" s="1091"/>
      <c r="FVS41" s="1091"/>
      <c r="FVT41" s="1091"/>
      <c r="FVU41" s="1091"/>
      <c r="FVV41" s="1091"/>
      <c r="FVW41" s="1091"/>
      <c r="FVX41" s="1091"/>
      <c r="FVY41" s="1091"/>
      <c r="FVZ41" s="1091"/>
      <c r="FWA41" s="1091"/>
      <c r="FWB41" s="1091"/>
      <c r="FWC41" s="1091"/>
      <c r="FWD41" s="1091"/>
      <c r="FWE41" s="1091"/>
      <c r="FWF41" s="1091"/>
      <c r="FWG41" s="1091"/>
      <c r="FWH41" s="1091"/>
      <c r="FWI41" s="1091"/>
      <c r="FWJ41" s="1091"/>
      <c r="FWK41" s="1091"/>
      <c r="FWL41" s="1091"/>
      <c r="FWM41" s="1091"/>
      <c r="FWN41" s="1091"/>
      <c r="FWO41" s="1091"/>
      <c r="FWP41" s="1091"/>
      <c r="FWQ41" s="1091"/>
      <c r="FWR41" s="1091"/>
      <c r="FWS41" s="1091"/>
      <c r="FWT41" s="1091"/>
      <c r="FWU41" s="1091"/>
      <c r="FWV41" s="1091"/>
      <c r="FWW41" s="1091"/>
      <c r="FWX41" s="1091"/>
      <c r="FWY41" s="1091"/>
      <c r="FWZ41" s="1091"/>
      <c r="FXA41" s="1091"/>
      <c r="FXB41" s="1091"/>
      <c r="FXC41" s="1091"/>
      <c r="FXD41" s="1091"/>
      <c r="FXE41" s="1091"/>
      <c r="FXF41" s="1091"/>
      <c r="FXG41" s="1091"/>
      <c r="FXH41" s="1091"/>
      <c r="FXI41" s="1091"/>
      <c r="FXJ41" s="1091"/>
      <c r="FXK41" s="1091"/>
      <c r="FXL41" s="1091"/>
      <c r="FXM41" s="1091"/>
      <c r="FXN41" s="1091"/>
      <c r="FXO41" s="1091"/>
      <c r="FXP41" s="1091"/>
      <c r="FXQ41" s="1091"/>
      <c r="FXR41" s="1091"/>
      <c r="FXS41" s="1091"/>
      <c r="FXT41" s="1091"/>
      <c r="FXU41" s="1091"/>
      <c r="FXV41" s="1091"/>
      <c r="FXW41" s="1091"/>
      <c r="FXX41" s="1091"/>
      <c r="FXY41" s="1091"/>
      <c r="FXZ41" s="1091"/>
      <c r="FYA41" s="1091"/>
      <c r="FYB41" s="1091"/>
      <c r="FYC41" s="1091"/>
      <c r="FYD41" s="1091"/>
      <c r="FYE41" s="1091"/>
      <c r="FYF41" s="1091"/>
      <c r="FYG41" s="1091"/>
      <c r="FYH41" s="1091"/>
      <c r="FYI41" s="1091"/>
      <c r="FYJ41" s="1091"/>
      <c r="FYK41" s="1091"/>
      <c r="FYL41" s="1091"/>
      <c r="FYM41" s="1091"/>
      <c r="FYN41" s="1091"/>
      <c r="FYO41" s="1091"/>
      <c r="FYP41" s="1091"/>
      <c r="FYQ41" s="1091"/>
      <c r="FYR41" s="1091"/>
      <c r="FYS41" s="1091"/>
      <c r="FYT41" s="1091"/>
      <c r="FYU41" s="1091"/>
      <c r="FYV41" s="1091"/>
      <c r="FYW41" s="1091"/>
      <c r="FYX41" s="1091"/>
      <c r="FYY41" s="1091"/>
      <c r="FYZ41" s="1091"/>
      <c r="FZA41" s="1091"/>
      <c r="FZB41" s="1091"/>
      <c r="FZC41" s="1091"/>
      <c r="FZD41" s="1091"/>
      <c r="FZE41" s="1091"/>
      <c r="FZF41" s="1091"/>
      <c r="FZG41" s="1091"/>
      <c r="FZH41" s="1091"/>
      <c r="FZI41" s="1091"/>
      <c r="FZJ41" s="1091"/>
      <c r="FZK41" s="1091"/>
      <c r="FZL41" s="1091"/>
      <c r="FZM41" s="1091"/>
      <c r="FZN41" s="1091"/>
      <c r="FZO41" s="1091"/>
      <c r="FZP41" s="1091"/>
      <c r="FZQ41" s="1091"/>
      <c r="FZR41" s="1091"/>
      <c r="FZS41" s="1091"/>
      <c r="FZT41" s="1091"/>
      <c r="FZU41" s="1091"/>
      <c r="FZV41" s="1091"/>
      <c r="FZW41" s="1091"/>
      <c r="FZX41" s="1091"/>
      <c r="FZY41" s="1091"/>
      <c r="FZZ41" s="1091"/>
      <c r="GAA41" s="1091"/>
      <c r="GAB41" s="1091"/>
      <c r="GAC41" s="1091"/>
      <c r="GAD41" s="1091"/>
      <c r="GAE41" s="1091"/>
      <c r="GAF41" s="1091"/>
      <c r="GAG41" s="1091"/>
      <c r="GAH41" s="1091"/>
      <c r="GAI41" s="1091"/>
      <c r="GAJ41" s="1091"/>
      <c r="GAK41" s="1091"/>
      <c r="GAL41" s="1091"/>
      <c r="GAM41" s="1091"/>
      <c r="GAN41" s="1091"/>
      <c r="GAO41" s="1091"/>
      <c r="GAP41" s="1091"/>
      <c r="GAQ41" s="1091"/>
      <c r="GAR41" s="1091"/>
      <c r="GAS41" s="1091"/>
      <c r="GAT41" s="1091"/>
      <c r="GAU41" s="1091"/>
      <c r="GAV41" s="1091"/>
      <c r="GAW41" s="1091"/>
      <c r="GAX41" s="1091"/>
      <c r="GAY41" s="1091"/>
      <c r="GAZ41" s="1091"/>
      <c r="GBA41" s="1091"/>
      <c r="GBB41" s="1091"/>
      <c r="GBC41" s="1091"/>
      <c r="GBD41" s="1091"/>
      <c r="GBE41" s="1091"/>
      <c r="GBF41" s="1091"/>
      <c r="GBG41" s="1091"/>
      <c r="GBH41" s="1091"/>
      <c r="GBI41" s="1091"/>
      <c r="GBJ41" s="1091"/>
      <c r="GBK41" s="1091"/>
      <c r="GBL41" s="1091"/>
      <c r="GBM41" s="1091"/>
      <c r="GBN41" s="1091"/>
      <c r="GBO41" s="1091"/>
      <c r="GBP41" s="1091"/>
      <c r="GBQ41" s="1091"/>
      <c r="GBR41" s="1091"/>
      <c r="GBS41" s="1091"/>
      <c r="GBT41" s="1091"/>
      <c r="GBU41" s="1091"/>
      <c r="GBV41" s="1091"/>
      <c r="GBW41" s="1091"/>
      <c r="GBX41" s="1091"/>
      <c r="GBY41" s="1091"/>
      <c r="GBZ41" s="1091"/>
      <c r="GCA41" s="1091"/>
      <c r="GCB41" s="1091"/>
      <c r="GCC41" s="1091"/>
      <c r="GCD41" s="1091"/>
      <c r="GCE41" s="1091"/>
      <c r="GCF41" s="1091"/>
      <c r="GCG41" s="1091"/>
      <c r="GCH41" s="1091"/>
      <c r="GCI41" s="1091"/>
      <c r="GCJ41" s="1091"/>
      <c r="GCK41" s="1091"/>
      <c r="GCL41" s="1091"/>
      <c r="GCM41" s="1091"/>
      <c r="GCN41" s="1091"/>
      <c r="GCO41" s="1091"/>
      <c r="GCP41" s="1091"/>
      <c r="GCQ41" s="1091"/>
      <c r="GCR41" s="1091"/>
      <c r="GCS41" s="1091"/>
      <c r="GCT41" s="1091"/>
      <c r="GCU41" s="1091"/>
      <c r="GCV41" s="1091"/>
      <c r="GCW41" s="1091"/>
      <c r="GCX41" s="1091"/>
      <c r="GCY41" s="1091"/>
      <c r="GCZ41" s="1091"/>
      <c r="GDA41" s="1091"/>
      <c r="GDB41" s="1091"/>
      <c r="GDC41" s="1091"/>
      <c r="GDD41" s="1091"/>
      <c r="GDE41" s="1091"/>
      <c r="GDF41" s="1091"/>
      <c r="GDG41" s="1091"/>
      <c r="GDH41" s="1091"/>
      <c r="GDI41" s="1091"/>
      <c r="GDJ41" s="1091"/>
      <c r="GDK41" s="1091"/>
      <c r="GDL41" s="1091"/>
      <c r="GDM41" s="1091"/>
      <c r="GDN41" s="1091"/>
      <c r="GDO41" s="1091"/>
      <c r="GDP41" s="1091"/>
      <c r="GDQ41" s="1091"/>
      <c r="GDR41" s="1091"/>
      <c r="GDS41" s="1091"/>
      <c r="GDT41" s="1091"/>
      <c r="GDU41" s="1091"/>
      <c r="GDV41" s="1091"/>
      <c r="GDW41" s="1091"/>
      <c r="GDX41" s="1091"/>
      <c r="GDY41" s="1091"/>
      <c r="GDZ41" s="1091"/>
      <c r="GEA41" s="1091"/>
      <c r="GEB41" s="1091"/>
      <c r="GEC41" s="1091"/>
      <c r="GED41" s="1091"/>
      <c r="GEE41" s="1091"/>
      <c r="GEF41" s="1091"/>
      <c r="GEG41" s="1091"/>
      <c r="GEH41" s="1091"/>
      <c r="GEI41" s="1091"/>
      <c r="GEJ41" s="1091"/>
      <c r="GEK41" s="1091"/>
      <c r="GEL41" s="1091"/>
      <c r="GEM41" s="1091"/>
      <c r="GEN41" s="1091"/>
      <c r="GEO41" s="1091"/>
      <c r="GEP41" s="1091"/>
      <c r="GEQ41" s="1091"/>
      <c r="GER41" s="1091"/>
      <c r="GES41" s="1091"/>
      <c r="GET41" s="1091"/>
      <c r="GEU41" s="1091"/>
      <c r="GEV41" s="1091"/>
      <c r="GEW41" s="1091"/>
      <c r="GEX41" s="1091"/>
      <c r="GEY41" s="1091"/>
      <c r="GEZ41" s="1091"/>
      <c r="GFA41" s="1091"/>
      <c r="GFB41" s="1091"/>
      <c r="GFC41" s="1091"/>
      <c r="GFD41" s="1091"/>
      <c r="GFE41" s="1091"/>
      <c r="GFF41" s="1091"/>
      <c r="GFG41" s="1091"/>
      <c r="GFH41" s="1091"/>
      <c r="GFI41" s="1091"/>
      <c r="GFJ41" s="1091"/>
      <c r="GFK41" s="1091"/>
      <c r="GFL41" s="1091"/>
      <c r="GFM41" s="1091"/>
      <c r="GFN41" s="1091"/>
      <c r="GFO41" s="1091"/>
      <c r="GFP41" s="1091"/>
      <c r="GFQ41" s="1091"/>
      <c r="GFR41" s="1091"/>
      <c r="GFS41" s="1091"/>
      <c r="GFT41" s="1091"/>
      <c r="GFU41" s="1091"/>
      <c r="GFV41" s="1091"/>
      <c r="GFW41" s="1091"/>
      <c r="GFX41" s="1091"/>
      <c r="GFY41" s="1091"/>
      <c r="GFZ41" s="1091"/>
      <c r="GGA41" s="1091"/>
      <c r="GGB41" s="1091"/>
      <c r="GGC41" s="1091"/>
      <c r="GGD41" s="1091"/>
      <c r="GGE41" s="1091"/>
      <c r="GGF41" s="1091"/>
      <c r="GGG41" s="1091"/>
      <c r="GGH41" s="1091"/>
      <c r="GGI41" s="1091"/>
      <c r="GGJ41" s="1091"/>
      <c r="GGK41" s="1091"/>
      <c r="GGL41" s="1091"/>
      <c r="GGM41" s="1091"/>
      <c r="GGN41" s="1091"/>
      <c r="GGO41" s="1091"/>
      <c r="GGP41" s="1091"/>
      <c r="GGQ41" s="1091"/>
      <c r="GGR41" s="1091"/>
      <c r="GGS41" s="1091"/>
      <c r="GGT41" s="1091"/>
      <c r="GGU41" s="1091"/>
      <c r="GGV41" s="1091"/>
      <c r="GGW41" s="1091"/>
      <c r="GGX41" s="1091"/>
      <c r="GGY41" s="1091"/>
      <c r="GGZ41" s="1091"/>
      <c r="GHA41" s="1091"/>
      <c r="GHB41" s="1091"/>
      <c r="GHC41" s="1091"/>
      <c r="GHD41" s="1091"/>
      <c r="GHE41" s="1091"/>
      <c r="GHF41" s="1091"/>
      <c r="GHG41" s="1091"/>
      <c r="GHH41" s="1091"/>
      <c r="GHI41" s="1091"/>
      <c r="GHJ41" s="1091"/>
      <c r="GHK41" s="1091"/>
      <c r="GHL41" s="1091"/>
      <c r="GHM41" s="1091"/>
      <c r="GHN41" s="1091"/>
      <c r="GHO41" s="1091"/>
      <c r="GHP41" s="1091"/>
      <c r="GHQ41" s="1091"/>
      <c r="GHR41" s="1091"/>
      <c r="GHS41" s="1091"/>
      <c r="GHT41" s="1091"/>
      <c r="GHU41" s="1091"/>
      <c r="GHV41" s="1091"/>
      <c r="GHW41" s="1091"/>
      <c r="GHX41" s="1091"/>
      <c r="GHY41" s="1091"/>
      <c r="GHZ41" s="1091"/>
      <c r="GIA41" s="1091"/>
      <c r="GIB41" s="1091"/>
      <c r="GIC41" s="1091"/>
      <c r="GID41" s="1091"/>
      <c r="GIE41" s="1091"/>
      <c r="GIF41" s="1091"/>
      <c r="GIG41" s="1091"/>
      <c r="GIH41" s="1091"/>
      <c r="GII41" s="1091"/>
      <c r="GIJ41" s="1091"/>
      <c r="GIK41" s="1091"/>
      <c r="GIL41" s="1091"/>
      <c r="GIM41" s="1091"/>
      <c r="GIN41" s="1091"/>
      <c r="GIO41" s="1091"/>
      <c r="GIP41" s="1091"/>
      <c r="GIQ41" s="1091"/>
      <c r="GIR41" s="1091"/>
      <c r="GIS41" s="1091"/>
      <c r="GIT41" s="1091"/>
      <c r="GIU41" s="1091"/>
      <c r="GIV41" s="1091"/>
      <c r="GIW41" s="1091"/>
      <c r="GIX41" s="1091"/>
      <c r="GIY41" s="1091"/>
      <c r="GIZ41" s="1091"/>
      <c r="GJA41" s="1091"/>
      <c r="GJB41" s="1091"/>
      <c r="GJC41" s="1091"/>
      <c r="GJD41" s="1091"/>
      <c r="GJE41" s="1091"/>
      <c r="GJF41" s="1091"/>
      <c r="GJG41" s="1091"/>
      <c r="GJH41" s="1091"/>
      <c r="GJI41" s="1091"/>
      <c r="GJJ41" s="1091"/>
      <c r="GJK41" s="1091"/>
      <c r="GJL41" s="1091"/>
      <c r="GJM41" s="1091"/>
      <c r="GJN41" s="1091"/>
      <c r="GJO41" s="1091"/>
      <c r="GJP41" s="1091"/>
      <c r="GJQ41" s="1091"/>
      <c r="GJR41" s="1091"/>
      <c r="GJS41" s="1091"/>
      <c r="GJT41" s="1091"/>
      <c r="GJU41" s="1091"/>
      <c r="GJV41" s="1091"/>
      <c r="GJW41" s="1091"/>
      <c r="GJX41" s="1091"/>
      <c r="GJY41" s="1091"/>
      <c r="GJZ41" s="1091"/>
      <c r="GKA41" s="1091"/>
      <c r="GKB41" s="1091"/>
      <c r="GKC41" s="1091"/>
      <c r="GKD41" s="1091"/>
      <c r="GKE41" s="1091"/>
      <c r="GKF41" s="1091"/>
      <c r="GKG41" s="1091"/>
      <c r="GKH41" s="1091"/>
      <c r="GKI41" s="1091"/>
      <c r="GKJ41" s="1091"/>
      <c r="GKK41" s="1091"/>
      <c r="GKL41" s="1091"/>
      <c r="GKM41" s="1091"/>
      <c r="GKN41" s="1091"/>
      <c r="GKO41" s="1091"/>
      <c r="GKP41" s="1091"/>
      <c r="GKQ41" s="1091"/>
      <c r="GKR41" s="1091"/>
      <c r="GKS41" s="1091"/>
      <c r="GKT41" s="1091"/>
      <c r="GKU41" s="1091"/>
      <c r="GKV41" s="1091"/>
      <c r="GKW41" s="1091"/>
      <c r="GKX41" s="1091"/>
      <c r="GKY41" s="1091"/>
      <c r="GKZ41" s="1091"/>
      <c r="GLA41" s="1091"/>
      <c r="GLB41" s="1091"/>
      <c r="GLC41" s="1091"/>
      <c r="GLD41" s="1091"/>
      <c r="GLE41" s="1091"/>
      <c r="GLF41" s="1091"/>
      <c r="GLG41" s="1091"/>
      <c r="GLH41" s="1091"/>
      <c r="GLI41" s="1091"/>
      <c r="GLJ41" s="1091"/>
      <c r="GLK41" s="1091"/>
      <c r="GLL41" s="1091"/>
      <c r="GLM41" s="1091"/>
      <c r="GLN41" s="1091"/>
      <c r="GLO41" s="1091"/>
      <c r="GLP41" s="1091"/>
      <c r="GLQ41" s="1091"/>
      <c r="GLR41" s="1091"/>
      <c r="GLS41" s="1091"/>
      <c r="GLT41" s="1091"/>
      <c r="GLU41" s="1091"/>
      <c r="GLV41" s="1091"/>
      <c r="GLW41" s="1091"/>
      <c r="GLX41" s="1091"/>
      <c r="GLY41" s="1091"/>
      <c r="GLZ41" s="1091"/>
      <c r="GMA41" s="1091"/>
      <c r="GMB41" s="1091"/>
      <c r="GMC41" s="1091"/>
      <c r="GMD41" s="1091"/>
      <c r="GME41" s="1091"/>
      <c r="GMF41" s="1091"/>
      <c r="GMG41" s="1091"/>
      <c r="GMH41" s="1091"/>
      <c r="GMI41" s="1091"/>
      <c r="GMJ41" s="1091"/>
      <c r="GMK41" s="1091"/>
      <c r="GML41" s="1091"/>
      <c r="GMM41" s="1091"/>
      <c r="GMN41" s="1091"/>
      <c r="GMO41" s="1091"/>
      <c r="GMP41" s="1091"/>
      <c r="GMQ41" s="1091"/>
      <c r="GMR41" s="1091"/>
      <c r="GMS41" s="1091"/>
      <c r="GMT41" s="1091"/>
      <c r="GMU41" s="1091"/>
      <c r="GMV41" s="1091"/>
      <c r="GMW41" s="1091"/>
      <c r="GMX41" s="1091"/>
      <c r="GMY41" s="1091"/>
      <c r="GMZ41" s="1091"/>
      <c r="GNA41" s="1091"/>
      <c r="GNB41" s="1091"/>
      <c r="GNC41" s="1091"/>
      <c r="GND41" s="1091"/>
      <c r="GNE41" s="1091"/>
      <c r="GNF41" s="1091"/>
      <c r="GNG41" s="1091"/>
      <c r="GNH41" s="1091"/>
      <c r="GNI41" s="1091"/>
      <c r="GNJ41" s="1091"/>
      <c r="GNK41" s="1091"/>
      <c r="GNL41" s="1091"/>
      <c r="GNM41" s="1091"/>
      <c r="GNN41" s="1091"/>
      <c r="GNO41" s="1091"/>
      <c r="GNP41" s="1091"/>
      <c r="GNQ41" s="1091"/>
      <c r="GNR41" s="1091"/>
      <c r="GNS41" s="1091"/>
      <c r="GNT41" s="1091"/>
      <c r="GNU41" s="1091"/>
      <c r="GNV41" s="1091"/>
      <c r="GNW41" s="1091"/>
      <c r="GNX41" s="1091"/>
      <c r="GNY41" s="1091"/>
      <c r="GNZ41" s="1091"/>
      <c r="GOA41" s="1091"/>
      <c r="GOB41" s="1091"/>
      <c r="GOC41" s="1091"/>
      <c r="GOD41" s="1091"/>
      <c r="GOE41" s="1091"/>
      <c r="GOF41" s="1091"/>
      <c r="GOG41" s="1091"/>
      <c r="GOH41" s="1091"/>
      <c r="GOI41" s="1091"/>
      <c r="GOJ41" s="1091"/>
      <c r="GOK41" s="1091"/>
      <c r="GOL41" s="1091"/>
      <c r="GOM41" s="1091"/>
      <c r="GON41" s="1091"/>
      <c r="GOO41" s="1091"/>
      <c r="GOP41" s="1091"/>
      <c r="GOQ41" s="1091"/>
      <c r="GOR41" s="1091"/>
      <c r="GOS41" s="1091"/>
      <c r="GOT41" s="1091"/>
      <c r="GOU41" s="1091"/>
      <c r="GOV41" s="1091"/>
      <c r="GOW41" s="1091"/>
      <c r="GOX41" s="1091"/>
      <c r="GOY41" s="1091"/>
      <c r="GOZ41" s="1091"/>
      <c r="GPA41" s="1091"/>
      <c r="GPB41" s="1091"/>
      <c r="GPC41" s="1091"/>
      <c r="GPD41" s="1091"/>
      <c r="GPE41" s="1091"/>
      <c r="GPF41" s="1091"/>
      <c r="GPG41" s="1091"/>
      <c r="GPH41" s="1091"/>
      <c r="GPI41" s="1091"/>
      <c r="GPJ41" s="1091"/>
      <c r="GPK41" s="1091"/>
      <c r="GPL41" s="1091"/>
      <c r="GPM41" s="1091"/>
      <c r="GPN41" s="1091"/>
      <c r="GPO41" s="1091"/>
      <c r="GPP41" s="1091"/>
      <c r="GPQ41" s="1091"/>
      <c r="GPR41" s="1091"/>
      <c r="GPS41" s="1091"/>
      <c r="GPT41" s="1091"/>
      <c r="GPU41" s="1091"/>
      <c r="GPV41" s="1091"/>
      <c r="GPW41" s="1091"/>
      <c r="GPX41" s="1091"/>
      <c r="GPY41" s="1091"/>
      <c r="GPZ41" s="1091"/>
      <c r="GQA41" s="1091"/>
      <c r="GQB41" s="1091"/>
      <c r="GQC41" s="1091"/>
      <c r="GQD41" s="1091"/>
      <c r="GQE41" s="1091"/>
      <c r="GQF41" s="1091"/>
      <c r="GQG41" s="1091"/>
      <c r="GQH41" s="1091"/>
      <c r="GQI41" s="1091"/>
      <c r="GQJ41" s="1091"/>
      <c r="GQK41" s="1091"/>
      <c r="GQL41" s="1091"/>
      <c r="GQM41" s="1091"/>
      <c r="GQN41" s="1091"/>
      <c r="GQO41" s="1091"/>
      <c r="GQP41" s="1091"/>
      <c r="GQQ41" s="1091"/>
      <c r="GQR41" s="1091"/>
      <c r="GQS41" s="1091"/>
      <c r="GQT41" s="1091"/>
      <c r="GQU41" s="1091"/>
      <c r="GQV41" s="1091"/>
      <c r="GQW41" s="1091"/>
      <c r="GQX41" s="1091"/>
      <c r="GQY41" s="1091"/>
      <c r="GQZ41" s="1091"/>
      <c r="GRA41" s="1091"/>
      <c r="GRB41" s="1091"/>
      <c r="GRC41" s="1091"/>
      <c r="GRD41" s="1091"/>
      <c r="GRE41" s="1091"/>
      <c r="GRF41" s="1091"/>
      <c r="GRG41" s="1091"/>
      <c r="GRH41" s="1091"/>
      <c r="GRI41" s="1091"/>
      <c r="GRJ41" s="1091"/>
      <c r="GRK41" s="1091"/>
      <c r="GRL41" s="1091"/>
      <c r="GRM41" s="1091"/>
      <c r="GRN41" s="1091"/>
      <c r="GRO41" s="1091"/>
      <c r="GRP41" s="1091"/>
      <c r="GRQ41" s="1091"/>
      <c r="GRR41" s="1091"/>
      <c r="GRS41" s="1091"/>
      <c r="GRT41" s="1091"/>
      <c r="GRU41" s="1091"/>
      <c r="GRV41" s="1091"/>
      <c r="GRW41" s="1091"/>
      <c r="GRX41" s="1091"/>
      <c r="GRY41" s="1091"/>
      <c r="GRZ41" s="1091"/>
      <c r="GSA41" s="1091"/>
      <c r="GSB41" s="1091"/>
      <c r="GSC41" s="1091"/>
      <c r="GSD41" s="1091"/>
      <c r="GSE41" s="1091"/>
      <c r="GSF41" s="1091"/>
      <c r="GSG41" s="1091"/>
      <c r="GSH41" s="1091"/>
      <c r="GSI41" s="1091"/>
      <c r="GSJ41" s="1091"/>
      <c r="GSK41" s="1091"/>
      <c r="GSL41" s="1091"/>
      <c r="GSM41" s="1091"/>
      <c r="GSN41" s="1091"/>
      <c r="GSO41" s="1091"/>
      <c r="GSP41" s="1091"/>
      <c r="GSQ41" s="1091"/>
      <c r="GSR41" s="1091"/>
      <c r="GSS41" s="1091"/>
      <c r="GST41" s="1091"/>
      <c r="GSU41" s="1091"/>
      <c r="GSV41" s="1091"/>
      <c r="GSW41" s="1091"/>
      <c r="GSX41" s="1091"/>
      <c r="GSY41" s="1091"/>
      <c r="GSZ41" s="1091"/>
      <c r="GTA41" s="1091"/>
      <c r="GTB41" s="1091"/>
      <c r="GTC41" s="1091"/>
      <c r="GTD41" s="1091"/>
      <c r="GTE41" s="1091"/>
      <c r="GTF41" s="1091"/>
      <c r="GTG41" s="1091"/>
      <c r="GTH41" s="1091"/>
      <c r="GTI41" s="1091"/>
      <c r="GTJ41" s="1091"/>
      <c r="GTK41" s="1091"/>
      <c r="GTL41" s="1091"/>
      <c r="GTM41" s="1091"/>
      <c r="GTN41" s="1091"/>
      <c r="GTO41" s="1091"/>
      <c r="GTP41" s="1091"/>
      <c r="GTQ41" s="1091"/>
      <c r="GTR41" s="1091"/>
      <c r="GTS41" s="1091"/>
      <c r="GTT41" s="1091"/>
      <c r="GTU41" s="1091"/>
      <c r="GTV41" s="1091"/>
      <c r="GTW41" s="1091"/>
      <c r="GTX41" s="1091"/>
      <c r="GTY41" s="1091"/>
      <c r="GTZ41" s="1091"/>
      <c r="GUA41" s="1091"/>
      <c r="GUB41" s="1091"/>
      <c r="GUC41" s="1091"/>
      <c r="GUD41" s="1091"/>
      <c r="GUE41" s="1091"/>
      <c r="GUF41" s="1091"/>
      <c r="GUG41" s="1091"/>
      <c r="GUH41" s="1091"/>
      <c r="GUI41" s="1091"/>
      <c r="GUJ41" s="1091"/>
      <c r="GUK41" s="1091"/>
      <c r="GUL41" s="1091"/>
      <c r="GUM41" s="1091"/>
      <c r="GUN41" s="1091"/>
      <c r="GUO41" s="1091"/>
      <c r="GUP41" s="1091"/>
      <c r="GUQ41" s="1091"/>
      <c r="GUR41" s="1091"/>
      <c r="GUS41" s="1091"/>
      <c r="GUT41" s="1091"/>
      <c r="GUU41" s="1091"/>
      <c r="GUV41" s="1091"/>
      <c r="GUW41" s="1091"/>
      <c r="GUX41" s="1091"/>
      <c r="GUY41" s="1091"/>
      <c r="GUZ41" s="1091"/>
      <c r="GVA41" s="1091"/>
      <c r="GVB41" s="1091"/>
      <c r="GVC41" s="1091"/>
      <c r="GVD41" s="1091"/>
      <c r="GVE41" s="1091"/>
      <c r="GVF41" s="1091"/>
      <c r="GVG41" s="1091"/>
      <c r="GVH41" s="1091"/>
      <c r="GVI41" s="1091"/>
      <c r="GVJ41" s="1091"/>
      <c r="GVK41" s="1091"/>
      <c r="GVL41" s="1091"/>
      <c r="GVM41" s="1091"/>
      <c r="GVN41" s="1091"/>
      <c r="GVO41" s="1091"/>
      <c r="GVP41" s="1091"/>
      <c r="GVQ41" s="1091"/>
      <c r="GVR41" s="1091"/>
      <c r="GVS41" s="1091"/>
      <c r="GVT41" s="1091"/>
      <c r="GVU41" s="1091"/>
      <c r="GVV41" s="1091"/>
      <c r="GVW41" s="1091"/>
      <c r="GVX41" s="1091"/>
      <c r="GVY41" s="1091"/>
      <c r="GVZ41" s="1091"/>
      <c r="GWA41" s="1091"/>
      <c r="GWB41" s="1091"/>
      <c r="GWC41" s="1091"/>
      <c r="GWD41" s="1091"/>
      <c r="GWE41" s="1091"/>
      <c r="GWF41" s="1091"/>
      <c r="GWG41" s="1091"/>
      <c r="GWH41" s="1091"/>
      <c r="GWI41" s="1091"/>
      <c r="GWJ41" s="1091"/>
      <c r="GWK41" s="1091"/>
      <c r="GWL41" s="1091"/>
      <c r="GWM41" s="1091"/>
      <c r="GWN41" s="1091"/>
      <c r="GWO41" s="1091"/>
      <c r="GWP41" s="1091"/>
      <c r="GWQ41" s="1091"/>
      <c r="GWR41" s="1091"/>
      <c r="GWS41" s="1091"/>
      <c r="GWT41" s="1091"/>
      <c r="GWU41" s="1091"/>
      <c r="GWV41" s="1091"/>
      <c r="GWW41" s="1091"/>
      <c r="GWX41" s="1091"/>
      <c r="GWY41" s="1091"/>
      <c r="GWZ41" s="1091"/>
      <c r="GXA41" s="1091"/>
      <c r="GXB41" s="1091"/>
      <c r="GXC41" s="1091"/>
      <c r="GXD41" s="1091"/>
      <c r="GXE41" s="1091"/>
      <c r="GXF41" s="1091"/>
      <c r="GXG41" s="1091"/>
      <c r="GXH41" s="1091"/>
      <c r="GXI41" s="1091"/>
      <c r="GXJ41" s="1091"/>
      <c r="GXK41" s="1091"/>
      <c r="GXL41" s="1091"/>
      <c r="GXM41" s="1091"/>
      <c r="GXN41" s="1091"/>
      <c r="GXO41" s="1091"/>
      <c r="GXP41" s="1091"/>
      <c r="GXQ41" s="1091"/>
      <c r="GXR41" s="1091"/>
      <c r="GXS41" s="1091"/>
      <c r="GXT41" s="1091"/>
      <c r="GXU41" s="1091"/>
      <c r="GXV41" s="1091"/>
      <c r="GXW41" s="1091"/>
      <c r="GXX41" s="1091"/>
      <c r="GXY41" s="1091"/>
      <c r="GXZ41" s="1091"/>
      <c r="GYA41" s="1091"/>
      <c r="GYB41" s="1091"/>
      <c r="GYC41" s="1091"/>
      <c r="GYD41" s="1091"/>
      <c r="GYE41" s="1091"/>
      <c r="GYF41" s="1091"/>
      <c r="GYG41" s="1091"/>
      <c r="GYH41" s="1091"/>
      <c r="GYI41" s="1091"/>
      <c r="GYJ41" s="1091"/>
      <c r="GYK41" s="1091"/>
      <c r="GYL41" s="1091"/>
      <c r="GYM41" s="1091"/>
      <c r="GYN41" s="1091"/>
      <c r="GYO41" s="1091"/>
      <c r="GYP41" s="1091"/>
      <c r="GYQ41" s="1091"/>
      <c r="GYR41" s="1091"/>
      <c r="GYS41" s="1091"/>
      <c r="GYT41" s="1091"/>
      <c r="GYU41" s="1091"/>
      <c r="GYV41" s="1091"/>
      <c r="GYW41" s="1091"/>
      <c r="GYX41" s="1091"/>
      <c r="GYY41" s="1091"/>
      <c r="GYZ41" s="1091"/>
      <c r="GZA41" s="1091"/>
      <c r="GZB41" s="1091"/>
      <c r="GZC41" s="1091"/>
      <c r="GZD41" s="1091"/>
      <c r="GZE41" s="1091"/>
      <c r="GZF41" s="1091"/>
      <c r="GZG41" s="1091"/>
      <c r="GZH41" s="1091"/>
      <c r="GZI41" s="1091"/>
      <c r="GZJ41" s="1091"/>
      <c r="GZK41" s="1091"/>
      <c r="GZL41" s="1091"/>
      <c r="GZM41" s="1091"/>
      <c r="GZN41" s="1091"/>
      <c r="GZO41" s="1091"/>
      <c r="GZP41" s="1091"/>
      <c r="GZQ41" s="1091"/>
      <c r="GZR41" s="1091"/>
      <c r="GZS41" s="1091"/>
      <c r="GZT41" s="1091"/>
      <c r="GZU41" s="1091"/>
      <c r="GZV41" s="1091"/>
      <c r="GZW41" s="1091"/>
      <c r="GZX41" s="1091"/>
      <c r="GZY41" s="1091"/>
      <c r="GZZ41" s="1091"/>
      <c r="HAA41" s="1091"/>
      <c r="HAB41" s="1091"/>
      <c r="HAC41" s="1091"/>
      <c r="HAD41" s="1091"/>
      <c r="HAE41" s="1091"/>
      <c r="HAF41" s="1091"/>
      <c r="HAG41" s="1091"/>
      <c r="HAH41" s="1091"/>
      <c r="HAI41" s="1091"/>
      <c r="HAJ41" s="1091"/>
      <c r="HAK41" s="1091"/>
      <c r="HAL41" s="1091"/>
      <c r="HAM41" s="1091"/>
      <c r="HAN41" s="1091"/>
      <c r="HAO41" s="1091"/>
      <c r="HAP41" s="1091"/>
      <c r="HAQ41" s="1091"/>
      <c r="HAR41" s="1091"/>
      <c r="HAS41" s="1091"/>
      <c r="HAT41" s="1091"/>
      <c r="HAU41" s="1091"/>
      <c r="HAV41" s="1091"/>
      <c r="HAW41" s="1091"/>
      <c r="HAX41" s="1091"/>
      <c r="HAY41" s="1091"/>
      <c r="HAZ41" s="1091"/>
      <c r="HBA41" s="1091"/>
      <c r="HBB41" s="1091"/>
      <c r="HBC41" s="1091"/>
      <c r="HBD41" s="1091"/>
      <c r="HBE41" s="1091"/>
      <c r="HBF41" s="1091"/>
      <c r="HBG41" s="1091"/>
      <c r="HBH41" s="1091"/>
      <c r="HBI41" s="1091"/>
      <c r="HBJ41" s="1091"/>
      <c r="HBK41" s="1091"/>
      <c r="HBL41" s="1091"/>
      <c r="HBM41" s="1091"/>
      <c r="HBN41" s="1091"/>
      <c r="HBO41" s="1091"/>
      <c r="HBP41" s="1091"/>
      <c r="HBQ41" s="1091"/>
      <c r="HBR41" s="1091"/>
      <c r="HBS41" s="1091"/>
      <c r="HBT41" s="1091"/>
      <c r="HBU41" s="1091"/>
      <c r="HBV41" s="1091"/>
      <c r="HBW41" s="1091"/>
      <c r="HBX41" s="1091"/>
      <c r="HBY41" s="1091"/>
      <c r="HBZ41" s="1091"/>
      <c r="HCA41" s="1091"/>
      <c r="HCB41" s="1091"/>
      <c r="HCC41" s="1091"/>
      <c r="HCD41" s="1091"/>
      <c r="HCE41" s="1091"/>
      <c r="HCF41" s="1091"/>
      <c r="HCG41" s="1091"/>
      <c r="HCH41" s="1091"/>
      <c r="HCI41" s="1091"/>
      <c r="HCJ41" s="1091"/>
      <c r="HCK41" s="1091"/>
      <c r="HCL41" s="1091"/>
      <c r="HCM41" s="1091"/>
      <c r="HCN41" s="1091"/>
      <c r="HCO41" s="1091"/>
      <c r="HCP41" s="1091"/>
      <c r="HCQ41" s="1091"/>
      <c r="HCR41" s="1091"/>
      <c r="HCS41" s="1091"/>
      <c r="HCT41" s="1091"/>
      <c r="HCU41" s="1091"/>
      <c r="HCV41" s="1091"/>
      <c r="HCW41" s="1091"/>
      <c r="HCX41" s="1091"/>
      <c r="HCY41" s="1091"/>
      <c r="HCZ41" s="1091"/>
      <c r="HDA41" s="1091"/>
      <c r="HDB41" s="1091"/>
      <c r="HDC41" s="1091"/>
      <c r="HDD41" s="1091"/>
      <c r="HDE41" s="1091"/>
      <c r="HDF41" s="1091"/>
      <c r="HDG41" s="1091"/>
      <c r="HDH41" s="1091"/>
      <c r="HDI41" s="1091"/>
      <c r="HDJ41" s="1091"/>
      <c r="HDK41" s="1091"/>
      <c r="HDL41" s="1091"/>
      <c r="HDM41" s="1091"/>
      <c r="HDN41" s="1091"/>
      <c r="HDO41" s="1091"/>
      <c r="HDP41" s="1091"/>
      <c r="HDQ41" s="1091"/>
      <c r="HDR41" s="1091"/>
      <c r="HDS41" s="1091"/>
      <c r="HDT41" s="1091"/>
      <c r="HDU41" s="1091"/>
      <c r="HDV41" s="1091"/>
      <c r="HDW41" s="1091"/>
      <c r="HDX41" s="1091"/>
      <c r="HDY41" s="1091"/>
      <c r="HDZ41" s="1091"/>
      <c r="HEA41" s="1091"/>
      <c r="HEB41" s="1091"/>
      <c r="HEC41" s="1091"/>
      <c r="HED41" s="1091"/>
      <c r="HEE41" s="1091"/>
      <c r="HEF41" s="1091"/>
      <c r="HEG41" s="1091"/>
      <c r="HEH41" s="1091"/>
      <c r="HEI41" s="1091"/>
      <c r="HEJ41" s="1091"/>
      <c r="HEK41" s="1091"/>
      <c r="HEL41" s="1091"/>
      <c r="HEM41" s="1091"/>
      <c r="HEN41" s="1091"/>
      <c r="HEO41" s="1091"/>
      <c r="HEP41" s="1091"/>
      <c r="HEQ41" s="1091"/>
      <c r="HER41" s="1091"/>
      <c r="HES41" s="1091"/>
      <c r="HET41" s="1091"/>
      <c r="HEU41" s="1091"/>
      <c r="HEV41" s="1091"/>
      <c r="HEW41" s="1091"/>
      <c r="HEX41" s="1091"/>
      <c r="HEY41" s="1091"/>
      <c r="HEZ41" s="1091"/>
      <c r="HFA41" s="1091"/>
      <c r="HFB41" s="1091"/>
      <c r="HFC41" s="1091"/>
      <c r="HFD41" s="1091"/>
      <c r="HFE41" s="1091"/>
      <c r="HFF41" s="1091"/>
      <c r="HFG41" s="1091"/>
      <c r="HFH41" s="1091"/>
      <c r="HFI41" s="1091"/>
      <c r="HFJ41" s="1091"/>
      <c r="HFK41" s="1091"/>
      <c r="HFL41" s="1091"/>
      <c r="HFM41" s="1091"/>
      <c r="HFN41" s="1091"/>
      <c r="HFO41" s="1091"/>
      <c r="HFP41" s="1091"/>
      <c r="HFQ41" s="1091"/>
      <c r="HFR41" s="1091"/>
      <c r="HFS41" s="1091"/>
      <c r="HFT41" s="1091"/>
      <c r="HFU41" s="1091"/>
      <c r="HFV41" s="1091"/>
      <c r="HFW41" s="1091"/>
      <c r="HFX41" s="1091"/>
      <c r="HFY41" s="1091"/>
      <c r="HFZ41" s="1091"/>
      <c r="HGA41" s="1091"/>
      <c r="HGB41" s="1091"/>
      <c r="HGC41" s="1091"/>
      <c r="HGD41" s="1091"/>
      <c r="HGE41" s="1091"/>
      <c r="HGF41" s="1091"/>
      <c r="HGG41" s="1091"/>
      <c r="HGH41" s="1091"/>
      <c r="HGI41" s="1091"/>
      <c r="HGJ41" s="1091"/>
      <c r="HGK41" s="1091"/>
      <c r="HGL41" s="1091"/>
      <c r="HGM41" s="1091"/>
      <c r="HGN41" s="1091"/>
      <c r="HGO41" s="1091"/>
      <c r="HGP41" s="1091"/>
      <c r="HGQ41" s="1091"/>
      <c r="HGR41" s="1091"/>
      <c r="HGS41" s="1091"/>
      <c r="HGT41" s="1091"/>
      <c r="HGU41" s="1091"/>
      <c r="HGV41" s="1091"/>
      <c r="HGW41" s="1091"/>
      <c r="HGX41" s="1091"/>
      <c r="HGY41" s="1091"/>
      <c r="HGZ41" s="1091"/>
      <c r="HHA41" s="1091"/>
      <c r="HHB41" s="1091"/>
      <c r="HHC41" s="1091"/>
      <c r="HHD41" s="1091"/>
      <c r="HHE41" s="1091"/>
      <c r="HHF41" s="1091"/>
      <c r="HHG41" s="1091"/>
      <c r="HHH41" s="1091"/>
      <c r="HHI41" s="1091"/>
      <c r="HHJ41" s="1091"/>
      <c r="HHK41" s="1091"/>
      <c r="HHL41" s="1091"/>
      <c r="HHM41" s="1091"/>
      <c r="HHN41" s="1091"/>
      <c r="HHO41" s="1091"/>
      <c r="HHP41" s="1091"/>
      <c r="HHQ41" s="1091"/>
      <c r="HHR41" s="1091"/>
      <c r="HHS41" s="1091"/>
      <c r="HHT41" s="1091"/>
      <c r="HHU41" s="1091"/>
      <c r="HHV41" s="1091"/>
      <c r="HHW41" s="1091"/>
      <c r="HHX41" s="1091"/>
      <c r="HHY41" s="1091"/>
      <c r="HHZ41" s="1091"/>
      <c r="HIA41" s="1091"/>
      <c r="HIB41" s="1091"/>
      <c r="HIC41" s="1091"/>
      <c r="HID41" s="1091"/>
      <c r="HIE41" s="1091"/>
      <c r="HIF41" s="1091"/>
      <c r="HIG41" s="1091"/>
      <c r="HIH41" s="1091"/>
      <c r="HII41" s="1091"/>
      <c r="HIJ41" s="1091"/>
      <c r="HIK41" s="1091"/>
      <c r="HIL41" s="1091"/>
      <c r="HIM41" s="1091"/>
      <c r="HIN41" s="1091"/>
      <c r="HIO41" s="1091"/>
      <c r="HIP41" s="1091"/>
      <c r="HIQ41" s="1091"/>
      <c r="HIR41" s="1091"/>
      <c r="HIS41" s="1091"/>
      <c r="HIT41" s="1091"/>
      <c r="HIU41" s="1091"/>
      <c r="HIV41" s="1091"/>
      <c r="HIW41" s="1091"/>
      <c r="HIX41" s="1091"/>
      <c r="HIY41" s="1091"/>
      <c r="HIZ41" s="1091"/>
      <c r="HJA41" s="1091"/>
      <c r="HJB41" s="1091"/>
      <c r="HJC41" s="1091"/>
      <c r="HJD41" s="1091"/>
      <c r="HJE41" s="1091"/>
      <c r="HJF41" s="1091"/>
      <c r="HJG41" s="1091"/>
      <c r="HJH41" s="1091"/>
      <c r="HJI41" s="1091"/>
      <c r="HJJ41" s="1091"/>
      <c r="HJK41" s="1091"/>
      <c r="HJL41" s="1091"/>
      <c r="HJM41" s="1091"/>
      <c r="HJN41" s="1091"/>
      <c r="HJO41" s="1091"/>
      <c r="HJP41" s="1091"/>
      <c r="HJQ41" s="1091"/>
      <c r="HJR41" s="1091"/>
      <c r="HJS41" s="1091"/>
      <c r="HJT41" s="1091"/>
      <c r="HJU41" s="1091"/>
      <c r="HJV41" s="1091"/>
      <c r="HJW41" s="1091"/>
      <c r="HJX41" s="1091"/>
      <c r="HJY41" s="1091"/>
      <c r="HJZ41" s="1091"/>
      <c r="HKA41" s="1091"/>
      <c r="HKB41" s="1091"/>
      <c r="HKC41" s="1091"/>
      <c r="HKD41" s="1091"/>
      <c r="HKE41" s="1091"/>
      <c r="HKF41" s="1091"/>
      <c r="HKG41" s="1091"/>
      <c r="HKH41" s="1091"/>
      <c r="HKI41" s="1091"/>
      <c r="HKJ41" s="1091"/>
      <c r="HKK41" s="1091"/>
      <c r="HKL41" s="1091"/>
      <c r="HKM41" s="1091"/>
      <c r="HKN41" s="1091"/>
      <c r="HKO41" s="1091"/>
      <c r="HKP41" s="1091"/>
      <c r="HKQ41" s="1091"/>
      <c r="HKR41" s="1091"/>
      <c r="HKS41" s="1091"/>
      <c r="HKT41" s="1091"/>
      <c r="HKU41" s="1091"/>
      <c r="HKV41" s="1091"/>
      <c r="HKW41" s="1091"/>
      <c r="HKX41" s="1091"/>
      <c r="HKY41" s="1091"/>
      <c r="HKZ41" s="1091"/>
      <c r="HLA41" s="1091"/>
      <c r="HLB41" s="1091"/>
      <c r="HLC41" s="1091"/>
      <c r="HLD41" s="1091"/>
      <c r="HLE41" s="1091"/>
      <c r="HLF41" s="1091"/>
      <c r="HLG41" s="1091"/>
      <c r="HLH41" s="1091"/>
      <c r="HLI41" s="1091"/>
      <c r="HLJ41" s="1091"/>
      <c r="HLK41" s="1091"/>
      <c r="HLL41" s="1091"/>
      <c r="HLM41" s="1091"/>
      <c r="HLN41" s="1091"/>
      <c r="HLO41" s="1091"/>
      <c r="HLP41" s="1091"/>
      <c r="HLQ41" s="1091"/>
      <c r="HLR41" s="1091"/>
      <c r="HLS41" s="1091"/>
      <c r="HLT41" s="1091"/>
      <c r="HLU41" s="1091"/>
      <c r="HLV41" s="1091"/>
      <c r="HLW41" s="1091"/>
      <c r="HLX41" s="1091"/>
      <c r="HLY41" s="1091"/>
      <c r="HLZ41" s="1091"/>
      <c r="HMA41" s="1091"/>
      <c r="HMB41" s="1091"/>
      <c r="HMC41" s="1091"/>
      <c r="HMD41" s="1091"/>
      <c r="HME41" s="1091"/>
      <c r="HMF41" s="1091"/>
      <c r="HMG41" s="1091"/>
      <c r="HMH41" s="1091"/>
      <c r="HMI41" s="1091"/>
      <c r="HMJ41" s="1091"/>
      <c r="HMK41" s="1091"/>
      <c r="HML41" s="1091"/>
      <c r="HMM41" s="1091"/>
      <c r="HMN41" s="1091"/>
      <c r="HMO41" s="1091"/>
      <c r="HMP41" s="1091"/>
      <c r="HMQ41" s="1091"/>
      <c r="HMR41" s="1091"/>
      <c r="HMS41" s="1091"/>
      <c r="HMT41" s="1091"/>
      <c r="HMU41" s="1091"/>
      <c r="HMV41" s="1091"/>
      <c r="HMW41" s="1091"/>
      <c r="HMX41" s="1091"/>
      <c r="HMY41" s="1091"/>
      <c r="HMZ41" s="1091"/>
      <c r="HNA41" s="1091"/>
      <c r="HNB41" s="1091"/>
      <c r="HNC41" s="1091"/>
      <c r="HND41" s="1091"/>
      <c r="HNE41" s="1091"/>
      <c r="HNF41" s="1091"/>
      <c r="HNG41" s="1091"/>
      <c r="HNH41" s="1091"/>
      <c r="HNI41" s="1091"/>
      <c r="HNJ41" s="1091"/>
      <c r="HNK41" s="1091"/>
      <c r="HNL41" s="1091"/>
      <c r="HNM41" s="1091"/>
      <c r="HNN41" s="1091"/>
      <c r="HNO41" s="1091"/>
      <c r="HNP41" s="1091"/>
      <c r="HNQ41" s="1091"/>
      <c r="HNR41" s="1091"/>
      <c r="HNS41" s="1091"/>
      <c r="HNT41" s="1091"/>
      <c r="HNU41" s="1091"/>
      <c r="HNV41" s="1091"/>
      <c r="HNW41" s="1091"/>
      <c r="HNX41" s="1091"/>
      <c r="HNY41" s="1091"/>
      <c r="HNZ41" s="1091"/>
      <c r="HOA41" s="1091"/>
      <c r="HOB41" s="1091"/>
      <c r="HOC41" s="1091"/>
      <c r="HOD41" s="1091"/>
      <c r="HOE41" s="1091"/>
      <c r="HOF41" s="1091"/>
      <c r="HOG41" s="1091"/>
      <c r="HOH41" s="1091"/>
      <c r="HOI41" s="1091"/>
      <c r="HOJ41" s="1091"/>
      <c r="HOK41" s="1091"/>
      <c r="HOL41" s="1091"/>
      <c r="HOM41" s="1091"/>
      <c r="HON41" s="1091"/>
      <c r="HOO41" s="1091"/>
      <c r="HOP41" s="1091"/>
      <c r="HOQ41" s="1091"/>
      <c r="HOR41" s="1091"/>
      <c r="HOS41" s="1091"/>
      <c r="HOT41" s="1091"/>
      <c r="HOU41" s="1091"/>
      <c r="HOV41" s="1091"/>
      <c r="HOW41" s="1091"/>
      <c r="HOX41" s="1091"/>
      <c r="HOY41" s="1091"/>
      <c r="HOZ41" s="1091"/>
      <c r="HPA41" s="1091"/>
      <c r="HPB41" s="1091"/>
      <c r="HPC41" s="1091"/>
      <c r="HPD41" s="1091"/>
      <c r="HPE41" s="1091"/>
      <c r="HPF41" s="1091"/>
      <c r="HPG41" s="1091"/>
      <c r="HPH41" s="1091"/>
      <c r="HPI41" s="1091"/>
      <c r="HPJ41" s="1091"/>
      <c r="HPK41" s="1091"/>
      <c r="HPL41" s="1091"/>
      <c r="HPM41" s="1091"/>
      <c r="HPN41" s="1091"/>
      <c r="HPO41" s="1091"/>
      <c r="HPP41" s="1091"/>
      <c r="HPQ41" s="1091"/>
      <c r="HPR41" s="1091"/>
      <c r="HPS41" s="1091"/>
      <c r="HPT41" s="1091"/>
      <c r="HPU41" s="1091"/>
      <c r="HPV41" s="1091"/>
      <c r="HPW41" s="1091"/>
      <c r="HPX41" s="1091"/>
      <c r="HPY41" s="1091"/>
      <c r="HPZ41" s="1091"/>
      <c r="HQA41" s="1091"/>
      <c r="HQB41" s="1091"/>
      <c r="HQC41" s="1091"/>
      <c r="HQD41" s="1091"/>
      <c r="HQE41" s="1091"/>
      <c r="HQF41" s="1091"/>
      <c r="HQG41" s="1091"/>
      <c r="HQH41" s="1091"/>
      <c r="HQI41" s="1091"/>
      <c r="HQJ41" s="1091"/>
      <c r="HQK41" s="1091"/>
      <c r="HQL41" s="1091"/>
      <c r="HQM41" s="1091"/>
      <c r="HQN41" s="1091"/>
      <c r="HQO41" s="1091"/>
      <c r="HQP41" s="1091"/>
      <c r="HQQ41" s="1091"/>
      <c r="HQR41" s="1091"/>
      <c r="HQS41" s="1091"/>
      <c r="HQT41" s="1091"/>
      <c r="HQU41" s="1091"/>
      <c r="HQV41" s="1091"/>
      <c r="HQW41" s="1091"/>
      <c r="HQX41" s="1091"/>
      <c r="HQY41" s="1091"/>
      <c r="HQZ41" s="1091"/>
      <c r="HRA41" s="1091"/>
      <c r="HRB41" s="1091"/>
      <c r="HRC41" s="1091"/>
      <c r="HRD41" s="1091"/>
      <c r="HRE41" s="1091"/>
      <c r="HRF41" s="1091"/>
      <c r="HRG41" s="1091"/>
      <c r="HRH41" s="1091"/>
      <c r="HRI41" s="1091"/>
      <c r="HRJ41" s="1091"/>
      <c r="HRK41" s="1091"/>
      <c r="HRL41" s="1091"/>
      <c r="HRM41" s="1091"/>
      <c r="HRN41" s="1091"/>
      <c r="HRO41" s="1091"/>
      <c r="HRP41" s="1091"/>
      <c r="HRQ41" s="1091"/>
      <c r="HRR41" s="1091"/>
      <c r="HRS41" s="1091"/>
      <c r="HRT41" s="1091"/>
      <c r="HRU41" s="1091"/>
      <c r="HRV41" s="1091"/>
      <c r="HRW41" s="1091"/>
      <c r="HRX41" s="1091"/>
      <c r="HRY41" s="1091"/>
      <c r="HRZ41" s="1091"/>
      <c r="HSA41" s="1091"/>
      <c r="HSB41" s="1091"/>
      <c r="HSC41" s="1091"/>
      <c r="HSD41" s="1091"/>
      <c r="HSE41" s="1091"/>
      <c r="HSF41" s="1091"/>
      <c r="HSG41" s="1091"/>
      <c r="HSH41" s="1091"/>
      <c r="HSI41" s="1091"/>
      <c r="HSJ41" s="1091"/>
      <c r="HSK41" s="1091"/>
      <c r="HSL41" s="1091"/>
      <c r="HSM41" s="1091"/>
      <c r="HSN41" s="1091"/>
      <c r="HSO41" s="1091"/>
      <c r="HSP41" s="1091"/>
      <c r="HSQ41" s="1091"/>
      <c r="HSR41" s="1091"/>
      <c r="HSS41" s="1091"/>
      <c r="HST41" s="1091"/>
      <c r="HSU41" s="1091"/>
      <c r="HSV41" s="1091"/>
      <c r="HSW41" s="1091"/>
      <c r="HSX41" s="1091"/>
      <c r="HSY41" s="1091"/>
      <c r="HSZ41" s="1091"/>
      <c r="HTA41" s="1091"/>
      <c r="HTB41" s="1091"/>
      <c r="HTC41" s="1091"/>
      <c r="HTD41" s="1091"/>
      <c r="HTE41" s="1091"/>
      <c r="HTF41" s="1091"/>
      <c r="HTG41" s="1091"/>
      <c r="HTH41" s="1091"/>
      <c r="HTI41" s="1091"/>
      <c r="HTJ41" s="1091"/>
      <c r="HTK41" s="1091"/>
      <c r="HTL41" s="1091"/>
      <c r="HTM41" s="1091"/>
      <c r="HTN41" s="1091"/>
      <c r="HTO41" s="1091"/>
      <c r="HTP41" s="1091"/>
      <c r="HTQ41" s="1091"/>
      <c r="HTR41" s="1091"/>
      <c r="HTS41" s="1091"/>
      <c r="HTT41" s="1091"/>
      <c r="HTU41" s="1091"/>
      <c r="HTV41" s="1091"/>
      <c r="HTW41" s="1091"/>
      <c r="HTX41" s="1091"/>
      <c r="HTY41" s="1091"/>
      <c r="HTZ41" s="1091"/>
      <c r="HUA41" s="1091"/>
      <c r="HUB41" s="1091"/>
      <c r="HUC41" s="1091"/>
      <c r="HUD41" s="1091"/>
      <c r="HUE41" s="1091"/>
      <c r="HUF41" s="1091"/>
      <c r="HUG41" s="1091"/>
      <c r="HUH41" s="1091"/>
      <c r="HUI41" s="1091"/>
      <c r="HUJ41" s="1091"/>
      <c r="HUK41" s="1091"/>
      <c r="HUL41" s="1091"/>
      <c r="HUM41" s="1091"/>
      <c r="HUN41" s="1091"/>
      <c r="HUO41" s="1091"/>
      <c r="HUP41" s="1091"/>
      <c r="HUQ41" s="1091"/>
      <c r="HUR41" s="1091"/>
      <c r="HUS41" s="1091"/>
      <c r="HUT41" s="1091"/>
      <c r="HUU41" s="1091"/>
      <c r="HUV41" s="1091"/>
      <c r="HUW41" s="1091"/>
      <c r="HUX41" s="1091"/>
      <c r="HUY41" s="1091"/>
      <c r="HUZ41" s="1091"/>
      <c r="HVA41" s="1091"/>
      <c r="HVB41" s="1091"/>
      <c r="HVC41" s="1091"/>
      <c r="HVD41" s="1091"/>
      <c r="HVE41" s="1091"/>
      <c r="HVF41" s="1091"/>
      <c r="HVG41" s="1091"/>
      <c r="HVH41" s="1091"/>
      <c r="HVI41" s="1091"/>
      <c r="HVJ41" s="1091"/>
      <c r="HVK41" s="1091"/>
      <c r="HVL41" s="1091"/>
      <c r="HVM41" s="1091"/>
      <c r="HVN41" s="1091"/>
      <c r="HVO41" s="1091"/>
      <c r="HVP41" s="1091"/>
      <c r="HVQ41" s="1091"/>
      <c r="HVR41" s="1091"/>
      <c r="HVS41" s="1091"/>
      <c r="HVT41" s="1091"/>
      <c r="HVU41" s="1091"/>
      <c r="HVV41" s="1091"/>
      <c r="HVW41" s="1091"/>
      <c r="HVX41" s="1091"/>
      <c r="HVY41" s="1091"/>
      <c r="HVZ41" s="1091"/>
      <c r="HWA41" s="1091"/>
      <c r="HWB41" s="1091"/>
      <c r="HWC41" s="1091"/>
      <c r="HWD41" s="1091"/>
      <c r="HWE41" s="1091"/>
      <c r="HWF41" s="1091"/>
      <c r="HWG41" s="1091"/>
      <c r="HWH41" s="1091"/>
      <c r="HWI41" s="1091"/>
      <c r="HWJ41" s="1091"/>
      <c r="HWK41" s="1091"/>
      <c r="HWL41" s="1091"/>
      <c r="HWM41" s="1091"/>
      <c r="HWN41" s="1091"/>
      <c r="HWO41" s="1091"/>
      <c r="HWP41" s="1091"/>
      <c r="HWQ41" s="1091"/>
      <c r="HWR41" s="1091"/>
      <c r="HWS41" s="1091"/>
      <c r="HWT41" s="1091"/>
      <c r="HWU41" s="1091"/>
      <c r="HWV41" s="1091"/>
      <c r="HWW41" s="1091"/>
      <c r="HWX41" s="1091"/>
      <c r="HWY41" s="1091"/>
      <c r="HWZ41" s="1091"/>
      <c r="HXA41" s="1091"/>
      <c r="HXB41" s="1091"/>
      <c r="HXC41" s="1091"/>
      <c r="HXD41" s="1091"/>
      <c r="HXE41" s="1091"/>
      <c r="HXF41" s="1091"/>
      <c r="HXG41" s="1091"/>
      <c r="HXH41" s="1091"/>
      <c r="HXI41" s="1091"/>
      <c r="HXJ41" s="1091"/>
      <c r="HXK41" s="1091"/>
      <c r="HXL41" s="1091"/>
      <c r="HXM41" s="1091"/>
      <c r="HXN41" s="1091"/>
      <c r="HXO41" s="1091"/>
      <c r="HXP41" s="1091"/>
      <c r="HXQ41" s="1091"/>
      <c r="HXR41" s="1091"/>
      <c r="HXS41" s="1091"/>
      <c r="HXT41" s="1091"/>
      <c r="HXU41" s="1091"/>
      <c r="HXV41" s="1091"/>
      <c r="HXW41" s="1091"/>
      <c r="HXX41" s="1091"/>
      <c r="HXY41" s="1091"/>
      <c r="HXZ41" s="1091"/>
      <c r="HYA41" s="1091"/>
      <c r="HYB41" s="1091"/>
      <c r="HYC41" s="1091"/>
      <c r="HYD41" s="1091"/>
      <c r="HYE41" s="1091"/>
      <c r="HYF41" s="1091"/>
      <c r="HYG41" s="1091"/>
      <c r="HYH41" s="1091"/>
      <c r="HYI41" s="1091"/>
      <c r="HYJ41" s="1091"/>
      <c r="HYK41" s="1091"/>
      <c r="HYL41" s="1091"/>
      <c r="HYM41" s="1091"/>
      <c r="HYN41" s="1091"/>
      <c r="HYO41" s="1091"/>
      <c r="HYP41" s="1091"/>
      <c r="HYQ41" s="1091"/>
      <c r="HYR41" s="1091"/>
      <c r="HYS41" s="1091"/>
      <c r="HYT41" s="1091"/>
      <c r="HYU41" s="1091"/>
      <c r="HYV41" s="1091"/>
      <c r="HYW41" s="1091"/>
      <c r="HYX41" s="1091"/>
      <c r="HYY41" s="1091"/>
      <c r="HYZ41" s="1091"/>
      <c r="HZA41" s="1091"/>
      <c r="HZB41" s="1091"/>
      <c r="HZC41" s="1091"/>
      <c r="HZD41" s="1091"/>
      <c r="HZE41" s="1091"/>
      <c r="HZF41" s="1091"/>
      <c r="HZG41" s="1091"/>
      <c r="HZH41" s="1091"/>
      <c r="HZI41" s="1091"/>
      <c r="HZJ41" s="1091"/>
      <c r="HZK41" s="1091"/>
      <c r="HZL41" s="1091"/>
      <c r="HZM41" s="1091"/>
      <c r="HZN41" s="1091"/>
      <c r="HZO41" s="1091"/>
      <c r="HZP41" s="1091"/>
      <c r="HZQ41" s="1091"/>
      <c r="HZR41" s="1091"/>
      <c r="HZS41" s="1091"/>
      <c r="HZT41" s="1091"/>
      <c r="HZU41" s="1091"/>
      <c r="HZV41" s="1091"/>
      <c r="HZW41" s="1091"/>
      <c r="HZX41" s="1091"/>
      <c r="HZY41" s="1091"/>
      <c r="HZZ41" s="1091"/>
      <c r="IAA41" s="1091"/>
      <c r="IAB41" s="1091"/>
      <c r="IAC41" s="1091"/>
      <c r="IAD41" s="1091"/>
      <c r="IAE41" s="1091"/>
      <c r="IAF41" s="1091"/>
      <c r="IAG41" s="1091"/>
      <c r="IAH41" s="1091"/>
      <c r="IAI41" s="1091"/>
      <c r="IAJ41" s="1091"/>
      <c r="IAK41" s="1091"/>
      <c r="IAL41" s="1091"/>
      <c r="IAM41" s="1091"/>
      <c r="IAN41" s="1091"/>
      <c r="IAO41" s="1091"/>
      <c r="IAP41" s="1091"/>
      <c r="IAQ41" s="1091"/>
      <c r="IAR41" s="1091"/>
      <c r="IAS41" s="1091"/>
      <c r="IAT41" s="1091"/>
      <c r="IAU41" s="1091"/>
      <c r="IAV41" s="1091"/>
      <c r="IAW41" s="1091"/>
      <c r="IAX41" s="1091"/>
      <c r="IAY41" s="1091"/>
      <c r="IAZ41" s="1091"/>
      <c r="IBA41" s="1091"/>
      <c r="IBB41" s="1091"/>
      <c r="IBC41" s="1091"/>
      <c r="IBD41" s="1091"/>
      <c r="IBE41" s="1091"/>
      <c r="IBF41" s="1091"/>
      <c r="IBG41" s="1091"/>
      <c r="IBH41" s="1091"/>
      <c r="IBI41" s="1091"/>
      <c r="IBJ41" s="1091"/>
      <c r="IBK41" s="1091"/>
      <c r="IBL41" s="1091"/>
      <c r="IBM41" s="1091"/>
      <c r="IBN41" s="1091"/>
      <c r="IBO41" s="1091"/>
      <c r="IBP41" s="1091"/>
      <c r="IBQ41" s="1091"/>
      <c r="IBR41" s="1091"/>
      <c r="IBS41" s="1091"/>
      <c r="IBT41" s="1091"/>
      <c r="IBU41" s="1091"/>
      <c r="IBV41" s="1091"/>
      <c r="IBW41" s="1091"/>
      <c r="IBX41" s="1091"/>
      <c r="IBY41" s="1091"/>
      <c r="IBZ41" s="1091"/>
      <c r="ICA41" s="1091"/>
      <c r="ICB41" s="1091"/>
      <c r="ICC41" s="1091"/>
      <c r="ICD41" s="1091"/>
      <c r="ICE41" s="1091"/>
      <c r="ICF41" s="1091"/>
      <c r="ICG41" s="1091"/>
      <c r="ICH41" s="1091"/>
      <c r="ICI41" s="1091"/>
      <c r="ICJ41" s="1091"/>
      <c r="ICK41" s="1091"/>
      <c r="ICL41" s="1091"/>
      <c r="ICM41" s="1091"/>
      <c r="ICN41" s="1091"/>
      <c r="ICO41" s="1091"/>
      <c r="ICP41" s="1091"/>
      <c r="ICQ41" s="1091"/>
      <c r="ICR41" s="1091"/>
      <c r="ICS41" s="1091"/>
      <c r="ICT41" s="1091"/>
      <c r="ICU41" s="1091"/>
      <c r="ICV41" s="1091"/>
      <c r="ICW41" s="1091"/>
      <c r="ICX41" s="1091"/>
      <c r="ICY41" s="1091"/>
      <c r="ICZ41" s="1091"/>
      <c r="IDA41" s="1091"/>
      <c r="IDB41" s="1091"/>
      <c r="IDC41" s="1091"/>
      <c r="IDD41" s="1091"/>
      <c r="IDE41" s="1091"/>
      <c r="IDF41" s="1091"/>
      <c r="IDG41" s="1091"/>
      <c r="IDH41" s="1091"/>
      <c r="IDI41" s="1091"/>
      <c r="IDJ41" s="1091"/>
      <c r="IDK41" s="1091"/>
      <c r="IDL41" s="1091"/>
      <c r="IDM41" s="1091"/>
      <c r="IDN41" s="1091"/>
      <c r="IDO41" s="1091"/>
      <c r="IDP41" s="1091"/>
      <c r="IDQ41" s="1091"/>
      <c r="IDR41" s="1091"/>
      <c r="IDS41" s="1091"/>
      <c r="IDT41" s="1091"/>
      <c r="IDU41" s="1091"/>
      <c r="IDV41" s="1091"/>
      <c r="IDW41" s="1091"/>
      <c r="IDX41" s="1091"/>
      <c r="IDY41" s="1091"/>
      <c r="IDZ41" s="1091"/>
      <c r="IEA41" s="1091"/>
      <c r="IEB41" s="1091"/>
      <c r="IEC41" s="1091"/>
      <c r="IED41" s="1091"/>
      <c r="IEE41" s="1091"/>
      <c r="IEF41" s="1091"/>
      <c r="IEG41" s="1091"/>
      <c r="IEH41" s="1091"/>
      <c r="IEI41" s="1091"/>
      <c r="IEJ41" s="1091"/>
      <c r="IEK41" s="1091"/>
      <c r="IEL41" s="1091"/>
      <c r="IEM41" s="1091"/>
      <c r="IEN41" s="1091"/>
      <c r="IEO41" s="1091"/>
      <c r="IEP41" s="1091"/>
      <c r="IEQ41" s="1091"/>
      <c r="IER41" s="1091"/>
      <c r="IES41" s="1091"/>
      <c r="IET41" s="1091"/>
      <c r="IEU41" s="1091"/>
      <c r="IEV41" s="1091"/>
      <c r="IEW41" s="1091"/>
      <c r="IEX41" s="1091"/>
      <c r="IEY41" s="1091"/>
      <c r="IEZ41" s="1091"/>
      <c r="IFA41" s="1091"/>
      <c r="IFB41" s="1091"/>
      <c r="IFC41" s="1091"/>
      <c r="IFD41" s="1091"/>
      <c r="IFE41" s="1091"/>
      <c r="IFF41" s="1091"/>
      <c r="IFG41" s="1091"/>
      <c r="IFH41" s="1091"/>
      <c r="IFI41" s="1091"/>
      <c r="IFJ41" s="1091"/>
      <c r="IFK41" s="1091"/>
      <c r="IFL41" s="1091"/>
      <c r="IFM41" s="1091"/>
      <c r="IFN41" s="1091"/>
      <c r="IFO41" s="1091"/>
      <c r="IFP41" s="1091"/>
      <c r="IFQ41" s="1091"/>
      <c r="IFR41" s="1091"/>
      <c r="IFS41" s="1091"/>
      <c r="IFT41" s="1091"/>
      <c r="IFU41" s="1091"/>
      <c r="IFV41" s="1091"/>
      <c r="IFW41" s="1091"/>
      <c r="IFX41" s="1091"/>
      <c r="IFY41" s="1091"/>
      <c r="IFZ41" s="1091"/>
      <c r="IGA41" s="1091"/>
      <c r="IGB41" s="1091"/>
      <c r="IGC41" s="1091"/>
      <c r="IGD41" s="1091"/>
      <c r="IGE41" s="1091"/>
      <c r="IGF41" s="1091"/>
      <c r="IGG41" s="1091"/>
      <c r="IGH41" s="1091"/>
      <c r="IGI41" s="1091"/>
      <c r="IGJ41" s="1091"/>
      <c r="IGK41" s="1091"/>
      <c r="IGL41" s="1091"/>
      <c r="IGM41" s="1091"/>
      <c r="IGN41" s="1091"/>
      <c r="IGO41" s="1091"/>
      <c r="IGP41" s="1091"/>
      <c r="IGQ41" s="1091"/>
      <c r="IGR41" s="1091"/>
      <c r="IGS41" s="1091"/>
      <c r="IGT41" s="1091"/>
      <c r="IGU41" s="1091"/>
      <c r="IGV41" s="1091"/>
      <c r="IGW41" s="1091"/>
      <c r="IGX41" s="1091"/>
      <c r="IGY41" s="1091"/>
      <c r="IGZ41" s="1091"/>
      <c r="IHA41" s="1091"/>
      <c r="IHB41" s="1091"/>
      <c r="IHC41" s="1091"/>
      <c r="IHD41" s="1091"/>
      <c r="IHE41" s="1091"/>
      <c r="IHF41" s="1091"/>
      <c r="IHG41" s="1091"/>
      <c r="IHH41" s="1091"/>
      <c r="IHI41" s="1091"/>
      <c r="IHJ41" s="1091"/>
      <c r="IHK41" s="1091"/>
      <c r="IHL41" s="1091"/>
      <c r="IHM41" s="1091"/>
      <c r="IHN41" s="1091"/>
      <c r="IHO41" s="1091"/>
      <c r="IHP41" s="1091"/>
      <c r="IHQ41" s="1091"/>
      <c r="IHR41" s="1091"/>
      <c r="IHS41" s="1091"/>
      <c r="IHT41" s="1091"/>
      <c r="IHU41" s="1091"/>
      <c r="IHV41" s="1091"/>
      <c r="IHW41" s="1091"/>
      <c r="IHX41" s="1091"/>
      <c r="IHY41" s="1091"/>
      <c r="IHZ41" s="1091"/>
      <c r="IIA41" s="1091"/>
      <c r="IIB41" s="1091"/>
      <c r="IIC41" s="1091"/>
      <c r="IID41" s="1091"/>
      <c r="IIE41" s="1091"/>
      <c r="IIF41" s="1091"/>
      <c r="IIG41" s="1091"/>
      <c r="IIH41" s="1091"/>
      <c r="III41" s="1091"/>
      <c r="IIJ41" s="1091"/>
      <c r="IIK41" s="1091"/>
      <c r="IIL41" s="1091"/>
      <c r="IIM41" s="1091"/>
      <c r="IIN41" s="1091"/>
      <c r="IIO41" s="1091"/>
      <c r="IIP41" s="1091"/>
      <c r="IIQ41" s="1091"/>
      <c r="IIR41" s="1091"/>
      <c r="IIS41" s="1091"/>
      <c r="IIT41" s="1091"/>
      <c r="IIU41" s="1091"/>
      <c r="IIV41" s="1091"/>
      <c r="IIW41" s="1091"/>
      <c r="IIX41" s="1091"/>
      <c r="IIY41" s="1091"/>
      <c r="IIZ41" s="1091"/>
      <c r="IJA41" s="1091"/>
      <c r="IJB41" s="1091"/>
      <c r="IJC41" s="1091"/>
      <c r="IJD41" s="1091"/>
      <c r="IJE41" s="1091"/>
      <c r="IJF41" s="1091"/>
      <c r="IJG41" s="1091"/>
      <c r="IJH41" s="1091"/>
      <c r="IJI41" s="1091"/>
      <c r="IJJ41" s="1091"/>
      <c r="IJK41" s="1091"/>
      <c r="IJL41" s="1091"/>
      <c r="IJM41" s="1091"/>
      <c r="IJN41" s="1091"/>
      <c r="IJO41" s="1091"/>
      <c r="IJP41" s="1091"/>
      <c r="IJQ41" s="1091"/>
      <c r="IJR41" s="1091"/>
      <c r="IJS41" s="1091"/>
      <c r="IJT41" s="1091"/>
      <c r="IJU41" s="1091"/>
      <c r="IJV41" s="1091"/>
      <c r="IJW41" s="1091"/>
      <c r="IJX41" s="1091"/>
      <c r="IJY41" s="1091"/>
      <c r="IJZ41" s="1091"/>
      <c r="IKA41" s="1091"/>
      <c r="IKB41" s="1091"/>
      <c r="IKC41" s="1091"/>
      <c r="IKD41" s="1091"/>
      <c r="IKE41" s="1091"/>
      <c r="IKF41" s="1091"/>
      <c r="IKG41" s="1091"/>
      <c r="IKH41" s="1091"/>
      <c r="IKI41" s="1091"/>
      <c r="IKJ41" s="1091"/>
      <c r="IKK41" s="1091"/>
      <c r="IKL41" s="1091"/>
      <c r="IKM41" s="1091"/>
      <c r="IKN41" s="1091"/>
      <c r="IKO41" s="1091"/>
      <c r="IKP41" s="1091"/>
      <c r="IKQ41" s="1091"/>
      <c r="IKR41" s="1091"/>
      <c r="IKS41" s="1091"/>
      <c r="IKT41" s="1091"/>
      <c r="IKU41" s="1091"/>
      <c r="IKV41" s="1091"/>
      <c r="IKW41" s="1091"/>
      <c r="IKX41" s="1091"/>
      <c r="IKY41" s="1091"/>
      <c r="IKZ41" s="1091"/>
      <c r="ILA41" s="1091"/>
      <c r="ILB41" s="1091"/>
      <c r="ILC41" s="1091"/>
      <c r="ILD41" s="1091"/>
      <c r="ILE41" s="1091"/>
      <c r="ILF41" s="1091"/>
      <c r="ILG41" s="1091"/>
      <c r="ILH41" s="1091"/>
      <c r="ILI41" s="1091"/>
      <c r="ILJ41" s="1091"/>
      <c r="ILK41" s="1091"/>
      <c r="ILL41" s="1091"/>
      <c r="ILM41" s="1091"/>
      <c r="ILN41" s="1091"/>
      <c r="ILO41" s="1091"/>
      <c r="ILP41" s="1091"/>
      <c r="ILQ41" s="1091"/>
      <c r="ILR41" s="1091"/>
      <c r="ILS41" s="1091"/>
      <c r="ILT41" s="1091"/>
      <c r="ILU41" s="1091"/>
      <c r="ILV41" s="1091"/>
      <c r="ILW41" s="1091"/>
      <c r="ILX41" s="1091"/>
      <c r="ILY41" s="1091"/>
      <c r="ILZ41" s="1091"/>
      <c r="IMA41" s="1091"/>
      <c r="IMB41" s="1091"/>
      <c r="IMC41" s="1091"/>
      <c r="IMD41" s="1091"/>
      <c r="IME41" s="1091"/>
      <c r="IMF41" s="1091"/>
      <c r="IMG41" s="1091"/>
      <c r="IMH41" s="1091"/>
      <c r="IMI41" s="1091"/>
      <c r="IMJ41" s="1091"/>
      <c r="IMK41" s="1091"/>
      <c r="IML41" s="1091"/>
      <c r="IMM41" s="1091"/>
      <c r="IMN41" s="1091"/>
      <c r="IMO41" s="1091"/>
      <c r="IMP41" s="1091"/>
      <c r="IMQ41" s="1091"/>
      <c r="IMR41" s="1091"/>
      <c r="IMS41" s="1091"/>
      <c r="IMT41" s="1091"/>
      <c r="IMU41" s="1091"/>
      <c r="IMV41" s="1091"/>
      <c r="IMW41" s="1091"/>
      <c r="IMX41" s="1091"/>
      <c r="IMY41" s="1091"/>
      <c r="IMZ41" s="1091"/>
      <c r="INA41" s="1091"/>
      <c r="INB41" s="1091"/>
      <c r="INC41" s="1091"/>
      <c r="IND41" s="1091"/>
      <c r="INE41" s="1091"/>
      <c r="INF41" s="1091"/>
      <c r="ING41" s="1091"/>
      <c r="INH41" s="1091"/>
      <c r="INI41" s="1091"/>
      <c r="INJ41" s="1091"/>
      <c r="INK41" s="1091"/>
      <c r="INL41" s="1091"/>
      <c r="INM41" s="1091"/>
      <c r="INN41" s="1091"/>
      <c r="INO41" s="1091"/>
      <c r="INP41" s="1091"/>
      <c r="INQ41" s="1091"/>
      <c r="INR41" s="1091"/>
      <c r="INS41" s="1091"/>
      <c r="INT41" s="1091"/>
      <c r="INU41" s="1091"/>
      <c r="INV41" s="1091"/>
      <c r="INW41" s="1091"/>
      <c r="INX41" s="1091"/>
      <c r="INY41" s="1091"/>
      <c r="INZ41" s="1091"/>
      <c r="IOA41" s="1091"/>
      <c r="IOB41" s="1091"/>
      <c r="IOC41" s="1091"/>
      <c r="IOD41" s="1091"/>
      <c r="IOE41" s="1091"/>
      <c r="IOF41" s="1091"/>
      <c r="IOG41" s="1091"/>
      <c r="IOH41" s="1091"/>
      <c r="IOI41" s="1091"/>
      <c r="IOJ41" s="1091"/>
      <c r="IOK41" s="1091"/>
      <c r="IOL41" s="1091"/>
      <c r="IOM41" s="1091"/>
      <c r="ION41" s="1091"/>
      <c r="IOO41" s="1091"/>
      <c r="IOP41" s="1091"/>
      <c r="IOQ41" s="1091"/>
      <c r="IOR41" s="1091"/>
      <c r="IOS41" s="1091"/>
      <c r="IOT41" s="1091"/>
      <c r="IOU41" s="1091"/>
      <c r="IOV41" s="1091"/>
      <c r="IOW41" s="1091"/>
      <c r="IOX41" s="1091"/>
      <c r="IOY41" s="1091"/>
      <c r="IOZ41" s="1091"/>
      <c r="IPA41" s="1091"/>
      <c r="IPB41" s="1091"/>
      <c r="IPC41" s="1091"/>
      <c r="IPD41" s="1091"/>
      <c r="IPE41" s="1091"/>
      <c r="IPF41" s="1091"/>
      <c r="IPG41" s="1091"/>
      <c r="IPH41" s="1091"/>
      <c r="IPI41" s="1091"/>
      <c r="IPJ41" s="1091"/>
      <c r="IPK41" s="1091"/>
      <c r="IPL41" s="1091"/>
      <c r="IPM41" s="1091"/>
      <c r="IPN41" s="1091"/>
      <c r="IPO41" s="1091"/>
      <c r="IPP41" s="1091"/>
      <c r="IPQ41" s="1091"/>
      <c r="IPR41" s="1091"/>
      <c r="IPS41" s="1091"/>
      <c r="IPT41" s="1091"/>
      <c r="IPU41" s="1091"/>
      <c r="IPV41" s="1091"/>
      <c r="IPW41" s="1091"/>
      <c r="IPX41" s="1091"/>
      <c r="IPY41" s="1091"/>
      <c r="IPZ41" s="1091"/>
      <c r="IQA41" s="1091"/>
      <c r="IQB41" s="1091"/>
      <c r="IQC41" s="1091"/>
      <c r="IQD41" s="1091"/>
      <c r="IQE41" s="1091"/>
      <c r="IQF41" s="1091"/>
      <c r="IQG41" s="1091"/>
      <c r="IQH41" s="1091"/>
      <c r="IQI41" s="1091"/>
      <c r="IQJ41" s="1091"/>
      <c r="IQK41" s="1091"/>
      <c r="IQL41" s="1091"/>
      <c r="IQM41" s="1091"/>
      <c r="IQN41" s="1091"/>
      <c r="IQO41" s="1091"/>
      <c r="IQP41" s="1091"/>
      <c r="IQQ41" s="1091"/>
      <c r="IQR41" s="1091"/>
      <c r="IQS41" s="1091"/>
      <c r="IQT41" s="1091"/>
      <c r="IQU41" s="1091"/>
      <c r="IQV41" s="1091"/>
      <c r="IQW41" s="1091"/>
      <c r="IQX41" s="1091"/>
      <c r="IQY41" s="1091"/>
      <c r="IQZ41" s="1091"/>
      <c r="IRA41" s="1091"/>
      <c r="IRB41" s="1091"/>
      <c r="IRC41" s="1091"/>
      <c r="IRD41" s="1091"/>
      <c r="IRE41" s="1091"/>
      <c r="IRF41" s="1091"/>
      <c r="IRG41" s="1091"/>
      <c r="IRH41" s="1091"/>
      <c r="IRI41" s="1091"/>
      <c r="IRJ41" s="1091"/>
      <c r="IRK41" s="1091"/>
      <c r="IRL41" s="1091"/>
      <c r="IRM41" s="1091"/>
      <c r="IRN41" s="1091"/>
      <c r="IRO41" s="1091"/>
      <c r="IRP41" s="1091"/>
      <c r="IRQ41" s="1091"/>
      <c r="IRR41" s="1091"/>
      <c r="IRS41" s="1091"/>
      <c r="IRT41" s="1091"/>
      <c r="IRU41" s="1091"/>
      <c r="IRV41" s="1091"/>
      <c r="IRW41" s="1091"/>
      <c r="IRX41" s="1091"/>
      <c r="IRY41" s="1091"/>
      <c r="IRZ41" s="1091"/>
      <c r="ISA41" s="1091"/>
      <c r="ISB41" s="1091"/>
      <c r="ISC41" s="1091"/>
      <c r="ISD41" s="1091"/>
      <c r="ISE41" s="1091"/>
      <c r="ISF41" s="1091"/>
      <c r="ISG41" s="1091"/>
      <c r="ISH41" s="1091"/>
      <c r="ISI41" s="1091"/>
      <c r="ISJ41" s="1091"/>
      <c r="ISK41" s="1091"/>
      <c r="ISL41" s="1091"/>
      <c r="ISM41" s="1091"/>
      <c r="ISN41" s="1091"/>
      <c r="ISO41" s="1091"/>
      <c r="ISP41" s="1091"/>
      <c r="ISQ41" s="1091"/>
      <c r="ISR41" s="1091"/>
      <c r="ISS41" s="1091"/>
      <c r="IST41" s="1091"/>
      <c r="ISU41" s="1091"/>
      <c r="ISV41" s="1091"/>
      <c r="ISW41" s="1091"/>
      <c r="ISX41" s="1091"/>
      <c r="ISY41" s="1091"/>
      <c r="ISZ41" s="1091"/>
      <c r="ITA41" s="1091"/>
      <c r="ITB41" s="1091"/>
      <c r="ITC41" s="1091"/>
      <c r="ITD41" s="1091"/>
      <c r="ITE41" s="1091"/>
      <c r="ITF41" s="1091"/>
      <c r="ITG41" s="1091"/>
      <c r="ITH41" s="1091"/>
      <c r="ITI41" s="1091"/>
      <c r="ITJ41" s="1091"/>
      <c r="ITK41" s="1091"/>
      <c r="ITL41" s="1091"/>
      <c r="ITM41" s="1091"/>
      <c r="ITN41" s="1091"/>
      <c r="ITO41" s="1091"/>
      <c r="ITP41" s="1091"/>
      <c r="ITQ41" s="1091"/>
      <c r="ITR41" s="1091"/>
      <c r="ITS41" s="1091"/>
      <c r="ITT41" s="1091"/>
      <c r="ITU41" s="1091"/>
      <c r="ITV41" s="1091"/>
      <c r="ITW41" s="1091"/>
      <c r="ITX41" s="1091"/>
      <c r="ITY41" s="1091"/>
      <c r="ITZ41" s="1091"/>
      <c r="IUA41" s="1091"/>
      <c r="IUB41" s="1091"/>
      <c r="IUC41" s="1091"/>
      <c r="IUD41" s="1091"/>
      <c r="IUE41" s="1091"/>
      <c r="IUF41" s="1091"/>
      <c r="IUG41" s="1091"/>
      <c r="IUH41" s="1091"/>
      <c r="IUI41" s="1091"/>
      <c r="IUJ41" s="1091"/>
      <c r="IUK41" s="1091"/>
      <c r="IUL41" s="1091"/>
      <c r="IUM41" s="1091"/>
      <c r="IUN41" s="1091"/>
      <c r="IUO41" s="1091"/>
      <c r="IUP41" s="1091"/>
      <c r="IUQ41" s="1091"/>
      <c r="IUR41" s="1091"/>
      <c r="IUS41" s="1091"/>
      <c r="IUT41" s="1091"/>
      <c r="IUU41" s="1091"/>
      <c r="IUV41" s="1091"/>
      <c r="IUW41" s="1091"/>
      <c r="IUX41" s="1091"/>
      <c r="IUY41" s="1091"/>
      <c r="IUZ41" s="1091"/>
      <c r="IVA41" s="1091"/>
      <c r="IVB41" s="1091"/>
      <c r="IVC41" s="1091"/>
      <c r="IVD41" s="1091"/>
      <c r="IVE41" s="1091"/>
      <c r="IVF41" s="1091"/>
      <c r="IVG41" s="1091"/>
      <c r="IVH41" s="1091"/>
      <c r="IVI41" s="1091"/>
      <c r="IVJ41" s="1091"/>
      <c r="IVK41" s="1091"/>
      <c r="IVL41" s="1091"/>
      <c r="IVM41" s="1091"/>
      <c r="IVN41" s="1091"/>
      <c r="IVO41" s="1091"/>
      <c r="IVP41" s="1091"/>
      <c r="IVQ41" s="1091"/>
      <c r="IVR41" s="1091"/>
      <c r="IVS41" s="1091"/>
      <c r="IVT41" s="1091"/>
      <c r="IVU41" s="1091"/>
      <c r="IVV41" s="1091"/>
      <c r="IVW41" s="1091"/>
      <c r="IVX41" s="1091"/>
      <c r="IVY41" s="1091"/>
      <c r="IVZ41" s="1091"/>
      <c r="IWA41" s="1091"/>
      <c r="IWB41" s="1091"/>
      <c r="IWC41" s="1091"/>
      <c r="IWD41" s="1091"/>
      <c r="IWE41" s="1091"/>
      <c r="IWF41" s="1091"/>
      <c r="IWG41" s="1091"/>
      <c r="IWH41" s="1091"/>
      <c r="IWI41" s="1091"/>
      <c r="IWJ41" s="1091"/>
      <c r="IWK41" s="1091"/>
      <c r="IWL41" s="1091"/>
      <c r="IWM41" s="1091"/>
      <c r="IWN41" s="1091"/>
      <c r="IWO41" s="1091"/>
      <c r="IWP41" s="1091"/>
      <c r="IWQ41" s="1091"/>
      <c r="IWR41" s="1091"/>
      <c r="IWS41" s="1091"/>
      <c r="IWT41" s="1091"/>
      <c r="IWU41" s="1091"/>
      <c r="IWV41" s="1091"/>
      <c r="IWW41" s="1091"/>
      <c r="IWX41" s="1091"/>
      <c r="IWY41" s="1091"/>
      <c r="IWZ41" s="1091"/>
      <c r="IXA41" s="1091"/>
      <c r="IXB41" s="1091"/>
      <c r="IXC41" s="1091"/>
      <c r="IXD41" s="1091"/>
      <c r="IXE41" s="1091"/>
      <c r="IXF41" s="1091"/>
      <c r="IXG41" s="1091"/>
      <c r="IXH41" s="1091"/>
      <c r="IXI41" s="1091"/>
      <c r="IXJ41" s="1091"/>
      <c r="IXK41" s="1091"/>
      <c r="IXL41" s="1091"/>
      <c r="IXM41" s="1091"/>
      <c r="IXN41" s="1091"/>
      <c r="IXO41" s="1091"/>
      <c r="IXP41" s="1091"/>
      <c r="IXQ41" s="1091"/>
      <c r="IXR41" s="1091"/>
      <c r="IXS41" s="1091"/>
      <c r="IXT41" s="1091"/>
      <c r="IXU41" s="1091"/>
      <c r="IXV41" s="1091"/>
      <c r="IXW41" s="1091"/>
      <c r="IXX41" s="1091"/>
      <c r="IXY41" s="1091"/>
      <c r="IXZ41" s="1091"/>
      <c r="IYA41" s="1091"/>
      <c r="IYB41" s="1091"/>
      <c r="IYC41" s="1091"/>
      <c r="IYD41" s="1091"/>
      <c r="IYE41" s="1091"/>
      <c r="IYF41" s="1091"/>
      <c r="IYG41" s="1091"/>
      <c r="IYH41" s="1091"/>
      <c r="IYI41" s="1091"/>
      <c r="IYJ41" s="1091"/>
      <c r="IYK41" s="1091"/>
      <c r="IYL41" s="1091"/>
      <c r="IYM41" s="1091"/>
      <c r="IYN41" s="1091"/>
      <c r="IYO41" s="1091"/>
      <c r="IYP41" s="1091"/>
      <c r="IYQ41" s="1091"/>
      <c r="IYR41" s="1091"/>
      <c r="IYS41" s="1091"/>
      <c r="IYT41" s="1091"/>
      <c r="IYU41" s="1091"/>
      <c r="IYV41" s="1091"/>
      <c r="IYW41" s="1091"/>
      <c r="IYX41" s="1091"/>
      <c r="IYY41" s="1091"/>
      <c r="IYZ41" s="1091"/>
      <c r="IZA41" s="1091"/>
      <c r="IZB41" s="1091"/>
      <c r="IZC41" s="1091"/>
      <c r="IZD41" s="1091"/>
      <c r="IZE41" s="1091"/>
      <c r="IZF41" s="1091"/>
      <c r="IZG41" s="1091"/>
      <c r="IZH41" s="1091"/>
      <c r="IZI41" s="1091"/>
      <c r="IZJ41" s="1091"/>
      <c r="IZK41" s="1091"/>
      <c r="IZL41" s="1091"/>
      <c r="IZM41" s="1091"/>
      <c r="IZN41" s="1091"/>
      <c r="IZO41" s="1091"/>
      <c r="IZP41" s="1091"/>
      <c r="IZQ41" s="1091"/>
      <c r="IZR41" s="1091"/>
      <c r="IZS41" s="1091"/>
      <c r="IZT41" s="1091"/>
      <c r="IZU41" s="1091"/>
      <c r="IZV41" s="1091"/>
      <c r="IZW41" s="1091"/>
      <c r="IZX41" s="1091"/>
      <c r="IZY41" s="1091"/>
      <c r="IZZ41" s="1091"/>
      <c r="JAA41" s="1091"/>
      <c r="JAB41" s="1091"/>
      <c r="JAC41" s="1091"/>
      <c r="JAD41" s="1091"/>
      <c r="JAE41" s="1091"/>
      <c r="JAF41" s="1091"/>
      <c r="JAG41" s="1091"/>
      <c r="JAH41" s="1091"/>
      <c r="JAI41" s="1091"/>
      <c r="JAJ41" s="1091"/>
      <c r="JAK41" s="1091"/>
      <c r="JAL41" s="1091"/>
      <c r="JAM41" s="1091"/>
      <c r="JAN41" s="1091"/>
      <c r="JAO41" s="1091"/>
      <c r="JAP41" s="1091"/>
      <c r="JAQ41" s="1091"/>
      <c r="JAR41" s="1091"/>
      <c r="JAS41" s="1091"/>
      <c r="JAT41" s="1091"/>
      <c r="JAU41" s="1091"/>
      <c r="JAV41" s="1091"/>
      <c r="JAW41" s="1091"/>
      <c r="JAX41" s="1091"/>
      <c r="JAY41" s="1091"/>
      <c r="JAZ41" s="1091"/>
      <c r="JBA41" s="1091"/>
      <c r="JBB41" s="1091"/>
      <c r="JBC41" s="1091"/>
      <c r="JBD41" s="1091"/>
      <c r="JBE41" s="1091"/>
      <c r="JBF41" s="1091"/>
      <c r="JBG41" s="1091"/>
      <c r="JBH41" s="1091"/>
      <c r="JBI41" s="1091"/>
      <c r="JBJ41" s="1091"/>
      <c r="JBK41" s="1091"/>
      <c r="JBL41" s="1091"/>
      <c r="JBM41" s="1091"/>
      <c r="JBN41" s="1091"/>
      <c r="JBO41" s="1091"/>
      <c r="JBP41" s="1091"/>
      <c r="JBQ41" s="1091"/>
      <c r="JBR41" s="1091"/>
      <c r="JBS41" s="1091"/>
      <c r="JBT41" s="1091"/>
      <c r="JBU41" s="1091"/>
      <c r="JBV41" s="1091"/>
      <c r="JBW41" s="1091"/>
      <c r="JBX41" s="1091"/>
      <c r="JBY41" s="1091"/>
      <c r="JBZ41" s="1091"/>
      <c r="JCA41" s="1091"/>
      <c r="JCB41" s="1091"/>
      <c r="JCC41" s="1091"/>
      <c r="JCD41" s="1091"/>
      <c r="JCE41" s="1091"/>
      <c r="JCF41" s="1091"/>
      <c r="JCG41" s="1091"/>
      <c r="JCH41" s="1091"/>
      <c r="JCI41" s="1091"/>
      <c r="JCJ41" s="1091"/>
      <c r="JCK41" s="1091"/>
      <c r="JCL41" s="1091"/>
      <c r="JCM41" s="1091"/>
      <c r="JCN41" s="1091"/>
      <c r="JCO41" s="1091"/>
      <c r="JCP41" s="1091"/>
      <c r="JCQ41" s="1091"/>
      <c r="JCR41" s="1091"/>
      <c r="JCS41" s="1091"/>
      <c r="JCT41" s="1091"/>
      <c r="JCU41" s="1091"/>
      <c r="JCV41" s="1091"/>
      <c r="JCW41" s="1091"/>
      <c r="JCX41" s="1091"/>
      <c r="JCY41" s="1091"/>
      <c r="JCZ41" s="1091"/>
      <c r="JDA41" s="1091"/>
      <c r="JDB41" s="1091"/>
      <c r="JDC41" s="1091"/>
      <c r="JDD41" s="1091"/>
      <c r="JDE41" s="1091"/>
      <c r="JDF41" s="1091"/>
      <c r="JDG41" s="1091"/>
      <c r="JDH41" s="1091"/>
      <c r="JDI41" s="1091"/>
      <c r="JDJ41" s="1091"/>
      <c r="JDK41" s="1091"/>
      <c r="JDL41" s="1091"/>
      <c r="JDM41" s="1091"/>
      <c r="JDN41" s="1091"/>
      <c r="JDO41" s="1091"/>
      <c r="JDP41" s="1091"/>
      <c r="JDQ41" s="1091"/>
      <c r="JDR41" s="1091"/>
      <c r="JDS41" s="1091"/>
      <c r="JDT41" s="1091"/>
      <c r="JDU41" s="1091"/>
      <c r="JDV41" s="1091"/>
      <c r="JDW41" s="1091"/>
      <c r="JDX41" s="1091"/>
      <c r="JDY41" s="1091"/>
      <c r="JDZ41" s="1091"/>
      <c r="JEA41" s="1091"/>
      <c r="JEB41" s="1091"/>
      <c r="JEC41" s="1091"/>
      <c r="JED41" s="1091"/>
      <c r="JEE41" s="1091"/>
      <c r="JEF41" s="1091"/>
      <c r="JEG41" s="1091"/>
      <c r="JEH41" s="1091"/>
      <c r="JEI41" s="1091"/>
      <c r="JEJ41" s="1091"/>
      <c r="JEK41" s="1091"/>
      <c r="JEL41" s="1091"/>
      <c r="JEM41" s="1091"/>
      <c r="JEN41" s="1091"/>
      <c r="JEO41" s="1091"/>
      <c r="JEP41" s="1091"/>
      <c r="JEQ41" s="1091"/>
      <c r="JER41" s="1091"/>
      <c r="JES41" s="1091"/>
      <c r="JET41" s="1091"/>
      <c r="JEU41" s="1091"/>
      <c r="JEV41" s="1091"/>
      <c r="JEW41" s="1091"/>
      <c r="JEX41" s="1091"/>
      <c r="JEY41" s="1091"/>
      <c r="JEZ41" s="1091"/>
      <c r="JFA41" s="1091"/>
      <c r="JFB41" s="1091"/>
      <c r="JFC41" s="1091"/>
      <c r="JFD41" s="1091"/>
      <c r="JFE41" s="1091"/>
      <c r="JFF41" s="1091"/>
      <c r="JFG41" s="1091"/>
      <c r="JFH41" s="1091"/>
      <c r="JFI41" s="1091"/>
      <c r="JFJ41" s="1091"/>
      <c r="JFK41" s="1091"/>
      <c r="JFL41" s="1091"/>
      <c r="JFM41" s="1091"/>
      <c r="JFN41" s="1091"/>
      <c r="JFO41" s="1091"/>
      <c r="JFP41" s="1091"/>
      <c r="JFQ41" s="1091"/>
      <c r="JFR41" s="1091"/>
      <c r="JFS41" s="1091"/>
      <c r="JFT41" s="1091"/>
      <c r="JFU41" s="1091"/>
      <c r="JFV41" s="1091"/>
      <c r="JFW41" s="1091"/>
      <c r="JFX41" s="1091"/>
      <c r="JFY41" s="1091"/>
      <c r="JFZ41" s="1091"/>
      <c r="JGA41" s="1091"/>
      <c r="JGB41" s="1091"/>
      <c r="JGC41" s="1091"/>
      <c r="JGD41" s="1091"/>
      <c r="JGE41" s="1091"/>
      <c r="JGF41" s="1091"/>
      <c r="JGG41" s="1091"/>
      <c r="JGH41" s="1091"/>
      <c r="JGI41" s="1091"/>
      <c r="JGJ41" s="1091"/>
      <c r="JGK41" s="1091"/>
      <c r="JGL41" s="1091"/>
      <c r="JGM41" s="1091"/>
      <c r="JGN41" s="1091"/>
      <c r="JGO41" s="1091"/>
      <c r="JGP41" s="1091"/>
      <c r="JGQ41" s="1091"/>
      <c r="JGR41" s="1091"/>
      <c r="JGS41" s="1091"/>
      <c r="JGT41" s="1091"/>
      <c r="JGU41" s="1091"/>
      <c r="JGV41" s="1091"/>
      <c r="JGW41" s="1091"/>
      <c r="JGX41" s="1091"/>
      <c r="JGY41" s="1091"/>
      <c r="JGZ41" s="1091"/>
      <c r="JHA41" s="1091"/>
      <c r="JHB41" s="1091"/>
      <c r="JHC41" s="1091"/>
      <c r="JHD41" s="1091"/>
      <c r="JHE41" s="1091"/>
      <c r="JHF41" s="1091"/>
      <c r="JHG41" s="1091"/>
      <c r="JHH41" s="1091"/>
      <c r="JHI41" s="1091"/>
      <c r="JHJ41" s="1091"/>
      <c r="JHK41" s="1091"/>
      <c r="JHL41" s="1091"/>
      <c r="JHM41" s="1091"/>
      <c r="JHN41" s="1091"/>
      <c r="JHO41" s="1091"/>
      <c r="JHP41" s="1091"/>
      <c r="JHQ41" s="1091"/>
      <c r="JHR41" s="1091"/>
      <c r="JHS41" s="1091"/>
      <c r="JHT41" s="1091"/>
      <c r="JHU41" s="1091"/>
      <c r="JHV41" s="1091"/>
      <c r="JHW41" s="1091"/>
      <c r="JHX41" s="1091"/>
      <c r="JHY41" s="1091"/>
      <c r="JHZ41" s="1091"/>
      <c r="JIA41" s="1091"/>
      <c r="JIB41" s="1091"/>
      <c r="JIC41" s="1091"/>
      <c r="JID41" s="1091"/>
      <c r="JIE41" s="1091"/>
      <c r="JIF41" s="1091"/>
      <c r="JIG41" s="1091"/>
      <c r="JIH41" s="1091"/>
      <c r="JII41" s="1091"/>
      <c r="JIJ41" s="1091"/>
      <c r="JIK41" s="1091"/>
      <c r="JIL41" s="1091"/>
      <c r="JIM41" s="1091"/>
      <c r="JIN41" s="1091"/>
      <c r="JIO41" s="1091"/>
      <c r="JIP41" s="1091"/>
      <c r="JIQ41" s="1091"/>
      <c r="JIR41" s="1091"/>
      <c r="JIS41" s="1091"/>
      <c r="JIT41" s="1091"/>
      <c r="JIU41" s="1091"/>
      <c r="JIV41" s="1091"/>
      <c r="JIW41" s="1091"/>
      <c r="JIX41" s="1091"/>
      <c r="JIY41" s="1091"/>
      <c r="JIZ41" s="1091"/>
      <c r="JJA41" s="1091"/>
      <c r="JJB41" s="1091"/>
      <c r="JJC41" s="1091"/>
      <c r="JJD41" s="1091"/>
      <c r="JJE41" s="1091"/>
      <c r="JJF41" s="1091"/>
      <c r="JJG41" s="1091"/>
      <c r="JJH41" s="1091"/>
      <c r="JJI41" s="1091"/>
      <c r="JJJ41" s="1091"/>
      <c r="JJK41" s="1091"/>
      <c r="JJL41" s="1091"/>
      <c r="JJM41" s="1091"/>
      <c r="JJN41" s="1091"/>
      <c r="JJO41" s="1091"/>
      <c r="JJP41" s="1091"/>
      <c r="JJQ41" s="1091"/>
      <c r="JJR41" s="1091"/>
      <c r="JJS41" s="1091"/>
      <c r="JJT41" s="1091"/>
      <c r="JJU41" s="1091"/>
      <c r="JJV41" s="1091"/>
      <c r="JJW41" s="1091"/>
      <c r="JJX41" s="1091"/>
      <c r="JJY41" s="1091"/>
      <c r="JJZ41" s="1091"/>
      <c r="JKA41" s="1091"/>
      <c r="JKB41" s="1091"/>
      <c r="JKC41" s="1091"/>
      <c r="JKD41" s="1091"/>
      <c r="JKE41" s="1091"/>
      <c r="JKF41" s="1091"/>
      <c r="JKG41" s="1091"/>
      <c r="JKH41" s="1091"/>
      <c r="JKI41" s="1091"/>
      <c r="JKJ41" s="1091"/>
      <c r="JKK41" s="1091"/>
      <c r="JKL41" s="1091"/>
      <c r="JKM41" s="1091"/>
      <c r="JKN41" s="1091"/>
      <c r="JKO41" s="1091"/>
      <c r="JKP41" s="1091"/>
      <c r="JKQ41" s="1091"/>
      <c r="JKR41" s="1091"/>
      <c r="JKS41" s="1091"/>
      <c r="JKT41" s="1091"/>
      <c r="JKU41" s="1091"/>
      <c r="JKV41" s="1091"/>
      <c r="JKW41" s="1091"/>
      <c r="JKX41" s="1091"/>
      <c r="JKY41" s="1091"/>
      <c r="JKZ41" s="1091"/>
      <c r="JLA41" s="1091"/>
      <c r="JLB41" s="1091"/>
      <c r="JLC41" s="1091"/>
      <c r="JLD41" s="1091"/>
      <c r="JLE41" s="1091"/>
      <c r="JLF41" s="1091"/>
      <c r="JLG41" s="1091"/>
      <c r="JLH41" s="1091"/>
      <c r="JLI41" s="1091"/>
      <c r="JLJ41" s="1091"/>
      <c r="JLK41" s="1091"/>
      <c r="JLL41" s="1091"/>
      <c r="JLM41" s="1091"/>
      <c r="JLN41" s="1091"/>
      <c r="JLO41" s="1091"/>
      <c r="JLP41" s="1091"/>
      <c r="JLQ41" s="1091"/>
      <c r="JLR41" s="1091"/>
      <c r="JLS41" s="1091"/>
      <c r="JLT41" s="1091"/>
      <c r="JLU41" s="1091"/>
      <c r="JLV41" s="1091"/>
      <c r="JLW41" s="1091"/>
      <c r="JLX41" s="1091"/>
      <c r="JLY41" s="1091"/>
      <c r="JLZ41" s="1091"/>
      <c r="JMA41" s="1091"/>
      <c r="JMB41" s="1091"/>
      <c r="JMC41" s="1091"/>
      <c r="JMD41" s="1091"/>
      <c r="JME41" s="1091"/>
      <c r="JMF41" s="1091"/>
      <c r="JMG41" s="1091"/>
      <c r="JMH41" s="1091"/>
      <c r="JMI41" s="1091"/>
      <c r="JMJ41" s="1091"/>
      <c r="JMK41" s="1091"/>
      <c r="JML41" s="1091"/>
      <c r="JMM41" s="1091"/>
      <c r="JMN41" s="1091"/>
      <c r="JMO41" s="1091"/>
      <c r="JMP41" s="1091"/>
      <c r="JMQ41" s="1091"/>
      <c r="JMR41" s="1091"/>
      <c r="JMS41" s="1091"/>
      <c r="JMT41" s="1091"/>
      <c r="JMU41" s="1091"/>
      <c r="JMV41" s="1091"/>
      <c r="JMW41" s="1091"/>
      <c r="JMX41" s="1091"/>
      <c r="JMY41" s="1091"/>
      <c r="JMZ41" s="1091"/>
      <c r="JNA41" s="1091"/>
      <c r="JNB41" s="1091"/>
      <c r="JNC41" s="1091"/>
      <c r="JND41" s="1091"/>
      <c r="JNE41" s="1091"/>
      <c r="JNF41" s="1091"/>
      <c r="JNG41" s="1091"/>
      <c r="JNH41" s="1091"/>
      <c r="JNI41" s="1091"/>
      <c r="JNJ41" s="1091"/>
      <c r="JNK41" s="1091"/>
      <c r="JNL41" s="1091"/>
      <c r="JNM41" s="1091"/>
      <c r="JNN41" s="1091"/>
      <c r="JNO41" s="1091"/>
      <c r="JNP41" s="1091"/>
      <c r="JNQ41" s="1091"/>
      <c r="JNR41" s="1091"/>
      <c r="JNS41" s="1091"/>
      <c r="JNT41" s="1091"/>
      <c r="JNU41" s="1091"/>
      <c r="JNV41" s="1091"/>
      <c r="JNW41" s="1091"/>
      <c r="JNX41" s="1091"/>
      <c r="JNY41" s="1091"/>
      <c r="JNZ41" s="1091"/>
      <c r="JOA41" s="1091"/>
      <c r="JOB41" s="1091"/>
      <c r="JOC41" s="1091"/>
      <c r="JOD41" s="1091"/>
      <c r="JOE41" s="1091"/>
      <c r="JOF41" s="1091"/>
      <c r="JOG41" s="1091"/>
      <c r="JOH41" s="1091"/>
      <c r="JOI41" s="1091"/>
      <c r="JOJ41" s="1091"/>
      <c r="JOK41" s="1091"/>
      <c r="JOL41" s="1091"/>
      <c r="JOM41" s="1091"/>
      <c r="JON41" s="1091"/>
      <c r="JOO41" s="1091"/>
      <c r="JOP41" s="1091"/>
      <c r="JOQ41" s="1091"/>
      <c r="JOR41" s="1091"/>
      <c r="JOS41" s="1091"/>
      <c r="JOT41" s="1091"/>
      <c r="JOU41" s="1091"/>
      <c r="JOV41" s="1091"/>
      <c r="JOW41" s="1091"/>
      <c r="JOX41" s="1091"/>
      <c r="JOY41" s="1091"/>
      <c r="JOZ41" s="1091"/>
      <c r="JPA41" s="1091"/>
      <c r="JPB41" s="1091"/>
      <c r="JPC41" s="1091"/>
      <c r="JPD41" s="1091"/>
      <c r="JPE41" s="1091"/>
      <c r="JPF41" s="1091"/>
      <c r="JPG41" s="1091"/>
      <c r="JPH41" s="1091"/>
      <c r="JPI41" s="1091"/>
      <c r="JPJ41" s="1091"/>
      <c r="JPK41" s="1091"/>
      <c r="JPL41" s="1091"/>
      <c r="JPM41" s="1091"/>
      <c r="JPN41" s="1091"/>
      <c r="JPO41" s="1091"/>
      <c r="JPP41" s="1091"/>
      <c r="JPQ41" s="1091"/>
      <c r="JPR41" s="1091"/>
      <c r="JPS41" s="1091"/>
      <c r="JPT41" s="1091"/>
      <c r="JPU41" s="1091"/>
      <c r="JPV41" s="1091"/>
      <c r="JPW41" s="1091"/>
      <c r="JPX41" s="1091"/>
      <c r="JPY41" s="1091"/>
      <c r="JPZ41" s="1091"/>
      <c r="JQA41" s="1091"/>
      <c r="JQB41" s="1091"/>
      <c r="JQC41" s="1091"/>
      <c r="JQD41" s="1091"/>
      <c r="JQE41" s="1091"/>
      <c r="JQF41" s="1091"/>
      <c r="JQG41" s="1091"/>
      <c r="JQH41" s="1091"/>
      <c r="JQI41" s="1091"/>
      <c r="JQJ41" s="1091"/>
      <c r="JQK41" s="1091"/>
      <c r="JQL41" s="1091"/>
      <c r="JQM41" s="1091"/>
      <c r="JQN41" s="1091"/>
      <c r="JQO41" s="1091"/>
      <c r="JQP41" s="1091"/>
      <c r="JQQ41" s="1091"/>
      <c r="JQR41" s="1091"/>
      <c r="JQS41" s="1091"/>
      <c r="JQT41" s="1091"/>
      <c r="JQU41" s="1091"/>
      <c r="JQV41" s="1091"/>
      <c r="JQW41" s="1091"/>
      <c r="JQX41" s="1091"/>
      <c r="JQY41" s="1091"/>
      <c r="JQZ41" s="1091"/>
      <c r="JRA41" s="1091"/>
      <c r="JRB41" s="1091"/>
      <c r="JRC41" s="1091"/>
      <c r="JRD41" s="1091"/>
      <c r="JRE41" s="1091"/>
      <c r="JRF41" s="1091"/>
      <c r="JRG41" s="1091"/>
      <c r="JRH41" s="1091"/>
      <c r="JRI41" s="1091"/>
      <c r="JRJ41" s="1091"/>
      <c r="JRK41" s="1091"/>
      <c r="JRL41" s="1091"/>
      <c r="JRM41" s="1091"/>
      <c r="JRN41" s="1091"/>
      <c r="JRO41" s="1091"/>
      <c r="JRP41" s="1091"/>
      <c r="JRQ41" s="1091"/>
      <c r="JRR41" s="1091"/>
      <c r="JRS41" s="1091"/>
      <c r="JRT41" s="1091"/>
      <c r="JRU41" s="1091"/>
      <c r="JRV41" s="1091"/>
      <c r="JRW41" s="1091"/>
      <c r="JRX41" s="1091"/>
      <c r="JRY41" s="1091"/>
      <c r="JRZ41" s="1091"/>
      <c r="JSA41" s="1091"/>
      <c r="JSB41" s="1091"/>
      <c r="JSC41" s="1091"/>
      <c r="JSD41" s="1091"/>
      <c r="JSE41" s="1091"/>
      <c r="JSF41" s="1091"/>
      <c r="JSG41" s="1091"/>
      <c r="JSH41" s="1091"/>
      <c r="JSI41" s="1091"/>
      <c r="JSJ41" s="1091"/>
      <c r="JSK41" s="1091"/>
      <c r="JSL41" s="1091"/>
      <c r="JSM41" s="1091"/>
      <c r="JSN41" s="1091"/>
      <c r="JSO41" s="1091"/>
      <c r="JSP41" s="1091"/>
      <c r="JSQ41" s="1091"/>
      <c r="JSR41" s="1091"/>
      <c r="JSS41" s="1091"/>
      <c r="JST41" s="1091"/>
      <c r="JSU41" s="1091"/>
      <c r="JSV41" s="1091"/>
      <c r="JSW41" s="1091"/>
      <c r="JSX41" s="1091"/>
      <c r="JSY41" s="1091"/>
      <c r="JSZ41" s="1091"/>
      <c r="JTA41" s="1091"/>
      <c r="JTB41" s="1091"/>
      <c r="JTC41" s="1091"/>
      <c r="JTD41" s="1091"/>
      <c r="JTE41" s="1091"/>
      <c r="JTF41" s="1091"/>
      <c r="JTG41" s="1091"/>
      <c r="JTH41" s="1091"/>
      <c r="JTI41" s="1091"/>
      <c r="JTJ41" s="1091"/>
      <c r="JTK41" s="1091"/>
      <c r="JTL41" s="1091"/>
      <c r="JTM41" s="1091"/>
      <c r="JTN41" s="1091"/>
      <c r="JTO41" s="1091"/>
      <c r="JTP41" s="1091"/>
      <c r="JTQ41" s="1091"/>
      <c r="JTR41" s="1091"/>
      <c r="JTS41" s="1091"/>
      <c r="JTT41" s="1091"/>
      <c r="JTU41" s="1091"/>
      <c r="JTV41" s="1091"/>
      <c r="JTW41" s="1091"/>
      <c r="JTX41" s="1091"/>
      <c r="JTY41" s="1091"/>
      <c r="JTZ41" s="1091"/>
      <c r="JUA41" s="1091"/>
      <c r="JUB41" s="1091"/>
      <c r="JUC41" s="1091"/>
      <c r="JUD41" s="1091"/>
      <c r="JUE41" s="1091"/>
      <c r="JUF41" s="1091"/>
      <c r="JUG41" s="1091"/>
      <c r="JUH41" s="1091"/>
      <c r="JUI41" s="1091"/>
      <c r="JUJ41" s="1091"/>
      <c r="JUK41" s="1091"/>
      <c r="JUL41" s="1091"/>
      <c r="JUM41" s="1091"/>
      <c r="JUN41" s="1091"/>
      <c r="JUO41" s="1091"/>
      <c r="JUP41" s="1091"/>
      <c r="JUQ41" s="1091"/>
      <c r="JUR41" s="1091"/>
      <c r="JUS41" s="1091"/>
      <c r="JUT41" s="1091"/>
      <c r="JUU41" s="1091"/>
      <c r="JUV41" s="1091"/>
      <c r="JUW41" s="1091"/>
      <c r="JUX41" s="1091"/>
      <c r="JUY41" s="1091"/>
      <c r="JUZ41" s="1091"/>
      <c r="JVA41" s="1091"/>
      <c r="JVB41" s="1091"/>
      <c r="JVC41" s="1091"/>
      <c r="JVD41" s="1091"/>
      <c r="JVE41" s="1091"/>
      <c r="JVF41" s="1091"/>
      <c r="JVG41" s="1091"/>
      <c r="JVH41" s="1091"/>
      <c r="JVI41" s="1091"/>
      <c r="JVJ41" s="1091"/>
      <c r="JVK41" s="1091"/>
      <c r="JVL41" s="1091"/>
      <c r="JVM41" s="1091"/>
      <c r="JVN41" s="1091"/>
      <c r="JVO41" s="1091"/>
      <c r="JVP41" s="1091"/>
      <c r="JVQ41" s="1091"/>
      <c r="JVR41" s="1091"/>
      <c r="JVS41" s="1091"/>
      <c r="JVT41" s="1091"/>
      <c r="JVU41" s="1091"/>
      <c r="JVV41" s="1091"/>
      <c r="JVW41" s="1091"/>
      <c r="JVX41" s="1091"/>
      <c r="JVY41" s="1091"/>
      <c r="JVZ41" s="1091"/>
      <c r="JWA41" s="1091"/>
      <c r="JWB41" s="1091"/>
      <c r="JWC41" s="1091"/>
      <c r="JWD41" s="1091"/>
      <c r="JWE41" s="1091"/>
      <c r="JWF41" s="1091"/>
      <c r="JWG41" s="1091"/>
      <c r="JWH41" s="1091"/>
      <c r="JWI41" s="1091"/>
      <c r="JWJ41" s="1091"/>
      <c r="JWK41" s="1091"/>
      <c r="JWL41" s="1091"/>
      <c r="JWM41" s="1091"/>
      <c r="JWN41" s="1091"/>
      <c r="JWO41" s="1091"/>
      <c r="JWP41" s="1091"/>
      <c r="JWQ41" s="1091"/>
      <c r="JWR41" s="1091"/>
      <c r="JWS41" s="1091"/>
      <c r="JWT41" s="1091"/>
      <c r="JWU41" s="1091"/>
      <c r="JWV41" s="1091"/>
      <c r="JWW41" s="1091"/>
      <c r="JWX41" s="1091"/>
      <c r="JWY41" s="1091"/>
      <c r="JWZ41" s="1091"/>
      <c r="JXA41" s="1091"/>
      <c r="JXB41" s="1091"/>
      <c r="JXC41" s="1091"/>
      <c r="JXD41" s="1091"/>
      <c r="JXE41" s="1091"/>
      <c r="JXF41" s="1091"/>
      <c r="JXG41" s="1091"/>
      <c r="JXH41" s="1091"/>
      <c r="JXI41" s="1091"/>
      <c r="JXJ41" s="1091"/>
      <c r="JXK41" s="1091"/>
      <c r="JXL41" s="1091"/>
      <c r="JXM41" s="1091"/>
      <c r="JXN41" s="1091"/>
      <c r="JXO41" s="1091"/>
      <c r="JXP41" s="1091"/>
      <c r="JXQ41" s="1091"/>
      <c r="JXR41" s="1091"/>
      <c r="JXS41" s="1091"/>
      <c r="JXT41" s="1091"/>
      <c r="JXU41" s="1091"/>
      <c r="JXV41" s="1091"/>
      <c r="JXW41" s="1091"/>
      <c r="JXX41" s="1091"/>
      <c r="JXY41" s="1091"/>
      <c r="JXZ41" s="1091"/>
      <c r="JYA41" s="1091"/>
      <c r="JYB41" s="1091"/>
      <c r="JYC41" s="1091"/>
      <c r="JYD41" s="1091"/>
      <c r="JYE41" s="1091"/>
      <c r="JYF41" s="1091"/>
      <c r="JYG41" s="1091"/>
      <c r="JYH41" s="1091"/>
      <c r="JYI41" s="1091"/>
      <c r="JYJ41" s="1091"/>
      <c r="JYK41" s="1091"/>
      <c r="JYL41" s="1091"/>
      <c r="JYM41" s="1091"/>
      <c r="JYN41" s="1091"/>
      <c r="JYO41" s="1091"/>
      <c r="JYP41" s="1091"/>
      <c r="JYQ41" s="1091"/>
      <c r="JYR41" s="1091"/>
      <c r="JYS41" s="1091"/>
      <c r="JYT41" s="1091"/>
      <c r="JYU41" s="1091"/>
      <c r="JYV41" s="1091"/>
      <c r="JYW41" s="1091"/>
      <c r="JYX41" s="1091"/>
      <c r="JYY41" s="1091"/>
      <c r="JYZ41" s="1091"/>
      <c r="JZA41" s="1091"/>
      <c r="JZB41" s="1091"/>
      <c r="JZC41" s="1091"/>
      <c r="JZD41" s="1091"/>
      <c r="JZE41" s="1091"/>
      <c r="JZF41" s="1091"/>
      <c r="JZG41" s="1091"/>
      <c r="JZH41" s="1091"/>
      <c r="JZI41" s="1091"/>
      <c r="JZJ41" s="1091"/>
      <c r="JZK41" s="1091"/>
      <c r="JZL41" s="1091"/>
      <c r="JZM41" s="1091"/>
      <c r="JZN41" s="1091"/>
      <c r="JZO41" s="1091"/>
      <c r="JZP41" s="1091"/>
      <c r="JZQ41" s="1091"/>
      <c r="JZR41" s="1091"/>
      <c r="JZS41" s="1091"/>
      <c r="JZT41" s="1091"/>
      <c r="JZU41" s="1091"/>
      <c r="JZV41" s="1091"/>
      <c r="JZW41" s="1091"/>
      <c r="JZX41" s="1091"/>
      <c r="JZY41" s="1091"/>
      <c r="JZZ41" s="1091"/>
      <c r="KAA41" s="1091"/>
      <c r="KAB41" s="1091"/>
      <c r="KAC41" s="1091"/>
      <c r="KAD41" s="1091"/>
      <c r="KAE41" s="1091"/>
      <c r="KAF41" s="1091"/>
      <c r="KAG41" s="1091"/>
      <c r="KAH41" s="1091"/>
      <c r="KAI41" s="1091"/>
      <c r="KAJ41" s="1091"/>
      <c r="KAK41" s="1091"/>
      <c r="KAL41" s="1091"/>
      <c r="KAM41" s="1091"/>
      <c r="KAN41" s="1091"/>
      <c r="KAO41" s="1091"/>
      <c r="KAP41" s="1091"/>
      <c r="KAQ41" s="1091"/>
      <c r="KAR41" s="1091"/>
      <c r="KAS41" s="1091"/>
      <c r="KAT41" s="1091"/>
      <c r="KAU41" s="1091"/>
      <c r="KAV41" s="1091"/>
      <c r="KAW41" s="1091"/>
      <c r="KAX41" s="1091"/>
      <c r="KAY41" s="1091"/>
      <c r="KAZ41" s="1091"/>
      <c r="KBA41" s="1091"/>
      <c r="KBB41" s="1091"/>
      <c r="KBC41" s="1091"/>
      <c r="KBD41" s="1091"/>
      <c r="KBE41" s="1091"/>
      <c r="KBF41" s="1091"/>
      <c r="KBG41" s="1091"/>
      <c r="KBH41" s="1091"/>
      <c r="KBI41" s="1091"/>
      <c r="KBJ41" s="1091"/>
      <c r="KBK41" s="1091"/>
      <c r="KBL41" s="1091"/>
      <c r="KBM41" s="1091"/>
      <c r="KBN41" s="1091"/>
      <c r="KBO41" s="1091"/>
      <c r="KBP41" s="1091"/>
      <c r="KBQ41" s="1091"/>
      <c r="KBR41" s="1091"/>
      <c r="KBS41" s="1091"/>
      <c r="KBT41" s="1091"/>
      <c r="KBU41" s="1091"/>
      <c r="KBV41" s="1091"/>
      <c r="KBW41" s="1091"/>
      <c r="KBX41" s="1091"/>
      <c r="KBY41" s="1091"/>
      <c r="KBZ41" s="1091"/>
      <c r="KCA41" s="1091"/>
      <c r="KCB41" s="1091"/>
      <c r="KCC41" s="1091"/>
      <c r="KCD41" s="1091"/>
      <c r="KCE41" s="1091"/>
      <c r="KCF41" s="1091"/>
      <c r="KCG41" s="1091"/>
      <c r="KCH41" s="1091"/>
      <c r="KCI41" s="1091"/>
      <c r="KCJ41" s="1091"/>
      <c r="KCK41" s="1091"/>
      <c r="KCL41" s="1091"/>
      <c r="KCM41" s="1091"/>
      <c r="KCN41" s="1091"/>
      <c r="KCO41" s="1091"/>
      <c r="KCP41" s="1091"/>
      <c r="KCQ41" s="1091"/>
      <c r="KCR41" s="1091"/>
      <c r="KCS41" s="1091"/>
      <c r="KCT41" s="1091"/>
      <c r="KCU41" s="1091"/>
      <c r="KCV41" s="1091"/>
      <c r="KCW41" s="1091"/>
      <c r="KCX41" s="1091"/>
      <c r="KCY41" s="1091"/>
      <c r="KCZ41" s="1091"/>
      <c r="KDA41" s="1091"/>
      <c r="KDB41" s="1091"/>
      <c r="KDC41" s="1091"/>
      <c r="KDD41" s="1091"/>
      <c r="KDE41" s="1091"/>
      <c r="KDF41" s="1091"/>
      <c r="KDG41" s="1091"/>
      <c r="KDH41" s="1091"/>
      <c r="KDI41" s="1091"/>
      <c r="KDJ41" s="1091"/>
      <c r="KDK41" s="1091"/>
      <c r="KDL41" s="1091"/>
      <c r="KDM41" s="1091"/>
      <c r="KDN41" s="1091"/>
      <c r="KDO41" s="1091"/>
      <c r="KDP41" s="1091"/>
      <c r="KDQ41" s="1091"/>
      <c r="KDR41" s="1091"/>
      <c r="KDS41" s="1091"/>
      <c r="KDT41" s="1091"/>
      <c r="KDU41" s="1091"/>
      <c r="KDV41" s="1091"/>
      <c r="KDW41" s="1091"/>
      <c r="KDX41" s="1091"/>
      <c r="KDY41" s="1091"/>
      <c r="KDZ41" s="1091"/>
      <c r="KEA41" s="1091"/>
      <c r="KEB41" s="1091"/>
      <c r="KEC41" s="1091"/>
      <c r="KED41" s="1091"/>
      <c r="KEE41" s="1091"/>
      <c r="KEF41" s="1091"/>
      <c r="KEG41" s="1091"/>
      <c r="KEH41" s="1091"/>
      <c r="KEI41" s="1091"/>
      <c r="KEJ41" s="1091"/>
      <c r="KEK41" s="1091"/>
      <c r="KEL41" s="1091"/>
      <c r="KEM41" s="1091"/>
      <c r="KEN41" s="1091"/>
      <c r="KEO41" s="1091"/>
      <c r="KEP41" s="1091"/>
      <c r="KEQ41" s="1091"/>
      <c r="KER41" s="1091"/>
      <c r="KES41" s="1091"/>
      <c r="KET41" s="1091"/>
      <c r="KEU41" s="1091"/>
      <c r="KEV41" s="1091"/>
      <c r="KEW41" s="1091"/>
      <c r="KEX41" s="1091"/>
      <c r="KEY41" s="1091"/>
      <c r="KEZ41" s="1091"/>
      <c r="KFA41" s="1091"/>
      <c r="KFB41" s="1091"/>
      <c r="KFC41" s="1091"/>
      <c r="KFD41" s="1091"/>
      <c r="KFE41" s="1091"/>
      <c r="KFF41" s="1091"/>
      <c r="KFG41" s="1091"/>
      <c r="KFH41" s="1091"/>
      <c r="KFI41" s="1091"/>
      <c r="KFJ41" s="1091"/>
      <c r="KFK41" s="1091"/>
      <c r="KFL41" s="1091"/>
      <c r="KFM41" s="1091"/>
      <c r="KFN41" s="1091"/>
      <c r="KFO41" s="1091"/>
      <c r="KFP41" s="1091"/>
      <c r="KFQ41" s="1091"/>
      <c r="KFR41" s="1091"/>
      <c r="KFS41" s="1091"/>
      <c r="KFT41" s="1091"/>
      <c r="KFU41" s="1091"/>
      <c r="KFV41" s="1091"/>
      <c r="KFW41" s="1091"/>
      <c r="KFX41" s="1091"/>
      <c r="KFY41" s="1091"/>
      <c r="KFZ41" s="1091"/>
      <c r="KGA41" s="1091"/>
      <c r="KGB41" s="1091"/>
      <c r="KGC41" s="1091"/>
      <c r="KGD41" s="1091"/>
      <c r="KGE41" s="1091"/>
      <c r="KGF41" s="1091"/>
      <c r="KGG41" s="1091"/>
      <c r="KGH41" s="1091"/>
      <c r="KGI41" s="1091"/>
      <c r="KGJ41" s="1091"/>
      <c r="KGK41" s="1091"/>
      <c r="KGL41" s="1091"/>
      <c r="KGM41" s="1091"/>
      <c r="KGN41" s="1091"/>
      <c r="KGO41" s="1091"/>
      <c r="KGP41" s="1091"/>
      <c r="KGQ41" s="1091"/>
      <c r="KGR41" s="1091"/>
      <c r="KGS41" s="1091"/>
      <c r="KGT41" s="1091"/>
      <c r="KGU41" s="1091"/>
      <c r="KGV41" s="1091"/>
      <c r="KGW41" s="1091"/>
      <c r="KGX41" s="1091"/>
      <c r="KGY41" s="1091"/>
      <c r="KGZ41" s="1091"/>
      <c r="KHA41" s="1091"/>
      <c r="KHB41" s="1091"/>
      <c r="KHC41" s="1091"/>
      <c r="KHD41" s="1091"/>
      <c r="KHE41" s="1091"/>
      <c r="KHF41" s="1091"/>
      <c r="KHG41" s="1091"/>
      <c r="KHH41" s="1091"/>
      <c r="KHI41" s="1091"/>
      <c r="KHJ41" s="1091"/>
      <c r="KHK41" s="1091"/>
      <c r="KHL41" s="1091"/>
      <c r="KHM41" s="1091"/>
      <c r="KHN41" s="1091"/>
      <c r="KHO41" s="1091"/>
      <c r="KHP41" s="1091"/>
      <c r="KHQ41" s="1091"/>
      <c r="KHR41" s="1091"/>
      <c r="KHS41" s="1091"/>
      <c r="KHT41" s="1091"/>
      <c r="KHU41" s="1091"/>
      <c r="KHV41" s="1091"/>
      <c r="KHW41" s="1091"/>
      <c r="KHX41" s="1091"/>
      <c r="KHY41" s="1091"/>
      <c r="KHZ41" s="1091"/>
      <c r="KIA41" s="1091"/>
      <c r="KIB41" s="1091"/>
      <c r="KIC41" s="1091"/>
      <c r="KID41" s="1091"/>
      <c r="KIE41" s="1091"/>
      <c r="KIF41" s="1091"/>
      <c r="KIG41" s="1091"/>
      <c r="KIH41" s="1091"/>
      <c r="KII41" s="1091"/>
      <c r="KIJ41" s="1091"/>
      <c r="KIK41" s="1091"/>
      <c r="KIL41" s="1091"/>
      <c r="KIM41" s="1091"/>
      <c r="KIN41" s="1091"/>
      <c r="KIO41" s="1091"/>
      <c r="KIP41" s="1091"/>
      <c r="KIQ41" s="1091"/>
      <c r="KIR41" s="1091"/>
      <c r="KIS41" s="1091"/>
      <c r="KIT41" s="1091"/>
      <c r="KIU41" s="1091"/>
      <c r="KIV41" s="1091"/>
      <c r="KIW41" s="1091"/>
      <c r="KIX41" s="1091"/>
      <c r="KIY41" s="1091"/>
      <c r="KIZ41" s="1091"/>
      <c r="KJA41" s="1091"/>
      <c r="KJB41" s="1091"/>
      <c r="KJC41" s="1091"/>
      <c r="KJD41" s="1091"/>
      <c r="KJE41" s="1091"/>
      <c r="KJF41" s="1091"/>
      <c r="KJG41" s="1091"/>
      <c r="KJH41" s="1091"/>
      <c r="KJI41" s="1091"/>
      <c r="KJJ41" s="1091"/>
      <c r="KJK41" s="1091"/>
      <c r="KJL41" s="1091"/>
      <c r="KJM41" s="1091"/>
      <c r="KJN41" s="1091"/>
      <c r="KJO41" s="1091"/>
      <c r="KJP41" s="1091"/>
      <c r="KJQ41" s="1091"/>
      <c r="KJR41" s="1091"/>
      <c r="KJS41" s="1091"/>
      <c r="KJT41" s="1091"/>
      <c r="KJU41" s="1091"/>
      <c r="KJV41" s="1091"/>
      <c r="KJW41" s="1091"/>
      <c r="KJX41" s="1091"/>
      <c r="KJY41" s="1091"/>
      <c r="KJZ41" s="1091"/>
      <c r="KKA41" s="1091"/>
      <c r="KKB41" s="1091"/>
      <c r="KKC41" s="1091"/>
      <c r="KKD41" s="1091"/>
      <c r="KKE41" s="1091"/>
      <c r="KKF41" s="1091"/>
      <c r="KKG41" s="1091"/>
      <c r="KKH41" s="1091"/>
      <c r="KKI41" s="1091"/>
      <c r="KKJ41" s="1091"/>
      <c r="KKK41" s="1091"/>
      <c r="KKL41" s="1091"/>
      <c r="KKM41" s="1091"/>
      <c r="KKN41" s="1091"/>
      <c r="KKO41" s="1091"/>
      <c r="KKP41" s="1091"/>
      <c r="KKQ41" s="1091"/>
      <c r="KKR41" s="1091"/>
      <c r="KKS41" s="1091"/>
      <c r="KKT41" s="1091"/>
      <c r="KKU41" s="1091"/>
      <c r="KKV41" s="1091"/>
      <c r="KKW41" s="1091"/>
      <c r="KKX41" s="1091"/>
      <c r="KKY41" s="1091"/>
      <c r="KKZ41" s="1091"/>
      <c r="KLA41" s="1091"/>
      <c r="KLB41" s="1091"/>
      <c r="KLC41" s="1091"/>
      <c r="KLD41" s="1091"/>
      <c r="KLE41" s="1091"/>
      <c r="KLF41" s="1091"/>
      <c r="KLG41" s="1091"/>
      <c r="KLH41" s="1091"/>
      <c r="KLI41" s="1091"/>
      <c r="KLJ41" s="1091"/>
      <c r="KLK41" s="1091"/>
      <c r="KLL41" s="1091"/>
      <c r="KLM41" s="1091"/>
      <c r="KLN41" s="1091"/>
      <c r="KLO41" s="1091"/>
      <c r="KLP41" s="1091"/>
      <c r="KLQ41" s="1091"/>
      <c r="KLR41" s="1091"/>
      <c r="KLS41" s="1091"/>
      <c r="KLT41" s="1091"/>
      <c r="KLU41" s="1091"/>
      <c r="KLV41" s="1091"/>
      <c r="KLW41" s="1091"/>
      <c r="KLX41" s="1091"/>
      <c r="KLY41" s="1091"/>
      <c r="KLZ41" s="1091"/>
      <c r="KMA41" s="1091"/>
      <c r="KMB41" s="1091"/>
      <c r="KMC41" s="1091"/>
      <c r="KMD41" s="1091"/>
      <c r="KME41" s="1091"/>
      <c r="KMF41" s="1091"/>
      <c r="KMG41" s="1091"/>
      <c r="KMH41" s="1091"/>
      <c r="KMI41" s="1091"/>
      <c r="KMJ41" s="1091"/>
      <c r="KMK41" s="1091"/>
      <c r="KML41" s="1091"/>
      <c r="KMM41" s="1091"/>
      <c r="KMN41" s="1091"/>
      <c r="KMO41" s="1091"/>
      <c r="KMP41" s="1091"/>
      <c r="KMQ41" s="1091"/>
      <c r="KMR41" s="1091"/>
      <c r="KMS41" s="1091"/>
      <c r="KMT41" s="1091"/>
      <c r="KMU41" s="1091"/>
      <c r="KMV41" s="1091"/>
      <c r="KMW41" s="1091"/>
      <c r="KMX41" s="1091"/>
      <c r="KMY41" s="1091"/>
      <c r="KMZ41" s="1091"/>
      <c r="KNA41" s="1091"/>
      <c r="KNB41" s="1091"/>
      <c r="KNC41" s="1091"/>
      <c r="KND41" s="1091"/>
      <c r="KNE41" s="1091"/>
      <c r="KNF41" s="1091"/>
      <c r="KNG41" s="1091"/>
      <c r="KNH41" s="1091"/>
      <c r="KNI41" s="1091"/>
      <c r="KNJ41" s="1091"/>
      <c r="KNK41" s="1091"/>
      <c r="KNL41" s="1091"/>
      <c r="KNM41" s="1091"/>
      <c r="KNN41" s="1091"/>
      <c r="KNO41" s="1091"/>
      <c r="KNP41" s="1091"/>
      <c r="KNQ41" s="1091"/>
      <c r="KNR41" s="1091"/>
      <c r="KNS41" s="1091"/>
      <c r="KNT41" s="1091"/>
      <c r="KNU41" s="1091"/>
      <c r="KNV41" s="1091"/>
      <c r="KNW41" s="1091"/>
      <c r="KNX41" s="1091"/>
      <c r="KNY41" s="1091"/>
      <c r="KNZ41" s="1091"/>
      <c r="KOA41" s="1091"/>
      <c r="KOB41" s="1091"/>
      <c r="KOC41" s="1091"/>
      <c r="KOD41" s="1091"/>
      <c r="KOE41" s="1091"/>
      <c r="KOF41" s="1091"/>
      <c r="KOG41" s="1091"/>
      <c r="KOH41" s="1091"/>
      <c r="KOI41" s="1091"/>
      <c r="KOJ41" s="1091"/>
      <c r="KOK41" s="1091"/>
      <c r="KOL41" s="1091"/>
      <c r="KOM41" s="1091"/>
      <c r="KON41" s="1091"/>
      <c r="KOO41" s="1091"/>
      <c r="KOP41" s="1091"/>
      <c r="KOQ41" s="1091"/>
      <c r="KOR41" s="1091"/>
      <c r="KOS41" s="1091"/>
      <c r="KOT41" s="1091"/>
      <c r="KOU41" s="1091"/>
      <c r="KOV41" s="1091"/>
      <c r="KOW41" s="1091"/>
      <c r="KOX41" s="1091"/>
      <c r="KOY41" s="1091"/>
      <c r="KOZ41" s="1091"/>
      <c r="KPA41" s="1091"/>
      <c r="KPB41" s="1091"/>
      <c r="KPC41" s="1091"/>
      <c r="KPD41" s="1091"/>
      <c r="KPE41" s="1091"/>
      <c r="KPF41" s="1091"/>
      <c r="KPG41" s="1091"/>
      <c r="KPH41" s="1091"/>
      <c r="KPI41" s="1091"/>
      <c r="KPJ41" s="1091"/>
      <c r="KPK41" s="1091"/>
      <c r="KPL41" s="1091"/>
      <c r="KPM41" s="1091"/>
      <c r="KPN41" s="1091"/>
      <c r="KPO41" s="1091"/>
      <c r="KPP41" s="1091"/>
      <c r="KPQ41" s="1091"/>
      <c r="KPR41" s="1091"/>
      <c r="KPS41" s="1091"/>
      <c r="KPT41" s="1091"/>
      <c r="KPU41" s="1091"/>
      <c r="KPV41" s="1091"/>
      <c r="KPW41" s="1091"/>
      <c r="KPX41" s="1091"/>
      <c r="KPY41" s="1091"/>
      <c r="KPZ41" s="1091"/>
      <c r="KQA41" s="1091"/>
      <c r="KQB41" s="1091"/>
      <c r="KQC41" s="1091"/>
      <c r="KQD41" s="1091"/>
      <c r="KQE41" s="1091"/>
      <c r="KQF41" s="1091"/>
      <c r="KQG41" s="1091"/>
      <c r="KQH41" s="1091"/>
      <c r="KQI41" s="1091"/>
      <c r="KQJ41" s="1091"/>
      <c r="KQK41" s="1091"/>
      <c r="KQL41" s="1091"/>
      <c r="KQM41" s="1091"/>
      <c r="KQN41" s="1091"/>
      <c r="KQO41" s="1091"/>
      <c r="KQP41" s="1091"/>
      <c r="KQQ41" s="1091"/>
      <c r="KQR41" s="1091"/>
      <c r="KQS41" s="1091"/>
      <c r="KQT41" s="1091"/>
      <c r="KQU41" s="1091"/>
      <c r="KQV41" s="1091"/>
      <c r="KQW41" s="1091"/>
      <c r="KQX41" s="1091"/>
      <c r="KQY41" s="1091"/>
      <c r="KQZ41" s="1091"/>
      <c r="KRA41" s="1091"/>
      <c r="KRB41" s="1091"/>
      <c r="KRC41" s="1091"/>
      <c r="KRD41" s="1091"/>
      <c r="KRE41" s="1091"/>
      <c r="KRF41" s="1091"/>
      <c r="KRG41" s="1091"/>
      <c r="KRH41" s="1091"/>
      <c r="KRI41" s="1091"/>
      <c r="KRJ41" s="1091"/>
      <c r="KRK41" s="1091"/>
      <c r="KRL41" s="1091"/>
      <c r="KRM41" s="1091"/>
      <c r="KRN41" s="1091"/>
      <c r="KRO41" s="1091"/>
      <c r="KRP41" s="1091"/>
      <c r="KRQ41" s="1091"/>
      <c r="KRR41" s="1091"/>
      <c r="KRS41" s="1091"/>
      <c r="KRT41" s="1091"/>
      <c r="KRU41" s="1091"/>
      <c r="KRV41" s="1091"/>
      <c r="KRW41" s="1091"/>
      <c r="KRX41" s="1091"/>
      <c r="KRY41" s="1091"/>
      <c r="KRZ41" s="1091"/>
      <c r="KSA41" s="1091"/>
      <c r="KSB41" s="1091"/>
      <c r="KSC41" s="1091"/>
      <c r="KSD41" s="1091"/>
      <c r="KSE41" s="1091"/>
      <c r="KSF41" s="1091"/>
      <c r="KSG41" s="1091"/>
      <c r="KSH41" s="1091"/>
      <c r="KSI41" s="1091"/>
      <c r="KSJ41" s="1091"/>
      <c r="KSK41" s="1091"/>
      <c r="KSL41" s="1091"/>
      <c r="KSM41" s="1091"/>
      <c r="KSN41" s="1091"/>
      <c r="KSO41" s="1091"/>
      <c r="KSP41" s="1091"/>
      <c r="KSQ41" s="1091"/>
      <c r="KSR41" s="1091"/>
      <c r="KSS41" s="1091"/>
      <c r="KST41" s="1091"/>
      <c r="KSU41" s="1091"/>
      <c r="KSV41" s="1091"/>
      <c r="KSW41" s="1091"/>
      <c r="KSX41" s="1091"/>
      <c r="KSY41" s="1091"/>
      <c r="KSZ41" s="1091"/>
      <c r="KTA41" s="1091"/>
      <c r="KTB41" s="1091"/>
      <c r="KTC41" s="1091"/>
      <c r="KTD41" s="1091"/>
      <c r="KTE41" s="1091"/>
      <c r="KTF41" s="1091"/>
      <c r="KTG41" s="1091"/>
      <c r="KTH41" s="1091"/>
      <c r="KTI41" s="1091"/>
      <c r="KTJ41" s="1091"/>
      <c r="KTK41" s="1091"/>
      <c r="KTL41" s="1091"/>
      <c r="KTM41" s="1091"/>
      <c r="KTN41" s="1091"/>
      <c r="KTO41" s="1091"/>
      <c r="KTP41" s="1091"/>
      <c r="KTQ41" s="1091"/>
      <c r="KTR41" s="1091"/>
      <c r="KTS41" s="1091"/>
      <c r="KTT41" s="1091"/>
      <c r="KTU41" s="1091"/>
      <c r="KTV41" s="1091"/>
      <c r="KTW41" s="1091"/>
      <c r="KTX41" s="1091"/>
      <c r="KTY41" s="1091"/>
      <c r="KTZ41" s="1091"/>
      <c r="KUA41" s="1091"/>
      <c r="KUB41" s="1091"/>
      <c r="KUC41" s="1091"/>
      <c r="KUD41" s="1091"/>
      <c r="KUE41" s="1091"/>
      <c r="KUF41" s="1091"/>
      <c r="KUG41" s="1091"/>
      <c r="KUH41" s="1091"/>
      <c r="KUI41" s="1091"/>
      <c r="KUJ41" s="1091"/>
      <c r="KUK41" s="1091"/>
      <c r="KUL41" s="1091"/>
      <c r="KUM41" s="1091"/>
      <c r="KUN41" s="1091"/>
      <c r="KUO41" s="1091"/>
      <c r="KUP41" s="1091"/>
      <c r="KUQ41" s="1091"/>
      <c r="KUR41" s="1091"/>
      <c r="KUS41" s="1091"/>
      <c r="KUT41" s="1091"/>
      <c r="KUU41" s="1091"/>
      <c r="KUV41" s="1091"/>
      <c r="KUW41" s="1091"/>
      <c r="KUX41" s="1091"/>
      <c r="KUY41" s="1091"/>
      <c r="KUZ41" s="1091"/>
      <c r="KVA41" s="1091"/>
      <c r="KVB41" s="1091"/>
      <c r="KVC41" s="1091"/>
      <c r="KVD41" s="1091"/>
      <c r="KVE41" s="1091"/>
      <c r="KVF41" s="1091"/>
      <c r="KVG41" s="1091"/>
      <c r="KVH41" s="1091"/>
      <c r="KVI41" s="1091"/>
      <c r="KVJ41" s="1091"/>
      <c r="KVK41" s="1091"/>
      <c r="KVL41" s="1091"/>
      <c r="KVM41" s="1091"/>
      <c r="KVN41" s="1091"/>
      <c r="KVO41" s="1091"/>
      <c r="KVP41" s="1091"/>
      <c r="KVQ41" s="1091"/>
      <c r="KVR41" s="1091"/>
      <c r="KVS41" s="1091"/>
      <c r="KVT41" s="1091"/>
      <c r="KVU41" s="1091"/>
      <c r="KVV41" s="1091"/>
      <c r="KVW41" s="1091"/>
      <c r="KVX41" s="1091"/>
      <c r="KVY41" s="1091"/>
      <c r="KVZ41" s="1091"/>
      <c r="KWA41" s="1091"/>
      <c r="KWB41" s="1091"/>
      <c r="KWC41" s="1091"/>
      <c r="KWD41" s="1091"/>
      <c r="KWE41" s="1091"/>
      <c r="KWF41" s="1091"/>
      <c r="KWG41" s="1091"/>
      <c r="KWH41" s="1091"/>
      <c r="KWI41" s="1091"/>
      <c r="KWJ41" s="1091"/>
      <c r="KWK41" s="1091"/>
      <c r="KWL41" s="1091"/>
      <c r="KWM41" s="1091"/>
      <c r="KWN41" s="1091"/>
      <c r="KWO41" s="1091"/>
      <c r="KWP41" s="1091"/>
      <c r="KWQ41" s="1091"/>
      <c r="KWR41" s="1091"/>
      <c r="KWS41" s="1091"/>
      <c r="KWT41" s="1091"/>
      <c r="KWU41" s="1091"/>
      <c r="KWV41" s="1091"/>
      <c r="KWW41" s="1091"/>
      <c r="KWX41" s="1091"/>
      <c r="KWY41" s="1091"/>
      <c r="KWZ41" s="1091"/>
      <c r="KXA41" s="1091"/>
      <c r="KXB41" s="1091"/>
      <c r="KXC41" s="1091"/>
      <c r="KXD41" s="1091"/>
      <c r="KXE41" s="1091"/>
      <c r="KXF41" s="1091"/>
      <c r="KXG41" s="1091"/>
      <c r="KXH41" s="1091"/>
      <c r="KXI41" s="1091"/>
      <c r="KXJ41" s="1091"/>
      <c r="KXK41" s="1091"/>
      <c r="KXL41" s="1091"/>
      <c r="KXM41" s="1091"/>
      <c r="KXN41" s="1091"/>
      <c r="KXO41" s="1091"/>
      <c r="KXP41" s="1091"/>
      <c r="KXQ41" s="1091"/>
      <c r="KXR41" s="1091"/>
      <c r="KXS41" s="1091"/>
      <c r="KXT41" s="1091"/>
      <c r="KXU41" s="1091"/>
      <c r="KXV41" s="1091"/>
      <c r="KXW41" s="1091"/>
      <c r="KXX41" s="1091"/>
      <c r="KXY41" s="1091"/>
      <c r="KXZ41" s="1091"/>
      <c r="KYA41" s="1091"/>
      <c r="KYB41" s="1091"/>
      <c r="KYC41" s="1091"/>
      <c r="KYD41" s="1091"/>
      <c r="KYE41" s="1091"/>
      <c r="KYF41" s="1091"/>
      <c r="KYG41" s="1091"/>
      <c r="KYH41" s="1091"/>
      <c r="KYI41" s="1091"/>
      <c r="KYJ41" s="1091"/>
      <c r="KYK41" s="1091"/>
      <c r="KYL41" s="1091"/>
      <c r="KYM41" s="1091"/>
      <c r="KYN41" s="1091"/>
      <c r="KYO41" s="1091"/>
      <c r="KYP41" s="1091"/>
      <c r="KYQ41" s="1091"/>
      <c r="KYR41" s="1091"/>
      <c r="KYS41" s="1091"/>
      <c r="KYT41" s="1091"/>
      <c r="KYU41" s="1091"/>
      <c r="KYV41" s="1091"/>
      <c r="KYW41" s="1091"/>
      <c r="KYX41" s="1091"/>
      <c r="KYY41" s="1091"/>
      <c r="KYZ41" s="1091"/>
      <c r="KZA41" s="1091"/>
      <c r="KZB41" s="1091"/>
      <c r="KZC41" s="1091"/>
      <c r="KZD41" s="1091"/>
      <c r="KZE41" s="1091"/>
      <c r="KZF41" s="1091"/>
      <c r="KZG41" s="1091"/>
      <c r="KZH41" s="1091"/>
      <c r="KZI41" s="1091"/>
      <c r="KZJ41" s="1091"/>
      <c r="KZK41" s="1091"/>
      <c r="KZL41" s="1091"/>
      <c r="KZM41" s="1091"/>
      <c r="KZN41" s="1091"/>
      <c r="KZO41" s="1091"/>
      <c r="KZP41" s="1091"/>
      <c r="KZQ41" s="1091"/>
      <c r="KZR41" s="1091"/>
      <c r="KZS41" s="1091"/>
      <c r="KZT41" s="1091"/>
      <c r="KZU41" s="1091"/>
      <c r="KZV41" s="1091"/>
      <c r="KZW41" s="1091"/>
      <c r="KZX41" s="1091"/>
      <c r="KZY41" s="1091"/>
      <c r="KZZ41" s="1091"/>
      <c r="LAA41" s="1091"/>
      <c r="LAB41" s="1091"/>
      <c r="LAC41" s="1091"/>
      <c r="LAD41" s="1091"/>
      <c r="LAE41" s="1091"/>
      <c r="LAF41" s="1091"/>
      <c r="LAG41" s="1091"/>
      <c r="LAH41" s="1091"/>
      <c r="LAI41" s="1091"/>
      <c r="LAJ41" s="1091"/>
      <c r="LAK41" s="1091"/>
      <c r="LAL41" s="1091"/>
      <c r="LAM41" s="1091"/>
      <c r="LAN41" s="1091"/>
      <c r="LAO41" s="1091"/>
      <c r="LAP41" s="1091"/>
      <c r="LAQ41" s="1091"/>
      <c r="LAR41" s="1091"/>
      <c r="LAS41" s="1091"/>
      <c r="LAT41" s="1091"/>
      <c r="LAU41" s="1091"/>
      <c r="LAV41" s="1091"/>
      <c r="LAW41" s="1091"/>
      <c r="LAX41" s="1091"/>
      <c r="LAY41" s="1091"/>
      <c r="LAZ41" s="1091"/>
      <c r="LBA41" s="1091"/>
      <c r="LBB41" s="1091"/>
      <c r="LBC41" s="1091"/>
      <c r="LBD41" s="1091"/>
      <c r="LBE41" s="1091"/>
      <c r="LBF41" s="1091"/>
      <c r="LBG41" s="1091"/>
      <c r="LBH41" s="1091"/>
      <c r="LBI41" s="1091"/>
      <c r="LBJ41" s="1091"/>
      <c r="LBK41" s="1091"/>
      <c r="LBL41" s="1091"/>
      <c r="LBM41" s="1091"/>
      <c r="LBN41" s="1091"/>
      <c r="LBO41" s="1091"/>
      <c r="LBP41" s="1091"/>
      <c r="LBQ41" s="1091"/>
      <c r="LBR41" s="1091"/>
      <c r="LBS41" s="1091"/>
      <c r="LBT41" s="1091"/>
      <c r="LBU41" s="1091"/>
      <c r="LBV41" s="1091"/>
      <c r="LBW41" s="1091"/>
      <c r="LBX41" s="1091"/>
      <c r="LBY41" s="1091"/>
      <c r="LBZ41" s="1091"/>
      <c r="LCA41" s="1091"/>
      <c r="LCB41" s="1091"/>
      <c r="LCC41" s="1091"/>
      <c r="LCD41" s="1091"/>
      <c r="LCE41" s="1091"/>
      <c r="LCF41" s="1091"/>
      <c r="LCG41" s="1091"/>
      <c r="LCH41" s="1091"/>
      <c r="LCI41" s="1091"/>
      <c r="LCJ41" s="1091"/>
      <c r="LCK41" s="1091"/>
      <c r="LCL41" s="1091"/>
      <c r="LCM41" s="1091"/>
      <c r="LCN41" s="1091"/>
      <c r="LCO41" s="1091"/>
      <c r="LCP41" s="1091"/>
      <c r="LCQ41" s="1091"/>
      <c r="LCR41" s="1091"/>
      <c r="LCS41" s="1091"/>
      <c r="LCT41" s="1091"/>
      <c r="LCU41" s="1091"/>
      <c r="LCV41" s="1091"/>
      <c r="LCW41" s="1091"/>
      <c r="LCX41" s="1091"/>
      <c r="LCY41" s="1091"/>
      <c r="LCZ41" s="1091"/>
      <c r="LDA41" s="1091"/>
      <c r="LDB41" s="1091"/>
      <c r="LDC41" s="1091"/>
      <c r="LDD41" s="1091"/>
      <c r="LDE41" s="1091"/>
      <c r="LDF41" s="1091"/>
      <c r="LDG41" s="1091"/>
      <c r="LDH41" s="1091"/>
      <c r="LDI41" s="1091"/>
      <c r="LDJ41" s="1091"/>
      <c r="LDK41" s="1091"/>
      <c r="LDL41" s="1091"/>
      <c r="LDM41" s="1091"/>
      <c r="LDN41" s="1091"/>
      <c r="LDO41" s="1091"/>
      <c r="LDP41" s="1091"/>
      <c r="LDQ41" s="1091"/>
      <c r="LDR41" s="1091"/>
      <c r="LDS41" s="1091"/>
      <c r="LDT41" s="1091"/>
      <c r="LDU41" s="1091"/>
      <c r="LDV41" s="1091"/>
      <c r="LDW41" s="1091"/>
      <c r="LDX41" s="1091"/>
      <c r="LDY41" s="1091"/>
      <c r="LDZ41" s="1091"/>
      <c r="LEA41" s="1091"/>
      <c r="LEB41" s="1091"/>
      <c r="LEC41" s="1091"/>
      <c r="LED41" s="1091"/>
      <c r="LEE41" s="1091"/>
      <c r="LEF41" s="1091"/>
      <c r="LEG41" s="1091"/>
      <c r="LEH41" s="1091"/>
      <c r="LEI41" s="1091"/>
      <c r="LEJ41" s="1091"/>
      <c r="LEK41" s="1091"/>
      <c r="LEL41" s="1091"/>
      <c r="LEM41" s="1091"/>
      <c r="LEN41" s="1091"/>
      <c r="LEO41" s="1091"/>
      <c r="LEP41" s="1091"/>
      <c r="LEQ41" s="1091"/>
      <c r="LER41" s="1091"/>
      <c r="LES41" s="1091"/>
      <c r="LET41" s="1091"/>
      <c r="LEU41" s="1091"/>
      <c r="LEV41" s="1091"/>
      <c r="LEW41" s="1091"/>
      <c r="LEX41" s="1091"/>
      <c r="LEY41" s="1091"/>
      <c r="LEZ41" s="1091"/>
      <c r="LFA41" s="1091"/>
      <c r="LFB41" s="1091"/>
      <c r="LFC41" s="1091"/>
      <c r="LFD41" s="1091"/>
      <c r="LFE41" s="1091"/>
      <c r="LFF41" s="1091"/>
      <c r="LFG41" s="1091"/>
      <c r="LFH41" s="1091"/>
      <c r="LFI41" s="1091"/>
      <c r="LFJ41" s="1091"/>
      <c r="LFK41" s="1091"/>
      <c r="LFL41" s="1091"/>
      <c r="LFM41" s="1091"/>
      <c r="LFN41" s="1091"/>
      <c r="LFO41" s="1091"/>
      <c r="LFP41" s="1091"/>
      <c r="LFQ41" s="1091"/>
      <c r="LFR41" s="1091"/>
      <c r="LFS41" s="1091"/>
      <c r="LFT41" s="1091"/>
      <c r="LFU41" s="1091"/>
      <c r="LFV41" s="1091"/>
      <c r="LFW41" s="1091"/>
      <c r="LFX41" s="1091"/>
      <c r="LFY41" s="1091"/>
      <c r="LFZ41" s="1091"/>
      <c r="LGA41" s="1091"/>
      <c r="LGB41" s="1091"/>
      <c r="LGC41" s="1091"/>
      <c r="LGD41" s="1091"/>
      <c r="LGE41" s="1091"/>
      <c r="LGF41" s="1091"/>
      <c r="LGG41" s="1091"/>
      <c r="LGH41" s="1091"/>
      <c r="LGI41" s="1091"/>
      <c r="LGJ41" s="1091"/>
      <c r="LGK41" s="1091"/>
      <c r="LGL41" s="1091"/>
      <c r="LGM41" s="1091"/>
      <c r="LGN41" s="1091"/>
      <c r="LGO41" s="1091"/>
      <c r="LGP41" s="1091"/>
      <c r="LGQ41" s="1091"/>
      <c r="LGR41" s="1091"/>
      <c r="LGS41" s="1091"/>
      <c r="LGT41" s="1091"/>
      <c r="LGU41" s="1091"/>
      <c r="LGV41" s="1091"/>
      <c r="LGW41" s="1091"/>
      <c r="LGX41" s="1091"/>
      <c r="LGY41" s="1091"/>
      <c r="LGZ41" s="1091"/>
      <c r="LHA41" s="1091"/>
      <c r="LHB41" s="1091"/>
      <c r="LHC41" s="1091"/>
      <c r="LHD41" s="1091"/>
      <c r="LHE41" s="1091"/>
      <c r="LHF41" s="1091"/>
      <c r="LHG41" s="1091"/>
      <c r="LHH41" s="1091"/>
      <c r="LHI41" s="1091"/>
      <c r="LHJ41" s="1091"/>
      <c r="LHK41" s="1091"/>
      <c r="LHL41" s="1091"/>
      <c r="LHM41" s="1091"/>
      <c r="LHN41" s="1091"/>
      <c r="LHO41" s="1091"/>
      <c r="LHP41" s="1091"/>
      <c r="LHQ41" s="1091"/>
      <c r="LHR41" s="1091"/>
      <c r="LHS41" s="1091"/>
      <c r="LHT41" s="1091"/>
      <c r="LHU41" s="1091"/>
      <c r="LHV41" s="1091"/>
      <c r="LHW41" s="1091"/>
      <c r="LHX41" s="1091"/>
      <c r="LHY41" s="1091"/>
      <c r="LHZ41" s="1091"/>
      <c r="LIA41" s="1091"/>
      <c r="LIB41" s="1091"/>
      <c r="LIC41" s="1091"/>
      <c r="LID41" s="1091"/>
      <c r="LIE41" s="1091"/>
      <c r="LIF41" s="1091"/>
      <c r="LIG41" s="1091"/>
      <c r="LIH41" s="1091"/>
      <c r="LII41" s="1091"/>
      <c r="LIJ41" s="1091"/>
      <c r="LIK41" s="1091"/>
      <c r="LIL41" s="1091"/>
      <c r="LIM41" s="1091"/>
      <c r="LIN41" s="1091"/>
      <c r="LIO41" s="1091"/>
      <c r="LIP41" s="1091"/>
      <c r="LIQ41" s="1091"/>
      <c r="LIR41" s="1091"/>
      <c r="LIS41" s="1091"/>
      <c r="LIT41" s="1091"/>
      <c r="LIU41" s="1091"/>
      <c r="LIV41" s="1091"/>
      <c r="LIW41" s="1091"/>
      <c r="LIX41" s="1091"/>
      <c r="LIY41" s="1091"/>
      <c r="LIZ41" s="1091"/>
      <c r="LJA41" s="1091"/>
      <c r="LJB41" s="1091"/>
      <c r="LJC41" s="1091"/>
      <c r="LJD41" s="1091"/>
      <c r="LJE41" s="1091"/>
      <c r="LJF41" s="1091"/>
      <c r="LJG41" s="1091"/>
      <c r="LJH41" s="1091"/>
      <c r="LJI41" s="1091"/>
      <c r="LJJ41" s="1091"/>
      <c r="LJK41" s="1091"/>
      <c r="LJL41" s="1091"/>
      <c r="LJM41" s="1091"/>
      <c r="LJN41" s="1091"/>
      <c r="LJO41" s="1091"/>
      <c r="LJP41" s="1091"/>
      <c r="LJQ41" s="1091"/>
      <c r="LJR41" s="1091"/>
      <c r="LJS41" s="1091"/>
      <c r="LJT41" s="1091"/>
      <c r="LJU41" s="1091"/>
      <c r="LJV41" s="1091"/>
      <c r="LJW41" s="1091"/>
      <c r="LJX41" s="1091"/>
      <c r="LJY41" s="1091"/>
      <c r="LJZ41" s="1091"/>
      <c r="LKA41" s="1091"/>
      <c r="LKB41" s="1091"/>
      <c r="LKC41" s="1091"/>
      <c r="LKD41" s="1091"/>
      <c r="LKE41" s="1091"/>
      <c r="LKF41" s="1091"/>
      <c r="LKG41" s="1091"/>
      <c r="LKH41" s="1091"/>
      <c r="LKI41" s="1091"/>
      <c r="LKJ41" s="1091"/>
      <c r="LKK41" s="1091"/>
      <c r="LKL41" s="1091"/>
      <c r="LKM41" s="1091"/>
      <c r="LKN41" s="1091"/>
      <c r="LKO41" s="1091"/>
      <c r="LKP41" s="1091"/>
      <c r="LKQ41" s="1091"/>
      <c r="LKR41" s="1091"/>
      <c r="LKS41" s="1091"/>
      <c r="LKT41" s="1091"/>
      <c r="LKU41" s="1091"/>
      <c r="LKV41" s="1091"/>
      <c r="LKW41" s="1091"/>
      <c r="LKX41" s="1091"/>
      <c r="LKY41" s="1091"/>
      <c r="LKZ41" s="1091"/>
      <c r="LLA41" s="1091"/>
      <c r="LLB41" s="1091"/>
      <c r="LLC41" s="1091"/>
      <c r="LLD41" s="1091"/>
      <c r="LLE41" s="1091"/>
      <c r="LLF41" s="1091"/>
      <c r="LLG41" s="1091"/>
      <c r="LLH41" s="1091"/>
      <c r="LLI41" s="1091"/>
      <c r="LLJ41" s="1091"/>
      <c r="LLK41" s="1091"/>
      <c r="LLL41" s="1091"/>
      <c r="LLM41" s="1091"/>
      <c r="LLN41" s="1091"/>
      <c r="LLO41" s="1091"/>
      <c r="LLP41" s="1091"/>
      <c r="LLQ41" s="1091"/>
      <c r="LLR41" s="1091"/>
      <c r="LLS41" s="1091"/>
      <c r="LLT41" s="1091"/>
      <c r="LLU41" s="1091"/>
      <c r="LLV41" s="1091"/>
      <c r="LLW41" s="1091"/>
      <c r="LLX41" s="1091"/>
      <c r="LLY41" s="1091"/>
      <c r="LLZ41" s="1091"/>
      <c r="LMA41" s="1091"/>
      <c r="LMB41" s="1091"/>
      <c r="LMC41" s="1091"/>
      <c r="LMD41" s="1091"/>
      <c r="LME41" s="1091"/>
      <c r="LMF41" s="1091"/>
      <c r="LMG41" s="1091"/>
      <c r="LMH41" s="1091"/>
      <c r="LMI41" s="1091"/>
      <c r="LMJ41" s="1091"/>
      <c r="LMK41" s="1091"/>
      <c r="LML41" s="1091"/>
      <c r="LMM41" s="1091"/>
      <c r="LMN41" s="1091"/>
      <c r="LMO41" s="1091"/>
      <c r="LMP41" s="1091"/>
      <c r="LMQ41" s="1091"/>
      <c r="LMR41" s="1091"/>
      <c r="LMS41" s="1091"/>
      <c r="LMT41" s="1091"/>
      <c r="LMU41" s="1091"/>
      <c r="LMV41" s="1091"/>
      <c r="LMW41" s="1091"/>
      <c r="LMX41" s="1091"/>
      <c r="LMY41" s="1091"/>
      <c r="LMZ41" s="1091"/>
      <c r="LNA41" s="1091"/>
      <c r="LNB41" s="1091"/>
      <c r="LNC41" s="1091"/>
      <c r="LND41" s="1091"/>
      <c r="LNE41" s="1091"/>
      <c r="LNF41" s="1091"/>
      <c r="LNG41" s="1091"/>
      <c r="LNH41" s="1091"/>
      <c r="LNI41" s="1091"/>
      <c r="LNJ41" s="1091"/>
      <c r="LNK41" s="1091"/>
      <c r="LNL41" s="1091"/>
      <c r="LNM41" s="1091"/>
      <c r="LNN41" s="1091"/>
      <c r="LNO41" s="1091"/>
      <c r="LNP41" s="1091"/>
      <c r="LNQ41" s="1091"/>
      <c r="LNR41" s="1091"/>
      <c r="LNS41" s="1091"/>
      <c r="LNT41" s="1091"/>
      <c r="LNU41" s="1091"/>
      <c r="LNV41" s="1091"/>
      <c r="LNW41" s="1091"/>
      <c r="LNX41" s="1091"/>
      <c r="LNY41" s="1091"/>
      <c r="LNZ41" s="1091"/>
      <c r="LOA41" s="1091"/>
      <c r="LOB41" s="1091"/>
      <c r="LOC41" s="1091"/>
      <c r="LOD41" s="1091"/>
      <c r="LOE41" s="1091"/>
      <c r="LOF41" s="1091"/>
      <c r="LOG41" s="1091"/>
      <c r="LOH41" s="1091"/>
      <c r="LOI41" s="1091"/>
      <c r="LOJ41" s="1091"/>
      <c r="LOK41" s="1091"/>
      <c r="LOL41" s="1091"/>
      <c r="LOM41" s="1091"/>
      <c r="LON41" s="1091"/>
      <c r="LOO41" s="1091"/>
      <c r="LOP41" s="1091"/>
      <c r="LOQ41" s="1091"/>
      <c r="LOR41" s="1091"/>
      <c r="LOS41" s="1091"/>
      <c r="LOT41" s="1091"/>
      <c r="LOU41" s="1091"/>
      <c r="LOV41" s="1091"/>
      <c r="LOW41" s="1091"/>
      <c r="LOX41" s="1091"/>
      <c r="LOY41" s="1091"/>
      <c r="LOZ41" s="1091"/>
      <c r="LPA41" s="1091"/>
      <c r="LPB41" s="1091"/>
      <c r="LPC41" s="1091"/>
      <c r="LPD41" s="1091"/>
      <c r="LPE41" s="1091"/>
      <c r="LPF41" s="1091"/>
      <c r="LPG41" s="1091"/>
      <c r="LPH41" s="1091"/>
      <c r="LPI41" s="1091"/>
      <c r="LPJ41" s="1091"/>
      <c r="LPK41" s="1091"/>
      <c r="LPL41" s="1091"/>
      <c r="LPM41" s="1091"/>
      <c r="LPN41" s="1091"/>
      <c r="LPO41" s="1091"/>
      <c r="LPP41" s="1091"/>
      <c r="LPQ41" s="1091"/>
      <c r="LPR41" s="1091"/>
      <c r="LPS41" s="1091"/>
      <c r="LPT41" s="1091"/>
      <c r="LPU41" s="1091"/>
      <c r="LPV41" s="1091"/>
      <c r="LPW41" s="1091"/>
      <c r="LPX41" s="1091"/>
      <c r="LPY41" s="1091"/>
      <c r="LPZ41" s="1091"/>
      <c r="LQA41" s="1091"/>
      <c r="LQB41" s="1091"/>
      <c r="LQC41" s="1091"/>
      <c r="LQD41" s="1091"/>
      <c r="LQE41" s="1091"/>
      <c r="LQF41" s="1091"/>
      <c r="LQG41" s="1091"/>
      <c r="LQH41" s="1091"/>
      <c r="LQI41" s="1091"/>
      <c r="LQJ41" s="1091"/>
      <c r="LQK41" s="1091"/>
      <c r="LQL41" s="1091"/>
      <c r="LQM41" s="1091"/>
      <c r="LQN41" s="1091"/>
      <c r="LQO41" s="1091"/>
      <c r="LQP41" s="1091"/>
      <c r="LQQ41" s="1091"/>
      <c r="LQR41" s="1091"/>
      <c r="LQS41" s="1091"/>
      <c r="LQT41" s="1091"/>
      <c r="LQU41" s="1091"/>
      <c r="LQV41" s="1091"/>
      <c r="LQW41" s="1091"/>
      <c r="LQX41" s="1091"/>
      <c r="LQY41" s="1091"/>
      <c r="LQZ41" s="1091"/>
      <c r="LRA41" s="1091"/>
      <c r="LRB41" s="1091"/>
      <c r="LRC41" s="1091"/>
      <c r="LRD41" s="1091"/>
      <c r="LRE41" s="1091"/>
      <c r="LRF41" s="1091"/>
      <c r="LRG41" s="1091"/>
      <c r="LRH41" s="1091"/>
      <c r="LRI41" s="1091"/>
      <c r="LRJ41" s="1091"/>
      <c r="LRK41" s="1091"/>
      <c r="LRL41" s="1091"/>
      <c r="LRM41" s="1091"/>
      <c r="LRN41" s="1091"/>
      <c r="LRO41" s="1091"/>
      <c r="LRP41" s="1091"/>
      <c r="LRQ41" s="1091"/>
      <c r="LRR41" s="1091"/>
      <c r="LRS41" s="1091"/>
      <c r="LRT41" s="1091"/>
      <c r="LRU41" s="1091"/>
      <c r="LRV41" s="1091"/>
      <c r="LRW41" s="1091"/>
      <c r="LRX41" s="1091"/>
      <c r="LRY41" s="1091"/>
      <c r="LRZ41" s="1091"/>
      <c r="LSA41" s="1091"/>
      <c r="LSB41" s="1091"/>
      <c r="LSC41" s="1091"/>
      <c r="LSD41" s="1091"/>
      <c r="LSE41" s="1091"/>
      <c r="LSF41" s="1091"/>
      <c r="LSG41" s="1091"/>
      <c r="LSH41" s="1091"/>
      <c r="LSI41" s="1091"/>
      <c r="LSJ41" s="1091"/>
      <c r="LSK41" s="1091"/>
      <c r="LSL41" s="1091"/>
      <c r="LSM41" s="1091"/>
      <c r="LSN41" s="1091"/>
      <c r="LSO41" s="1091"/>
      <c r="LSP41" s="1091"/>
      <c r="LSQ41" s="1091"/>
      <c r="LSR41" s="1091"/>
      <c r="LSS41" s="1091"/>
      <c r="LST41" s="1091"/>
      <c r="LSU41" s="1091"/>
      <c r="LSV41" s="1091"/>
      <c r="LSW41" s="1091"/>
      <c r="LSX41" s="1091"/>
      <c r="LSY41" s="1091"/>
      <c r="LSZ41" s="1091"/>
      <c r="LTA41" s="1091"/>
      <c r="LTB41" s="1091"/>
      <c r="LTC41" s="1091"/>
      <c r="LTD41" s="1091"/>
      <c r="LTE41" s="1091"/>
      <c r="LTF41" s="1091"/>
      <c r="LTG41" s="1091"/>
      <c r="LTH41" s="1091"/>
      <c r="LTI41" s="1091"/>
      <c r="LTJ41" s="1091"/>
      <c r="LTK41" s="1091"/>
      <c r="LTL41" s="1091"/>
      <c r="LTM41" s="1091"/>
      <c r="LTN41" s="1091"/>
      <c r="LTO41" s="1091"/>
      <c r="LTP41" s="1091"/>
      <c r="LTQ41" s="1091"/>
      <c r="LTR41" s="1091"/>
      <c r="LTS41" s="1091"/>
      <c r="LTT41" s="1091"/>
      <c r="LTU41" s="1091"/>
      <c r="LTV41" s="1091"/>
      <c r="LTW41" s="1091"/>
      <c r="LTX41" s="1091"/>
      <c r="LTY41" s="1091"/>
      <c r="LTZ41" s="1091"/>
      <c r="LUA41" s="1091"/>
      <c r="LUB41" s="1091"/>
      <c r="LUC41" s="1091"/>
      <c r="LUD41" s="1091"/>
      <c r="LUE41" s="1091"/>
      <c r="LUF41" s="1091"/>
      <c r="LUG41" s="1091"/>
      <c r="LUH41" s="1091"/>
      <c r="LUI41" s="1091"/>
      <c r="LUJ41" s="1091"/>
      <c r="LUK41" s="1091"/>
      <c r="LUL41" s="1091"/>
      <c r="LUM41" s="1091"/>
      <c r="LUN41" s="1091"/>
      <c r="LUO41" s="1091"/>
      <c r="LUP41" s="1091"/>
      <c r="LUQ41" s="1091"/>
      <c r="LUR41" s="1091"/>
      <c r="LUS41" s="1091"/>
      <c r="LUT41" s="1091"/>
      <c r="LUU41" s="1091"/>
      <c r="LUV41" s="1091"/>
      <c r="LUW41" s="1091"/>
      <c r="LUX41" s="1091"/>
      <c r="LUY41" s="1091"/>
      <c r="LUZ41" s="1091"/>
      <c r="LVA41" s="1091"/>
      <c r="LVB41" s="1091"/>
      <c r="LVC41" s="1091"/>
      <c r="LVD41" s="1091"/>
      <c r="LVE41" s="1091"/>
      <c r="LVF41" s="1091"/>
      <c r="LVG41" s="1091"/>
      <c r="LVH41" s="1091"/>
      <c r="LVI41" s="1091"/>
      <c r="LVJ41" s="1091"/>
      <c r="LVK41" s="1091"/>
      <c r="LVL41" s="1091"/>
      <c r="LVM41" s="1091"/>
      <c r="LVN41" s="1091"/>
      <c r="LVO41" s="1091"/>
      <c r="LVP41" s="1091"/>
      <c r="LVQ41" s="1091"/>
      <c r="LVR41" s="1091"/>
      <c r="LVS41" s="1091"/>
      <c r="LVT41" s="1091"/>
      <c r="LVU41" s="1091"/>
      <c r="LVV41" s="1091"/>
      <c r="LVW41" s="1091"/>
      <c r="LVX41" s="1091"/>
      <c r="LVY41" s="1091"/>
      <c r="LVZ41" s="1091"/>
      <c r="LWA41" s="1091"/>
      <c r="LWB41" s="1091"/>
      <c r="LWC41" s="1091"/>
      <c r="LWD41" s="1091"/>
      <c r="LWE41" s="1091"/>
      <c r="LWF41" s="1091"/>
      <c r="LWG41" s="1091"/>
      <c r="LWH41" s="1091"/>
      <c r="LWI41" s="1091"/>
      <c r="LWJ41" s="1091"/>
      <c r="LWK41" s="1091"/>
      <c r="LWL41" s="1091"/>
      <c r="LWM41" s="1091"/>
      <c r="LWN41" s="1091"/>
      <c r="LWO41" s="1091"/>
      <c r="LWP41" s="1091"/>
      <c r="LWQ41" s="1091"/>
      <c r="LWR41" s="1091"/>
      <c r="LWS41" s="1091"/>
      <c r="LWT41" s="1091"/>
      <c r="LWU41" s="1091"/>
      <c r="LWV41" s="1091"/>
      <c r="LWW41" s="1091"/>
      <c r="LWX41" s="1091"/>
      <c r="LWY41" s="1091"/>
      <c r="LWZ41" s="1091"/>
      <c r="LXA41" s="1091"/>
      <c r="LXB41" s="1091"/>
      <c r="LXC41" s="1091"/>
      <c r="LXD41" s="1091"/>
      <c r="LXE41" s="1091"/>
      <c r="LXF41" s="1091"/>
      <c r="LXG41" s="1091"/>
      <c r="LXH41" s="1091"/>
      <c r="LXI41" s="1091"/>
      <c r="LXJ41" s="1091"/>
      <c r="LXK41" s="1091"/>
      <c r="LXL41" s="1091"/>
      <c r="LXM41" s="1091"/>
      <c r="LXN41" s="1091"/>
      <c r="LXO41" s="1091"/>
      <c r="LXP41" s="1091"/>
      <c r="LXQ41" s="1091"/>
      <c r="LXR41" s="1091"/>
      <c r="LXS41" s="1091"/>
      <c r="LXT41" s="1091"/>
      <c r="LXU41" s="1091"/>
      <c r="LXV41" s="1091"/>
      <c r="LXW41" s="1091"/>
      <c r="LXX41" s="1091"/>
      <c r="LXY41" s="1091"/>
      <c r="LXZ41" s="1091"/>
      <c r="LYA41" s="1091"/>
      <c r="LYB41" s="1091"/>
      <c r="LYC41" s="1091"/>
      <c r="LYD41" s="1091"/>
      <c r="LYE41" s="1091"/>
      <c r="LYF41" s="1091"/>
      <c r="LYG41" s="1091"/>
      <c r="LYH41" s="1091"/>
      <c r="LYI41" s="1091"/>
      <c r="LYJ41" s="1091"/>
      <c r="LYK41" s="1091"/>
      <c r="LYL41" s="1091"/>
      <c r="LYM41" s="1091"/>
      <c r="LYN41" s="1091"/>
      <c r="LYO41" s="1091"/>
      <c r="LYP41" s="1091"/>
      <c r="LYQ41" s="1091"/>
      <c r="LYR41" s="1091"/>
      <c r="LYS41" s="1091"/>
      <c r="LYT41" s="1091"/>
      <c r="LYU41" s="1091"/>
      <c r="LYV41" s="1091"/>
      <c r="LYW41" s="1091"/>
      <c r="LYX41" s="1091"/>
      <c r="LYY41" s="1091"/>
      <c r="LYZ41" s="1091"/>
      <c r="LZA41" s="1091"/>
      <c r="LZB41" s="1091"/>
      <c r="LZC41" s="1091"/>
      <c r="LZD41" s="1091"/>
      <c r="LZE41" s="1091"/>
      <c r="LZF41" s="1091"/>
      <c r="LZG41" s="1091"/>
      <c r="LZH41" s="1091"/>
      <c r="LZI41" s="1091"/>
      <c r="LZJ41" s="1091"/>
      <c r="LZK41" s="1091"/>
      <c r="LZL41" s="1091"/>
      <c r="LZM41" s="1091"/>
      <c r="LZN41" s="1091"/>
      <c r="LZO41" s="1091"/>
      <c r="LZP41" s="1091"/>
      <c r="LZQ41" s="1091"/>
      <c r="LZR41" s="1091"/>
      <c r="LZS41" s="1091"/>
      <c r="LZT41" s="1091"/>
      <c r="LZU41" s="1091"/>
      <c r="LZV41" s="1091"/>
      <c r="LZW41" s="1091"/>
      <c r="LZX41" s="1091"/>
      <c r="LZY41" s="1091"/>
      <c r="LZZ41" s="1091"/>
      <c r="MAA41" s="1091"/>
      <c r="MAB41" s="1091"/>
      <c r="MAC41" s="1091"/>
      <c r="MAD41" s="1091"/>
      <c r="MAE41" s="1091"/>
      <c r="MAF41" s="1091"/>
      <c r="MAG41" s="1091"/>
      <c r="MAH41" s="1091"/>
      <c r="MAI41" s="1091"/>
      <c r="MAJ41" s="1091"/>
      <c r="MAK41" s="1091"/>
      <c r="MAL41" s="1091"/>
      <c r="MAM41" s="1091"/>
      <c r="MAN41" s="1091"/>
      <c r="MAO41" s="1091"/>
      <c r="MAP41" s="1091"/>
      <c r="MAQ41" s="1091"/>
      <c r="MAR41" s="1091"/>
      <c r="MAS41" s="1091"/>
      <c r="MAT41" s="1091"/>
      <c r="MAU41" s="1091"/>
      <c r="MAV41" s="1091"/>
      <c r="MAW41" s="1091"/>
      <c r="MAX41" s="1091"/>
      <c r="MAY41" s="1091"/>
      <c r="MAZ41" s="1091"/>
      <c r="MBA41" s="1091"/>
      <c r="MBB41" s="1091"/>
      <c r="MBC41" s="1091"/>
      <c r="MBD41" s="1091"/>
      <c r="MBE41" s="1091"/>
      <c r="MBF41" s="1091"/>
      <c r="MBG41" s="1091"/>
      <c r="MBH41" s="1091"/>
      <c r="MBI41" s="1091"/>
      <c r="MBJ41" s="1091"/>
      <c r="MBK41" s="1091"/>
      <c r="MBL41" s="1091"/>
      <c r="MBM41" s="1091"/>
      <c r="MBN41" s="1091"/>
      <c r="MBO41" s="1091"/>
      <c r="MBP41" s="1091"/>
      <c r="MBQ41" s="1091"/>
      <c r="MBR41" s="1091"/>
      <c r="MBS41" s="1091"/>
      <c r="MBT41" s="1091"/>
      <c r="MBU41" s="1091"/>
      <c r="MBV41" s="1091"/>
      <c r="MBW41" s="1091"/>
      <c r="MBX41" s="1091"/>
      <c r="MBY41" s="1091"/>
      <c r="MBZ41" s="1091"/>
      <c r="MCA41" s="1091"/>
      <c r="MCB41" s="1091"/>
      <c r="MCC41" s="1091"/>
      <c r="MCD41" s="1091"/>
      <c r="MCE41" s="1091"/>
      <c r="MCF41" s="1091"/>
      <c r="MCG41" s="1091"/>
      <c r="MCH41" s="1091"/>
      <c r="MCI41" s="1091"/>
      <c r="MCJ41" s="1091"/>
      <c r="MCK41" s="1091"/>
      <c r="MCL41" s="1091"/>
      <c r="MCM41" s="1091"/>
      <c r="MCN41" s="1091"/>
      <c r="MCO41" s="1091"/>
      <c r="MCP41" s="1091"/>
      <c r="MCQ41" s="1091"/>
      <c r="MCR41" s="1091"/>
      <c r="MCS41" s="1091"/>
      <c r="MCT41" s="1091"/>
      <c r="MCU41" s="1091"/>
      <c r="MCV41" s="1091"/>
      <c r="MCW41" s="1091"/>
      <c r="MCX41" s="1091"/>
      <c r="MCY41" s="1091"/>
      <c r="MCZ41" s="1091"/>
      <c r="MDA41" s="1091"/>
      <c r="MDB41" s="1091"/>
      <c r="MDC41" s="1091"/>
      <c r="MDD41" s="1091"/>
      <c r="MDE41" s="1091"/>
      <c r="MDF41" s="1091"/>
      <c r="MDG41" s="1091"/>
      <c r="MDH41" s="1091"/>
      <c r="MDI41" s="1091"/>
      <c r="MDJ41" s="1091"/>
      <c r="MDK41" s="1091"/>
      <c r="MDL41" s="1091"/>
      <c r="MDM41" s="1091"/>
      <c r="MDN41" s="1091"/>
      <c r="MDO41" s="1091"/>
      <c r="MDP41" s="1091"/>
      <c r="MDQ41" s="1091"/>
      <c r="MDR41" s="1091"/>
      <c r="MDS41" s="1091"/>
      <c r="MDT41" s="1091"/>
      <c r="MDU41" s="1091"/>
      <c r="MDV41" s="1091"/>
      <c r="MDW41" s="1091"/>
      <c r="MDX41" s="1091"/>
      <c r="MDY41" s="1091"/>
      <c r="MDZ41" s="1091"/>
      <c r="MEA41" s="1091"/>
      <c r="MEB41" s="1091"/>
      <c r="MEC41" s="1091"/>
      <c r="MED41" s="1091"/>
      <c r="MEE41" s="1091"/>
      <c r="MEF41" s="1091"/>
      <c r="MEG41" s="1091"/>
      <c r="MEH41" s="1091"/>
      <c r="MEI41" s="1091"/>
      <c r="MEJ41" s="1091"/>
      <c r="MEK41" s="1091"/>
      <c r="MEL41" s="1091"/>
      <c r="MEM41" s="1091"/>
      <c r="MEN41" s="1091"/>
      <c r="MEO41" s="1091"/>
      <c r="MEP41" s="1091"/>
      <c r="MEQ41" s="1091"/>
      <c r="MER41" s="1091"/>
      <c r="MES41" s="1091"/>
      <c r="MET41" s="1091"/>
      <c r="MEU41" s="1091"/>
      <c r="MEV41" s="1091"/>
      <c r="MEW41" s="1091"/>
      <c r="MEX41" s="1091"/>
      <c r="MEY41" s="1091"/>
      <c r="MEZ41" s="1091"/>
      <c r="MFA41" s="1091"/>
      <c r="MFB41" s="1091"/>
      <c r="MFC41" s="1091"/>
      <c r="MFD41" s="1091"/>
      <c r="MFE41" s="1091"/>
      <c r="MFF41" s="1091"/>
      <c r="MFG41" s="1091"/>
      <c r="MFH41" s="1091"/>
      <c r="MFI41" s="1091"/>
      <c r="MFJ41" s="1091"/>
      <c r="MFK41" s="1091"/>
      <c r="MFL41" s="1091"/>
      <c r="MFM41" s="1091"/>
      <c r="MFN41" s="1091"/>
      <c r="MFO41" s="1091"/>
      <c r="MFP41" s="1091"/>
      <c r="MFQ41" s="1091"/>
      <c r="MFR41" s="1091"/>
      <c r="MFS41" s="1091"/>
      <c r="MFT41" s="1091"/>
      <c r="MFU41" s="1091"/>
      <c r="MFV41" s="1091"/>
      <c r="MFW41" s="1091"/>
      <c r="MFX41" s="1091"/>
      <c r="MFY41" s="1091"/>
      <c r="MFZ41" s="1091"/>
      <c r="MGA41" s="1091"/>
      <c r="MGB41" s="1091"/>
      <c r="MGC41" s="1091"/>
      <c r="MGD41" s="1091"/>
      <c r="MGE41" s="1091"/>
      <c r="MGF41" s="1091"/>
      <c r="MGG41" s="1091"/>
      <c r="MGH41" s="1091"/>
      <c r="MGI41" s="1091"/>
      <c r="MGJ41" s="1091"/>
      <c r="MGK41" s="1091"/>
      <c r="MGL41" s="1091"/>
      <c r="MGM41" s="1091"/>
      <c r="MGN41" s="1091"/>
      <c r="MGO41" s="1091"/>
      <c r="MGP41" s="1091"/>
      <c r="MGQ41" s="1091"/>
      <c r="MGR41" s="1091"/>
      <c r="MGS41" s="1091"/>
      <c r="MGT41" s="1091"/>
      <c r="MGU41" s="1091"/>
      <c r="MGV41" s="1091"/>
      <c r="MGW41" s="1091"/>
      <c r="MGX41" s="1091"/>
      <c r="MGY41" s="1091"/>
      <c r="MGZ41" s="1091"/>
      <c r="MHA41" s="1091"/>
      <c r="MHB41" s="1091"/>
      <c r="MHC41" s="1091"/>
      <c r="MHD41" s="1091"/>
      <c r="MHE41" s="1091"/>
      <c r="MHF41" s="1091"/>
      <c r="MHG41" s="1091"/>
      <c r="MHH41" s="1091"/>
      <c r="MHI41" s="1091"/>
      <c r="MHJ41" s="1091"/>
      <c r="MHK41" s="1091"/>
      <c r="MHL41" s="1091"/>
      <c r="MHM41" s="1091"/>
      <c r="MHN41" s="1091"/>
      <c r="MHO41" s="1091"/>
      <c r="MHP41" s="1091"/>
      <c r="MHQ41" s="1091"/>
      <c r="MHR41" s="1091"/>
      <c r="MHS41" s="1091"/>
      <c r="MHT41" s="1091"/>
      <c r="MHU41" s="1091"/>
      <c r="MHV41" s="1091"/>
      <c r="MHW41" s="1091"/>
      <c r="MHX41" s="1091"/>
      <c r="MHY41" s="1091"/>
      <c r="MHZ41" s="1091"/>
      <c r="MIA41" s="1091"/>
      <c r="MIB41" s="1091"/>
      <c r="MIC41" s="1091"/>
      <c r="MID41" s="1091"/>
      <c r="MIE41" s="1091"/>
      <c r="MIF41" s="1091"/>
      <c r="MIG41" s="1091"/>
      <c r="MIH41" s="1091"/>
      <c r="MII41" s="1091"/>
      <c r="MIJ41" s="1091"/>
      <c r="MIK41" s="1091"/>
      <c r="MIL41" s="1091"/>
      <c r="MIM41" s="1091"/>
      <c r="MIN41" s="1091"/>
      <c r="MIO41" s="1091"/>
      <c r="MIP41" s="1091"/>
      <c r="MIQ41" s="1091"/>
      <c r="MIR41" s="1091"/>
      <c r="MIS41" s="1091"/>
      <c r="MIT41" s="1091"/>
      <c r="MIU41" s="1091"/>
      <c r="MIV41" s="1091"/>
      <c r="MIW41" s="1091"/>
      <c r="MIX41" s="1091"/>
      <c r="MIY41" s="1091"/>
      <c r="MIZ41" s="1091"/>
      <c r="MJA41" s="1091"/>
      <c r="MJB41" s="1091"/>
      <c r="MJC41" s="1091"/>
      <c r="MJD41" s="1091"/>
      <c r="MJE41" s="1091"/>
      <c r="MJF41" s="1091"/>
      <c r="MJG41" s="1091"/>
      <c r="MJH41" s="1091"/>
      <c r="MJI41" s="1091"/>
      <c r="MJJ41" s="1091"/>
      <c r="MJK41" s="1091"/>
      <c r="MJL41" s="1091"/>
      <c r="MJM41" s="1091"/>
      <c r="MJN41" s="1091"/>
      <c r="MJO41" s="1091"/>
      <c r="MJP41" s="1091"/>
      <c r="MJQ41" s="1091"/>
      <c r="MJR41" s="1091"/>
      <c r="MJS41" s="1091"/>
      <c r="MJT41" s="1091"/>
      <c r="MJU41" s="1091"/>
      <c r="MJV41" s="1091"/>
      <c r="MJW41" s="1091"/>
      <c r="MJX41" s="1091"/>
      <c r="MJY41" s="1091"/>
      <c r="MJZ41" s="1091"/>
      <c r="MKA41" s="1091"/>
      <c r="MKB41" s="1091"/>
      <c r="MKC41" s="1091"/>
      <c r="MKD41" s="1091"/>
      <c r="MKE41" s="1091"/>
      <c r="MKF41" s="1091"/>
      <c r="MKG41" s="1091"/>
      <c r="MKH41" s="1091"/>
      <c r="MKI41" s="1091"/>
      <c r="MKJ41" s="1091"/>
      <c r="MKK41" s="1091"/>
      <c r="MKL41" s="1091"/>
      <c r="MKM41" s="1091"/>
      <c r="MKN41" s="1091"/>
      <c r="MKO41" s="1091"/>
      <c r="MKP41" s="1091"/>
      <c r="MKQ41" s="1091"/>
      <c r="MKR41" s="1091"/>
      <c r="MKS41" s="1091"/>
      <c r="MKT41" s="1091"/>
      <c r="MKU41" s="1091"/>
      <c r="MKV41" s="1091"/>
      <c r="MKW41" s="1091"/>
      <c r="MKX41" s="1091"/>
      <c r="MKY41" s="1091"/>
      <c r="MKZ41" s="1091"/>
      <c r="MLA41" s="1091"/>
      <c r="MLB41" s="1091"/>
      <c r="MLC41" s="1091"/>
      <c r="MLD41" s="1091"/>
      <c r="MLE41" s="1091"/>
      <c r="MLF41" s="1091"/>
      <c r="MLG41" s="1091"/>
      <c r="MLH41" s="1091"/>
      <c r="MLI41" s="1091"/>
      <c r="MLJ41" s="1091"/>
      <c r="MLK41" s="1091"/>
      <c r="MLL41" s="1091"/>
      <c r="MLM41" s="1091"/>
      <c r="MLN41" s="1091"/>
      <c r="MLO41" s="1091"/>
      <c r="MLP41" s="1091"/>
      <c r="MLQ41" s="1091"/>
      <c r="MLR41" s="1091"/>
      <c r="MLS41" s="1091"/>
      <c r="MLT41" s="1091"/>
      <c r="MLU41" s="1091"/>
      <c r="MLV41" s="1091"/>
      <c r="MLW41" s="1091"/>
      <c r="MLX41" s="1091"/>
      <c r="MLY41" s="1091"/>
      <c r="MLZ41" s="1091"/>
      <c r="MMA41" s="1091"/>
      <c r="MMB41" s="1091"/>
      <c r="MMC41" s="1091"/>
      <c r="MMD41" s="1091"/>
      <c r="MME41" s="1091"/>
      <c r="MMF41" s="1091"/>
      <c r="MMG41" s="1091"/>
      <c r="MMH41" s="1091"/>
      <c r="MMI41" s="1091"/>
      <c r="MMJ41" s="1091"/>
      <c r="MMK41" s="1091"/>
      <c r="MML41" s="1091"/>
      <c r="MMM41" s="1091"/>
      <c r="MMN41" s="1091"/>
      <c r="MMO41" s="1091"/>
      <c r="MMP41" s="1091"/>
      <c r="MMQ41" s="1091"/>
      <c r="MMR41" s="1091"/>
      <c r="MMS41" s="1091"/>
      <c r="MMT41" s="1091"/>
      <c r="MMU41" s="1091"/>
      <c r="MMV41" s="1091"/>
      <c r="MMW41" s="1091"/>
      <c r="MMX41" s="1091"/>
      <c r="MMY41" s="1091"/>
      <c r="MMZ41" s="1091"/>
      <c r="MNA41" s="1091"/>
      <c r="MNB41" s="1091"/>
      <c r="MNC41" s="1091"/>
      <c r="MND41" s="1091"/>
      <c r="MNE41" s="1091"/>
      <c r="MNF41" s="1091"/>
      <c r="MNG41" s="1091"/>
      <c r="MNH41" s="1091"/>
      <c r="MNI41" s="1091"/>
      <c r="MNJ41" s="1091"/>
      <c r="MNK41" s="1091"/>
      <c r="MNL41" s="1091"/>
      <c r="MNM41" s="1091"/>
      <c r="MNN41" s="1091"/>
      <c r="MNO41" s="1091"/>
      <c r="MNP41" s="1091"/>
      <c r="MNQ41" s="1091"/>
      <c r="MNR41" s="1091"/>
      <c r="MNS41" s="1091"/>
      <c r="MNT41" s="1091"/>
      <c r="MNU41" s="1091"/>
      <c r="MNV41" s="1091"/>
      <c r="MNW41" s="1091"/>
      <c r="MNX41" s="1091"/>
      <c r="MNY41" s="1091"/>
      <c r="MNZ41" s="1091"/>
      <c r="MOA41" s="1091"/>
      <c r="MOB41" s="1091"/>
      <c r="MOC41" s="1091"/>
      <c r="MOD41" s="1091"/>
      <c r="MOE41" s="1091"/>
      <c r="MOF41" s="1091"/>
      <c r="MOG41" s="1091"/>
      <c r="MOH41" s="1091"/>
      <c r="MOI41" s="1091"/>
      <c r="MOJ41" s="1091"/>
      <c r="MOK41" s="1091"/>
      <c r="MOL41" s="1091"/>
      <c r="MOM41" s="1091"/>
      <c r="MON41" s="1091"/>
      <c r="MOO41" s="1091"/>
      <c r="MOP41" s="1091"/>
      <c r="MOQ41" s="1091"/>
      <c r="MOR41" s="1091"/>
      <c r="MOS41" s="1091"/>
      <c r="MOT41" s="1091"/>
      <c r="MOU41" s="1091"/>
      <c r="MOV41" s="1091"/>
      <c r="MOW41" s="1091"/>
      <c r="MOX41" s="1091"/>
      <c r="MOY41" s="1091"/>
      <c r="MOZ41" s="1091"/>
      <c r="MPA41" s="1091"/>
      <c r="MPB41" s="1091"/>
      <c r="MPC41" s="1091"/>
      <c r="MPD41" s="1091"/>
      <c r="MPE41" s="1091"/>
      <c r="MPF41" s="1091"/>
      <c r="MPG41" s="1091"/>
      <c r="MPH41" s="1091"/>
      <c r="MPI41" s="1091"/>
      <c r="MPJ41" s="1091"/>
      <c r="MPK41" s="1091"/>
      <c r="MPL41" s="1091"/>
      <c r="MPM41" s="1091"/>
      <c r="MPN41" s="1091"/>
      <c r="MPO41" s="1091"/>
      <c r="MPP41" s="1091"/>
      <c r="MPQ41" s="1091"/>
      <c r="MPR41" s="1091"/>
      <c r="MPS41" s="1091"/>
      <c r="MPT41" s="1091"/>
      <c r="MPU41" s="1091"/>
      <c r="MPV41" s="1091"/>
      <c r="MPW41" s="1091"/>
      <c r="MPX41" s="1091"/>
      <c r="MPY41" s="1091"/>
      <c r="MPZ41" s="1091"/>
      <c r="MQA41" s="1091"/>
      <c r="MQB41" s="1091"/>
      <c r="MQC41" s="1091"/>
      <c r="MQD41" s="1091"/>
      <c r="MQE41" s="1091"/>
      <c r="MQF41" s="1091"/>
      <c r="MQG41" s="1091"/>
      <c r="MQH41" s="1091"/>
      <c r="MQI41" s="1091"/>
      <c r="MQJ41" s="1091"/>
      <c r="MQK41" s="1091"/>
      <c r="MQL41" s="1091"/>
      <c r="MQM41" s="1091"/>
      <c r="MQN41" s="1091"/>
      <c r="MQO41" s="1091"/>
      <c r="MQP41" s="1091"/>
      <c r="MQQ41" s="1091"/>
      <c r="MQR41" s="1091"/>
      <c r="MQS41" s="1091"/>
      <c r="MQT41" s="1091"/>
      <c r="MQU41" s="1091"/>
      <c r="MQV41" s="1091"/>
      <c r="MQW41" s="1091"/>
      <c r="MQX41" s="1091"/>
      <c r="MQY41" s="1091"/>
      <c r="MQZ41" s="1091"/>
      <c r="MRA41" s="1091"/>
      <c r="MRB41" s="1091"/>
      <c r="MRC41" s="1091"/>
      <c r="MRD41" s="1091"/>
      <c r="MRE41" s="1091"/>
      <c r="MRF41" s="1091"/>
      <c r="MRG41" s="1091"/>
      <c r="MRH41" s="1091"/>
      <c r="MRI41" s="1091"/>
      <c r="MRJ41" s="1091"/>
      <c r="MRK41" s="1091"/>
      <c r="MRL41" s="1091"/>
      <c r="MRM41" s="1091"/>
      <c r="MRN41" s="1091"/>
      <c r="MRO41" s="1091"/>
      <c r="MRP41" s="1091"/>
      <c r="MRQ41" s="1091"/>
      <c r="MRR41" s="1091"/>
      <c r="MRS41" s="1091"/>
      <c r="MRT41" s="1091"/>
      <c r="MRU41" s="1091"/>
      <c r="MRV41" s="1091"/>
      <c r="MRW41" s="1091"/>
      <c r="MRX41" s="1091"/>
      <c r="MRY41" s="1091"/>
      <c r="MRZ41" s="1091"/>
      <c r="MSA41" s="1091"/>
      <c r="MSB41" s="1091"/>
      <c r="MSC41" s="1091"/>
      <c r="MSD41" s="1091"/>
      <c r="MSE41" s="1091"/>
      <c r="MSF41" s="1091"/>
      <c r="MSG41" s="1091"/>
      <c r="MSH41" s="1091"/>
      <c r="MSI41" s="1091"/>
      <c r="MSJ41" s="1091"/>
      <c r="MSK41" s="1091"/>
      <c r="MSL41" s="1091"/>
      <c r="MSM41" s="1091"/>
      <c r="MSN41" s="1091"/>
      <c r="MSO41" s="1091"/>
      <c r="MSP41" s="1091"/>
      <c r="MSQ41" s="1091"/>
      <c r="MSR41" s="1091"/>
      <c r="MSS41" s="1091"/>
      <c r="MST41" s="1091"/>
      <c r="MSU41" s="1091"/>
      <c r="MSV41" s="1091"/>
      <c r="MSW41" s="1091"/>
      <c r="MSX41" s="1091"/>
      <c r="MSY41" s="1091"/>
      <c r="MSZ41" s="1091"/>
      <c r="MTA41" s="1091"/>
      <c r="MTB41" s="1091"/>
      <c r="MTC41" s="1091"/>
      <c r="MTD41" s="1091"/>
      <c r="MTE41" s="1091"/>
      <c r="MTF41" s="1091"/>
      <c r="MTG41" s="1091"/>
      <c r="MTH41" s="1091"/>
      <c r="MTI41" s="1091"/>
      <c r="MTJ41" s="1091"/>
      <c r="MTK41" s="1091"/>
      <c r="MTL41" s="1091"/>
      <c r="MTM41" s="1091"/>
      <c r="MTN41" s="1091"/>
      <c r="MTO41" s="1091"/>
      <c r="MTP41" s="1091"/>
      <c r="MTQ41" s="1091"/>
      <c r="MTR41" s="1091"/>
      <c r="MTS41" s="1091"/>
      <c r="MTT41" s="1091"/>
      <c r="MTU41" s="1091"/>
      <c r="MTV41" s="1091"/>
      <c r="MTW41" s="1091"/>
      <c r="MTX41" s="1091"/>
      <c r="MTY41" s="1091"/>
      <c r="MTZ41" s="1091"/>
      <c r="MUA41" s="1091"/>
      <c r="MUB41" s="1091"/>
      <c r="MUC41" s="1091"/>
      <c r="MUD41" s="1091"/>
      <c r="MUE41" s="1091"/>
      <c r="MUF41" s="1091"/>
      <c r="MUG41" s="1091"/>
      <c r="MUH41" s="1091"/>
      <c r="MUI41" s="1091"/>
      <c r="MUJ41" s="1091"/>
      <c r="MUK41" s="1091"/>
      <c r="MUL41" s="1091"/>
      <c r="MUM41" s="1091"/>
      <c r="MUN41" s="1091"/>
      <c r="MUO41" s="1091"/>
      <c r="MUP41" s="1091"/>
      <c r="MUQ41" s="1091"/>
      <c r="MUR41" s="1091"/>
      <c r="MUS41" s="1091"/>
      <c r="MUT41" s="1091"/>
      <c r="MUU41" s="1091"/>
      <c r="MUV41" s="1091"/>
      <c r="MUW41" s="1091"/>
      <c r="MUX41" s="1091"/>
      <c r="MUY41" s="1091"/>
      <c r="MUZ41" s="1091"/>
      <c r="MVA41" s="1091"/>
      <c r="MVB41" s="1091"/>
      <c r="MVC41" s="1091"/>
      <c r="MVD41" s="1091"/>
      <c r="MVE41" s="1091"/>
      <c r="MVF41" s="1091"/>
      <c r="MVG41" s="1091"/>
      <c r="MVH41" s="1091"/>
      <c r="MVI41" s="1091"/>
      <c r="MVJ41" s="1091"/>
      <c r="MVK41" s="1091"/>
      <c r="MVL41" s="1091"/>
      <c r="MVM41" s="1091"/>
      <c r="MVN41" s="1091"/>
      <c r="MVO41" s="1091"/>
      <c r="MVP41" s="1091"/>
      <c r="MVQ41" s="1091"/>
      <c r="MVR41" s="1091"/>
      <c r="MVS41" s="1091"/>
      <c r="MVT41" s="1091"/>
      <c r="MVU41" s="1091"/>
      <c r="MVV41" s="1091"/>
      <c r="MVW41" s="1091"/>
      <c r="MVX41" s="1091"/>
      <c r="MVY41" s="1091"/>
      <c r="MVZ41" s="1091"/>
      <c r="MWA41" s="1091"/>
      <c r="MWB41" s="1091"/>
      <c r="MWC41" s="1091"/>
      <c r="MWD41" s="1091"/>
      <c r="MWE41" s="1091"/>
      <c r="MWF41" s="1091"/>
      <c r="MWG41" s="1091"/>
      <c r="MWH41" s="1091"/>
      <c r="MWI41" s="1091"/>
      <c r="MWJ41" s="1091"/>
      <c r="MWK41" s="1091"/>
      <c r="MWL41" s="1091"/>
      <c r="MWM41" s="1091"/>
      <c r="MWN41" s="1091"/>
      <c r="MWO41" s="1091"/>
      <c r="MWP41" s="1091"/>
      <c r="MWQ41" s="1091"/>
      <c r="MWR41" s="1091"/>
      <c r="MWS41" s="1091"/>
      <c r="MWT41" s="1091"/>
      <c r="MWU41" s="1091"/>
      <c r="MWV41" s="1091"/>
      <c r="MWW41" s="1091"/>
      <c r="MWX41" s="1091"/>
      <c r="MWY41" s="1091"/>
      <c r="MWZ41" s="1091"/>
      <c r="MXA41" s="1091"/>
      <c r="MXB41" s="1091"/>
      <c r="MXC41" s="1091"/>
      <c r="MXD41" s="1091"/>
      <c r="MXE41" s="1091"/>
      <c r="MXF41" s="1091"/>
      <c r="MXG41" s="1091"/>
      <c r="MXH41" s="1091"/>
      <c r="MXI41" s="1091"/>
      <c r="MXJ41" s="1091"/>
      <c r="MXK41" s="1091"/>
      <c r="MXL41" s="1091"/>
      <c r="MXM41" s="1091"/>
      <c r="MXN41" s="1091"/>
      <c r="MXO41" s="1091"/>
      <c r="MXP41" s="1091"/>
      <c r="MXQ41" s="1091"/>
      <c r="MXR41" s="1091"/>
      <c r="MXS41" s="1091"/>
      <c r="MXT41" s="1091"/>
      <c r="MXU41" s="1091"/>
      <c r="MXV41" s="1091"/>
      <c r="MXW41" s="1091"/>
      <c r="MXX41" s="1091"/>
      <c r="MXY41" s="1091"/>
      <c r="MXZ41" s="1091"/>
      <c r="MYA41" s="1091"/>
      <c r="MYB41" s="1091"/>
      <c r="MYC41" s="1091"/>
      <c r="MYD41" s="1091"/>
      <c r="MYE41" s="1091"/>
      <c r="MYF41" s="1091"/>
      <c r="MYG41" s="1091"/>
      <c r="MYH41" s="1091"/>
      <c r="MYI41" s="1091"/>
      <c r="MYJ41" s="1091"/>
      <c r="MYK41" s="1091"/>
      <c r="MYL41" s="1091"/>
      <c r="MYM41" s="1091"/>
      <c r="MYN41" s="1091"/>
      <c r="MYO41" s="1091"/>
      <c r="MYP41" s="1091"/>
      <c r="MYQ41" s="1091"/>
      <c r="MYR41" s="1091"/>
      <c r="MYS41" s="1091"/>
      <c r="MYT41" s="1091"/>
      <c r="MYU41" s="1091"/>
      <c r="MYV41" s="1091"/>
      <c r="MYW41" s="1091"/>
      <c r="MYX41" s="1091"/>
      <c r="MYY41" s="1091"/>
      <c r="MYZ41" s="1091"/>
      <c r="MZA41" s="1091"/>
      <c r="MZB41" s="1091"/>
      <c r="MZC41" s="1091"/>
      <c r="MZD41" s="1091"/>
      <c r="MZE41" s="1091"/>
      <c r="MZF41" s="1091"/>
      <c r="MZG41" s="1091"/>
      <c r="MZH41" s="1091"/>
      <c r="MZI41" s="1091"/>
      <c r="MZJ41" s="1091"/>
      <c r="MZK41" s="1091"/>
      <c r="MZL41" s="1091"/>
      <c r="MZM41" s="1091"/>
      <c r="MZN41" s="1091"/>
      <c r="MZO41" s="1091"/>
      <c r="MZP41" s="1091"/>
      <c r="MZQ41" s="1091"/>
      <c r="MZR41" s="1091"/>
      <c r="MZS41" s="1091"/>
      <c r="MZT41" s="1091"/>
      <c r="MZU41" s="1091"/>
      <c r="MZV41" s="1091"/>
      <c r="MZW41" s="1091"/>
      <c r="MZX41" s="1091"/>
      <c r="MZY41" s="1091"/>
      <c r="MZZ41" s="1091"/>
      <c r="NAA41" s="1091"/>
      <c r="NAB41" s="1091"/>
      <c r="NAC41" s="1091"/>
      <c r="NAD41" s="1091"/>
      <c r="NAE41" s="1091"/>
      <c r="NAF41" s="1091"/>
      <c r="NAG41" s="1091"/>
      <c r="NAH41" s="1091"/>
      <c r="NAI41" s="1091"/>
      <c r="NAJ41" s="1091"/>
      <c r="NAK41" s="1091"/>
      <c r="NAL41" s="1091"/>
      <c r="NAM41" s="1091"/>
      <c r="NAN41" s="1091"/>
      <c r="NAO41" s="1091"/>
      <c r="NAP41" s="1091"/>
      <c r="NAQ41" s="1091"/>
      <c r="NAR41" s="1091"/>
      <c r="NAS41" s="1091"/>
      <c r="NAT41" s="1091"/>
      <c r="NAU41" s="1091"/>
      <c r="NAV41" s="1091"/>
      <c r="NAW41" s="1091"/>
      <c r="NAX41" s="1091"/>
      <c r="NAY41" s="1091"/>
      <c r="NAZ41" s="1091"/>
      <c r="NBA41" s="1091"/>
      <c r="NBB41" s="1091"/>
      <c r="NBC41" s="1091"/>
      <c r="NBD41" s="1091"/>
      <c r="NBE41" s="1091"/>
      <c r="NBF41" s="1091"/>
      <c r="NBG41" s="1091"/>
      <c r="NBH41" s="1091"/>
      <c r="NBI41" s="1091"/>
      <c r="NBJ41" s="1091"/>
      <c r="NBK41" s="1091"/>
      <c r="NBL41" s="1091"/>
      <c r="NBM41" s="1091"/>
      <c r="NBN41" s="1091"/>
      <c r="NBO41" s="1091"/>
      <c r="NBP41" s="1091"/>
      <c r="NBQ41" s="1091"/>
      <c r="NBR41" s="1091"/>
      <c r="NBS41" s="1091"/>
      <c r="NBT41" s="1091"/>
      <c r="NBU41" s="1091"/>
      <c r="NBV41" s="1091"/>
      <c r="NBW41" s="1091"/>
      <c r="NBX41" s="1091"/>
      <c r="NBY41" s="1091"/>
      <c r="NBZ41" s="1091"/>
      <c r="NCA41" s="1091"/>
      <c r="NCB41" s="1091"/>
      <c r="NCC41" s="1091"/>
      <c r="NCD41" s="1091"/>
      <c r="NCE41" s="1091"/>
      <c r="NCF41" s="1091"/>
      <c r="NCG41" s="1091"/>
      <c r="NCH41" s="1091"/>
      <c r="NCI41" s="1091"/>
      <c r="NCJ41" s="1091"/>
      <c r="NCK41" s="1091"/>
      <c r="NCL41" s="1091"/>
      <c r="NCM41" s="1091"/>
      <c r="NCN41" s="1091"/>
      <c r="NCO41" s="1091"/>
      <c r="NCP41" s="1091"/>
      <c r="NCQ41" s="1091"/>
      <c r="NCR41" s="1091"/>
      <c r="NCS41" s="1091"/>
      <c r="NCT41" s="1091"/>
      <c r="NCU41" s="1091"/>
      <c r="NCV41" s="1091"/>
      <c r="NCW41" s="1091"/>
      <c r="NCX41" s="1091"/>
      <c r="NCY41" s="1091"/>
      <c r="NCZ41" s="1091"/>
      <c r="NDA41" s="1091"/>
      <c r="NDB41" s="1091"/>
      <c r="NDC41" s="1091"/>
      <c r="NDD41" s="1091"/>
      <c r="NDE41" s="1091"/>
      <c r="NDF41" s="1091"/>
      <c r="NDG41" s="1091"/>
      <c r="NDH41" s="1091"/>
      <c r="NDI41" s="1091"/>
      <c r="NDJ41" s="1091"/>
      <c r="NDK41" s="1091"/>
      <c r="NDL41" s="1091"/>
      <c r="NDM41" s="1091"/>
      <c r="NDN41" s="1091"/>
      <c r="NDO41" s="1091"/>
      <c r="NDP41" s="1091"/>
      <c r="NDQ41" s="1091"/>
      <c r="NDR41" s="1091"/>
      <c r="NDS41" s="1091"/>
      <c r="NDT41" s="1091"/>
      <c r="NDU41" s="1091"/>
      <c r="NDV41" s="1091"/>
      <c r="NDW41" s="1091"/>
      <c r="NDX41" s="1091"/>
      <c r="NDY41" s="1091"/>
      <c r="NDZ41" s="1091"/>
      <c r="NEA41" s="1091"/>
      <c r="NEB41" s="1091"/>
      <c r="NEC41" s="1091"/>
      <c r="NED41" s="1091"/>
      <c r="NEE41" s="1091"/>
      <c r="NEF41" s="1091"/>
      <c r="NEG41" s="1091"/>
      <c r="NEH41" s="1091"/>
      <c r="NEI41" s="1091"/>
      <c r="NEJ41" s="1091"/>
      <c r="NEK41" s="1091"/>
      <c r="NEL41" s="1091"/>
      <c r="NEM41" s="1091"/>
      <c r="NEN41" s="1091"/>
      <c r="NEO41" s="1091"/>
      <c r="NEP41" s="1091"/>
      <c r="NEQ41" s="1091"/>
      <c r="NER41" s="1091"/>
      <c r="NES41" s="1091"/>
      <c r="NET41" s="1091"/>
      <c r="NEU41" s="1091"/>
      <c r="NEV41" s="1091"/>
      <c r="NEW41" s="1091"/>
      <c r="NEX41" s="1091"/>
      <c r="NEY41" s="1091"/>
      <c r="NEZ41" s="1091"/>
      <c r="NFA41" s="1091"/>
      <c r="NFB41" s="1091"/>
      <c r="NFC41" s="1091"/>
      <c r="NFD41" s="1091"/>
      <c r="NFE41" s="1091"/>
      <c r="NFF41" s="1091"/>
      <c r="NFG41" s="1091"/>
      <c r="NFH41" s="1091"/>
      <c r="NFI41" s="1091"/>
      <c r="NFJ41" s="1091"/>
      <c r="NFK41" s="1091"/>
      <c r="NFL41" s="1091"/>
      <c r="NFM41" s="1091"/>
      <c r="NFN41" s="1091"/>
      <c r="NFO41" s="1091"/>
      <c r="NFP41" s="1091"/>
      <c r="NFQ41" s="1091"/>
      <c r="NFR41" s="1091"/>
      <c r="NFS41" s="1091"/>
      <c r="NFT41" s="1091"/>
      <c r="NFU41" s="1091"/>
      <c r="NFV41" s="1091"/>
      <c r="NFW41" s="1091"/>
      <c r="NFX41" s="1091"/>
      <c r="NFY41" s="1091"/>
      <c r="NFZ41" s="1091"/>
      <c r="NGA41" s="1091"/>
      <c r="NGB41" s="1091"/>
      <c r="NGC41" s="1091"/>
      <c r="NGD41" s="1091"/>
      <c r="NGE41" s="1091"/>
      <c r="NGF41" s="1091"/>
      <c r="NGG41" s="1091"/>
      <c r="NGH41" s="1091"/>
      <c r="NGI41" s="1091"/>
      <c r="NGJ41" s="1091"/>
      <c r="NGK41" s="1091"/>
      <c r="NGL41" s="1091"/>
      <c r="NGM41" s="1091"/>
      <c r="NGN41" s="1091"/>
      <c r="NGO41" s="1091"/>
      <c r="NGP41" s="1091"/>
      <c r="NGQ41" s="1091"/>
      <c r="NGR41" s="1091"/>
      <c r="NGS41" s="1091"/>
      <c r="NGT41" s="1091"/>
      <c r="NGU41" s="1091"/>
      <c r="NGV41" s="1091"/>
      <c r="NGW41" s="1091"/>
      <c r="NGX41" s="1091"/>
      <c r="NGY41" s="1091"/>
      <c r="NGZ41" s="1091"/>
      <c r="NHA41" s="1091"/>
      <c r="NHB41" s="1091"/>
      <c r="NHC41" s="1091"/>
      <c r="NHD41" s="1091"/>
      <c r="NHE41" s="1091"/>
      <c r="NHF41" s="1091"/>
      <c r="NHG41" s="1091"/>
      <c r="NHH41" s="1091"/>
      <c r="NHI41" s="1091"/>
      <c r="NHJ41" s="1091"/>
      <c r="NHK41" s="1091"/>
      <c r="NHL41" s="1091"/>
      <c r="NHM41" s="1091"/>
      <c r="NHN41" s="1091"/>
      <c r="NHO41" s="1091"/>
      <c r="NHP41" s="1091"/>
      <c r="NHQ41" s="1091"/>
      <c r="NHR41" s="1091"/>
      <c r="NHS41" s="1091"/>
      <c r="NHT41" s="1091"/>
      <c r="NHU41" s="1091"/>
      <c r="NHV41" s="1091"/>
      <c r="NHW41" s="1091"/>
      <c r="NHX41" s="1091"/>
      <c r="NHY41" s="1091"/>
      <c r="NHZ41" s="1091"/>
      <c r="NIA41" s="1091"/>
      <c r="NIB41" s="1091"/>
      <c r="NIC41" s="1091"/>
      <c r="NID41" s="1091"/>
      <c r="NIE41" s="1091"/>
      <c r="NIF41" s="1091"/>
      <c r="NIG41" s="1091"/>
      <c r="NIH41" s="1091"/>
      <c r="NII41" s="1091"/>
      <c r="NIJ41" s="1091"/>
      <c r="NIK41" s="1091"/>
      <c r="NIL41" s="1091"/>
      <c r="NIM41" s="1091"/>
      <c r="NIN41" s="1091"/>
      <c r="NIO41" s="1091"/>
      <c r="NIP41" s="1091"/>
      <c r="NIQ41" s="1091"/>
      <c r="NIR41" s="1091"/>
      <c r="NIS41" s="1091"/>
      <c r="NIT41" s="1091"/>
      <c r="NIU41" s="1091"/>
      <c r="NIV41" s="1091"/>
      <c r="NIW41" s="1091"/>
      <c r="NIX41" s="1091"/>
      <c r="NIY41" s="1091"/>
      <c r="NIZ41" s="1091"/>
      <c r="NJA41" s="1091"/>
      <c r="NJB41" s="1091"/>
      <c r="NJC41" s="1091"/>
      <c r="NJD41" s="1091"/>
      <c r="NJE41" s="1091"/>
      <c r="NJF41" s="1091"/>
      <c r="NJG41" s="1091"/>
      <c r="NJH41" s="1091"/>
      <c r="NJI41" s="1091"/>
      <c r="NJJ41" s="1091"/>
      <c r="NJK41" s="1091"/>
      <c r="NJL41" s="1091"/>
      <c r="NJM41" s="1091"/>
      <c r="NJN41" s="1091"/>
      <c r="NJO41" s="1091"/>
      <c r="NJP41" s="1091"/>
      <c r="NJQ41" s="1091"/>
      <c r="NJR41" s="1091"/>
      <c r="NJS41" s="1091"/>
      <c r="NJT41" s="1091"/>
      <c r="NJU41" s="1091"/>
      <c r="NJV41" s="1091"/>
      <c r="NJW41" s="1091"/>
      <c r="NJX41" s="1091"/>
      <c r="NJY41" s="1091"/>
      <c r="NJZ41" s="1091"/>
      <c r="NKA41" s="1091"/>
      <c r="NKB41" s="1091"/>
      <c r="NKC41" s="1091"/>
      <c r="NKD41" s="1091"/>
      <c r="NKE41" s="1091"/>
      <c r="NKF41" s="1091"/>
      <c r="NKG41" s="1091"/>
      <c r="NKH41" s="1091"/>
      <c r="NKI41" s="1091"/>
      <c r="NKJ41" s="1091"/>
      <c r="NKK41" s="1091"/>
      <c r="NKL41" s="1091"/>
      <c r="NKM41" s="1091"/>
      <c r="NKN41" s="1091"/>
      <c r="NKO41" s="1091"/>
      <c r="NKP41" s="1091"/>
      <c r="NKQ41" s="1091"/>
      <c r="NKR41" s="1091"/>
      <c r="NKS41" s="1091"/>
      <c r="NKT41" s="1091"/>
      <c r="NKU41" s="1091"/>
      <c r="NKV41" s="1091"/>
      <c r="NKW41" s="1091"/>
      <c r="NKX41" s="1091"/>
      <c r="NKY41" s="1091"/>
      <c r="NKZ41" s="1091"/>
      <c r="NLA41" s="1091"/>
      <c r="NLB41" s="1091"/>
      <c r="NLC41" s="1091"/>
      <c r="NLD41" s="1091"/>
      <c r="NLE41" s="1091"/>
      <c r="NLF41" s="1091"/>
      <c r="NLG41" s="1091"/>
      <c r="NLH41" s="1091"/>
      <c r="NLI41" s="1091"/>
      <c r="NLJ41" s="1091"/>
      <c r="NLK41" s="1091"/>
      <c r="NLL41" s="1091"/>
      <c r="NLM41" s="1091"/>
      <c r="NLN41" s="1091"/>
      <c r="NLO41" s="1091"/>
      <c r="NLP41" s="1091"/>
      <c r="NLQ41" s="1091"/>
      <c r="NLR41" s="1091"/>
      <c r="NLS41" s="1091"/>
      <c r="NLT41" s="1091"/>
      <c r="NLU41" s="1091"/>
      <c r="NLV41" s="1091"/>
      <c r="NLW41" s="1091"/>
      <c r="NLX41" s="1091"/>
      <c r="NLY41" s="1091"/>
      <c r="NLZ41" s="1091"/>
      <c r="NMA41" s="1091"/>
      <c r="NMB41" s="1091"/>
      <c r="NMC41" s="1091"/>
      <c r="NMD41" s="1091"/>
      <c r="NME41" s="1091"/>
      <c r="NMF41" s="1091"/>
      <c r="NMG41" s="1091"/>
      <c r="NMH41" s="1091"/>
      <c r="NMI41" s="1091"/>
      <c r="NMJ41" s="1091"/>
      <c r="NMK41" s="1091"/>
      <c r="NML41" s="1091"/>
      <c r="NMM41" s="1091"/>
      <c r="NMN41" s="1091"/>
      <c r="NMO41" s="1091"/>
      <c r="NMP41" s="1091"/>
      <c r="NMQ41" s="1091"/>
      <c r="NMR41" s="1091"/>
      <c r="NMS41" s="1091"/>
      <c r="NMT41" s="1091"/>
      <c r="NMU41" s="1091"/>
      <c r="NMV41" s="1091"/>
      <c r="NMW41" s="1091"/>
      <c r="NMX41" s="1091"/>
      <c r="NMY41" s="1091"/>
      <c r="NMZ41" s="1091"/>
      <c r="NNA41" s="1091"/>
      <c r="NNB41" s="1091"/>
      <c r="NNC41" s="1091"/>
      <c r="NND41" s="1091"/>
      <c r="NNE41" s="1091"/>
      <c r="NNF41" s="1091"/>
      <c r="NNG41" s="1091"/>
      <c r="NNH41" s="1091"/>
      <c r="NNI41" s="1091"/>
      <c r="NNJ41" s="1091"/>
      <c r="NNK41" s="1091"/>
      <c r="NNL41" s="1091"/>
      <c r="NNM41" s="1091"/>
      <c r="NNN41" s="1091"/>
      <c r="NNO41" s="1091"/>
      <c r="NNP41" s="1091"/>
      <c r="NNQ41" s="1091"/>
      <c r="NNR41" s="1091"/>
      <c r="NNS41" s="1091"/>
      <c r="NNT41" s="1091"/>
      <c r="NNU41" s="1091"/>
      <c r="NNV41" s="1091"/>
      <c r="NNW41" s="1091"/>
      <c r="NNX41" s="1091"/>
      <c r="NNY41" s="1091"/>
      <c r="NNZ41" s="1091"/>
      <c r="NOA41" s="1091"/>
      <c r="NOB41" s="1091"/>
      <c r="NOC41" s="1091"/>
      <c r="NOD41" s="1091"/>
      <c r="NOE41" s="1091"/>
      <c r="NOF41" s="1091"/>
      <c r="NOG41" s="1091"/>
      <c r="NOH41" s="1091"/>
      <c r="NOI41" s="1091"/>
      <c r="NOJ41" s="1091"/>
      <c r="NOK41" s="1091"/>
      <c r="NOL41" s="1091"/>
      <c r="NOM41" s="1091"/>
      <c r="NON41" s="1091"/>
      <c r="NOO41" s="1091"/>
      <c r="NOP41" s="1091"/>
      <c r="NOQ41" s="1091"/>
      <c r="NOR41" s="1091"/>
      <c r="NOS41" s="1091"/>
      <c r="NOT41" s="1091"/>
      <c r="NOU41" s="1091"/>
      <c r="NOV41" s="1091"/>
      <c r="NOW41" s="1091"/>
      <c r="NOX41" s="1091"/>
      <c r="NOY41" s="1091"/>
      <c r="NOZ41" s="1091"/>
      <c r="NPA41" s="1091"/>
      <c r="NPB41" s="1091"/>
      <c r="NPC41" s="1091"/>
      <c r="NPD41" s="1091"/>
      <c r="NPE41" s="1091"/>
      <c r="NPF41" s="1091"/>
      <c r="NPG41" s="1091"/>
      <c r="NPH41" s="1091"/>
      <c r="NPI41" s="1091"/>
      <c r="NPJ41" s="1091"/>
      <c r="NPK41" s="1091"/>
      <c r="NPL41" s="1091"/>
      <c r="NPM41" s="1091"/>
      <c r="NPN41" s="1091"/>
      <c r="NPO41" s="1091"/>
      <c r="NPP41" s="1091"/>
      <c r="NPQ41" s="1091"/>
      <c r="NPR41" s="1091"/>
      <c r="NPS41" s="1091"/>
      <c r="NPT41" s="1091"/>
      <c r="NPU41" s="1091"/>
      <c r="NPV41" s="1091"/>
      <c r="NPW41" s="1091"/>
      <c r="NPX41" s="1091"/>
      <c r="NPY41" s="1091"/>
      <c r="NPZ41" s="1091"/>
      <c r="NQA41" s="1091"/>
      <c r="NQB41" s="1091"/>
      <c r="NQC41" s="1091"/>
      <c r="NQD41" s="1091"/>
      <c r="NQE41" s="1091"/>
      <c r="NQF41" s="1091"/>
      <c r="NQG41" s="1091"/>
      <c r="NQH41" s="1091"/>
      <c r="NQI41" s="1091"/>
      <c r="NQJ41" s="1091"/>
      <c r="NQK41" s="1091"/>
      <c r="NQL41" s="1091"/>
      <c r="NQM41" s="1091"/>
      <c r="NQN41" s="1091"/>
      <c r="NQO41" s="1091"/>
      <c r="NQP41" s="1091"/>
      <c r="NQQ41" s="1091"/>
      <c r="NQR41" s="1091"/>
      <c r="NQS41" s="1091"/>
      <c r="NQT41" s="1091"/>
      <c r="NQU41" s="1091"/>
      <c r="NQV41" s="1091"/>
      <c r="NQW41" s="1091"/>
      <c r="NQX41" s="1091"/>
      <c r="NQY41" s="1091"/>
      <c r="NQZ41" s="1091"/>
      <c r="NRA41" s="1091"/>
      <c r="NRB41" s="1091"/>
      <c r="NRC41" s="1091"/>
      <c r="NRD41" s="1091"/>
      <c r="NRE41" s="1091"/>
      <c r="NRF41" s="1091"/>
      <c r="NRG41" s="1091"/>
      <c r="NRH41" s="1091"/>
      <c r="NRI41" s="1091"/>
      <c r="NRJ41" s="1091"/>
      <c r="NRK41" s="1091"/>
      <c r="NRL41" s="1091"/>
      <c r="NRM41" s="1091"/>
      <c r="NRN41" s="1091"/>
      <c r="NRO41" s="1091"/>
      <c r="NRP41" s="1091"/>
      <c r="NRQ41" s="1091"/>
      <c r="NRR41" s="1091"/>
      <c r="NRS41" s="1091"/>
      <c r="NRT41" s="1091"/>
      <c r="NRU41" s="1091"/>
      <c r="NRV41" s="1091"/>
      <c r="NRW41" s="1091"/>
      <c r="NRX41" s="1091"/>
      <c r="NRY41" s="1091"/>
      <c r="NRZ41" s="1091"/>
      <c r="NSA41" s="1091"/>
      <c r="NSB41" s="1091"/>
      <c r="NSC41" s="1091"/>
      <c r="NSD41" s="1091"/>
      <c r="NSE41" s="1091"/>
      <c r="NSF41" s="1091"/>
      <c r="NSG41" s="1091"/>
      <c r="NSH41" s="1091"/>
      <c r="NSI41" s="1091"/>
      <c r="NSJ41" s="1091"/>
      <c r="NSK41" s="1091"/>
      <c r="NSL41" s="1091"/>
      <c r="NSM41" s="1091"/>
      <c r="NSN41" s="1091"/>
      <c r="NSO41" s="1091"/>
      <c r="NSP41" s="1091"/>
      <c r="NSQ41" s="1091"/>
      <c r="NSR41" s="1091"/>
      <c r="NSS41" s="1091"/>
      <c r="NST41" s="1091"/>
      <c r="NSU41" s="1091"/>
      <c r="NSV41" s="1091"/>
      <c r="NSW41" s="1091"/>
      <c r="NSX41" s="1091"/>
      <c r="NSY41" s="1091"/>
      <c r="NSZ41" s="1091"/>
      <c r="NTA41" s="1091"/>
      <c r="NTB41" s="1091"/>
      <c r="NTC41" s="1091"/>
      <c r="NTD41" s="1091"/>
      <c r="NTE41" s="1091"/>
      <c r="NTF41" s="1091"/>
      <c r="NTG41" s="1091"/>
      <c r="NTH41" s="1091"/>
      <c r="NTI41" s="1091"/>
      <c r="NTJ41" s="1091"/>
      <c r="NTK41" s="1091"/>
      <c r="NTL41" s="1091"/>
      <c r="NTM41" s="1091"/>
      <c r="NTN41" s="1091"/>
      <c r="NTO41" s="1091"/>
      <c r="NTP41" s="1091"/>
      <c r="NTQ41" s="1091"/>
      <c r="NTR41" s="1091"/>
      <c r="NTS41" s="1091"/>
      <c r="NTT41" s="1091"/>
      <c r="NTU41" s="1091"/>
      <c r="NTV41" s="1091"/>
      <c r="NTW41" s="1091"/>
      <c r="NTX41" s="1091"/>
      <c r="NTY41" s="1091"/>
      <c r="NTZ41" s="1091"/>
      <c r="NUA41" s="1091"/>
      <c r="NUB41" s="1091"/>
      <c r="NUC41" s="1091"/>
      <c r="NUD41" s="1091"/>
      <c r="NUE41" s="1091"/>
      <c r="NUF41" s="1091"/>
      <c r="NUG41" s="1091"/>
      <c r="NUH41" s="1091"/>
      <c r="NUI41" s="1091"/>
      <c r="NUJ41" s="1091"/>
      <c r="NUK41" s="1091"/>
      <c r="NUL41" s="1091"/>
      <c r="NUM41" s="1091"/>
      <c r="NUN41" s="1091"/>
      <c r="NUO41" s="1091"/>
      <c r="NUP41" s="1091"/>
      <c r="NUQ41" s="1091"/>
      <c r="NUR41" s="1091"/>
      <c r="NUS41" s="1091"/>
      <c r="NUT41" s="1091"/>
      <c r="NUU41" s="1091"/>
      <c r="NUV41" s="1091"/>
      <c r="NUW41" s="1091"/>
      <c r="NUX41" s="1091"/>
      <c r="NUY41" s="1091"/>
      <c r="NUZ41" s="1091"/>
      <c r="NVA41" s="1091"/>
      <c r="NVB41" s="1091"/>
      <c r="NVC41" s="1091"/>
      <c r="NVD41" s="1091"/>
      <c r="NVE41" s="1091"/>
      <c r="NVF41" s="1091"/>
      <c r="NVG41" s="1091"/>
      <c r="NVH41" s="1091"/>
      <c r="NVI41" s="1091"/>
      <c r="NVJ41" s="1091"/>
      <c r="NVK41" s="1091"/>
      <c r="NVL41" s="1091"/>
      <c r="NVM41" s="1091"/>
      <c r="NVN41" s="1091"/>
      <c r="NVO41" s="1091"/>
      <c r="NVP41" s="1091"/>
      <c r="NVQ41" s="1091"/>
      <c r="NVR41" s="1091"/>
      <c r="NVS41" s="1091"/>
      <c r="NVT41" s="1091"/>
      <c r="NVU41" s="1091"/>
      <c r="NVV41" s="1091"/>
      <c r="NVW41" s="1091"/>
      <c r="NVX41" s="1091"/>
      <c r="NVY41" s="1091"/>
      <c r="NVZ41" s="1091"/>
      <c r="NWA41" s="1091"/>
      <c r="NWB41" s="1091"/>
      <c r="NWC41" s="1091"/>
      <c r="NWD41" s="1091"/>
      <c r="NWE41" s="1091"/>
      <c r="NWF41" s="1091"/>
      <c r="NWG41" s="1091"/>
      <c r="NWH41" s="1091"/>
      <c r="NWI41" s="1091"/>
      <c r="NWJ41" s="1091"/>
      <c r="NWK41" s="1091"/>
      <c r="NWL41" s="1091"/>
      <c r="NWM41" s="1091"/>
      <c r="NWN41" s="1091"/>
      <c r="NWO41" s="1091"/>
      <c r="NWP41" s="1091"/>
      <c r="NWQ41" s="1091"/>
      <c r="NWR41" s="1091"/>
      <c r="NWS41" s="1091"/>
      <c r="NWT41" s="1091"/>
      <c r="NWU41" s="1091"/>
      <c r="NWV41" s="1091"/>
      <c r="NWW41" s="1091"/>
      <c r="NWX41" s="1091"/>
      <c r="NWY41" s="1091"/>
      <c r="NWZ41" s="1091"/>
      <c r="NXA41" s="1091"/>
      <c r="NXB41" s="1091"/>
      <c r="NXC41" s="1091"/>
      <c r="NXD41" s="1091"/>
      <c r="NXE41" s="1091"/>
      <c r="NXF41" s="1091"/>
      <c r="NXG41" s="1091"/>
      <c r="NXH41" s="1091"/>
      <c r="NXI41" s="1091"/>
      <c r="NXJ41" s="1091"/>
      <c r="NXK41" s="1091"/>
      <c r="NXL41" s="1091"/>
      <c r="NXM41" s="1091"/>
      <c r="NXN41" s="1091"/>
      <c r="NXO41" s="1091"/>
      <c r="NXP41" s="1091"/>
      <c r="NXQ41" s="1091"/>
      <c r="NXR41" s="1091"/>
      <c r="NXS41" s="1091"/>
      <c r="NXT41" s="1091"/>
      <c r="NXU41" s="1091"/>
      <c r="NXV41" s="1091"/>
      <c r="NXW41" s="1091"/>
      <c r="NXX41" s="1091"/>
      <c r="NXY41" s="1091"/>
      <c r="NXZ41" s="1091"/>
      <c r="NYA41" s="1091"/>
      <c r="NYB41" s="1091"/>
      <c r="NYC41" s="1091"/>
      <c r="NYD41" s="1091"/>
      <c r="NYE41" s="1091"/>
      <c r="NYF41" s="1091"/>
      <c r="NYG41" s="1091"/>
      <c r="NYH41" s="1091"/>
      <c r="NYI41" s="1091"/>
      <c r="NYJ41" s="1091"/>
      <c r="NYK41" s="1091"/>
      <c r="NYL41" s="1091"/>
      <c r="NYM41" s="1091"/>
      <c r="NYN41" s="1091"/>
      <c r="NYO41" s="1091"/>
      <c r="NYP41" s="1091"/>
      <c r="NYQ41" s="1091"/>
      <c r="NYR41" s="1091"/>
      <c r="NYS41" s="1091"/>
      <c r="NYT41" s="1091"/>
      <c r="NYU41" s="1091"/>
      <c r="NYV41" s="1091"/>
      <c r="NYW41" s="1091"/>
      <c r="NYX41" s="1091"/>
      <c r="NYY41" s="1091"/>
      <c r="NYZ41" s="1091"/>
      <c r="NZA41" s="1091"/>
      <c r="NZB41" s="1091"/>
      <c r="NZC41" s="1091"/>
      <c r="NZD41" s="1091"/>
      <c r="NZE41" s="1091"/>
      <c r="NZF41" s="1091"/>
      <c r="NZG41" s="1091"/>
      <c r="NZH41" s="1091"/>
      <c r="NZI41" s="1091"/>
      <c r="NZJ41" s="1091"/>
      <c r="NZK41" s="1091"/>
      <c r="NZL41" s="1091"/>
      <c r="NZM41" s="1091"/>
      <c r="NZN41" s="1091"/>
      <c r="NZO41" s="1091"/>
      <c r="NZP41" s="1091"/>
      <c r="NZQ41" s="1091"/>
      <c r="NZR41" s="1091"/>
      <c r="NZS41" s="1091"/>
      <c r="NZT41" s="1091"/>
      <c r="NZU41" s="1091"/>
      <c r="NZV41" s="1091"/>
      <c r="NZW41" s="1091"/>
      <c r="NZX41" s="1091"/>
      <c r="NZY41" s="1091"/>
      <c r="NZZ41" s="1091"/>
      <c r="OAA41" s="1091"/>
      <c r="OAB41" s="1091"/>
      <c r="OAC41" s="1091"/>
      <c r="OAD41" s="1091"/>
      <c r="OAE41" s="1091"/>
      <c r="OAF41" s="1091"/>
      <c r="OAG41" s="1091"/>
      <c r="OAH41" s="1091"/>
      <c r="OAI41" s="1091"/>
      <c r="OAJ41" s="1091"/>
      <c r="OAK41" s="1091"/>
      <c r="OAL41" s="1091"/>
      <c r="OAM41" s="1091"/>
      <c r="OAN41" s="1091"/>
      <c r="OAO41" s="1091"/>
      <c r="OAP41" s="1091"/>
      <c r="OAQ41" s="1091"/>
      <c r="OAR41" s="1091"/>
      <c r="OAS41" s="1091"/>
      <c r="OAT41" s="1091"/>
      <c r="OAU41" s="1091"/>
      <c r="OAV41" s="1091"/>
      <c r="OAW41" s="1091"/>
      <c r="OAX41" s="1091"/>
      <c r="OAY41" s="1091"/>
      <c r="OAZ41" s="1091"/>
      <c r="OBA41" s="1091"/>
      <c r="OBB41" s="1091"/>
      <c r="OBC41" s="1091"/>
      <c r="OBD41" s="1091"/>
      <c r="OBE41" s="1091"/>
      <c r="OBF41" s="1091"/>
      <c r="OBG41" s="1091"/>
      <c r="OBH41" s="1091"/>
      <c r="OBI41" s="1091"/>
      <c r="OBJ41" s="1091"/>
      <c r="OBK41" s="1091"/>
      <c r="OBL41" s="1091"/>
      <c r="OBM41" s="1091"/>
      <c r="OBN41" s="1091"/>
      <c r="OBO41" s="1091"/>
      <c r="OBP41" s="1091"/>
      <c r="OBQ41" s="1091"/>
      <c r="OBR41" s="1091"/>
      <c r="OBS41" s="1091"/>
      <c r="OBT41" s="1091"/>
      <c r="OBU41" s="1091"/>
      <c r="OBV41" s="1091"/>
      <c r="OBW41" s="1091"/>
      <c r="OBX41" s="1091"/>
      <c r="OBY41" s="1091"/>
      <c r="OBZ41" s="1091"/>
      <c r="OCA41" s="1091"/>
      <c r="OCB41" s="1091"/>
      <c r="OCC41" s="1091"/>
      <c r="OCD41" s="1091"/>
      <c r="OCE41" s="1091"/>
      <c r="OCF41" s="1091"/>
      <c r="OCG41" s="1091"/>
      <c r="OCH41" s="1091"/>
      <c r="OCI41" s="1091"/>
      <c r="OCJ41" s="1091"/>
      <c r="OCK41" s="1091"/>
      <c r="OCL41" s="1091"/>
      <c r="OCM41" s="1091"/>
      <c r="OCN41" s="1091"/>
      <c r="OCO41" s="1091"/>
      <c r="OCP41" s="1091"/>
      <c r="OCQ41" s="1091"/>
      <c r="OCR41" s="1091"/>
      <c r="OCS41" s="1091"/>
      <c r="OCT41" s="1091"/>
      <c r="OCU41" s="1091"/>
      <c r="OCV41" s="1091"/>
      <c r="OCW41" s="1091"/>
      <c r="OCX41" s="1091"/>
      <c r="OCY41" s="1091"/>
      <c r="OCZ41" s="1091"/>
      <c r="ODA41" s="1091"/>
      <c r="ODB41" s="1091"/>
      <c r="ODC41" s="1091"/>
      <c r="ODD41" s="1091"/>
      <c r="ODE41" s="1091"/>
      <c r="ODF41" s="1091"/>
      <c r="ODG41" s="1091"/>
      <c r="ODH41" s="1091"/>
      <c r="ODI41" s="1091"/>
      <c r="ODJ41" s="1091"/>
      <c r="ODK41" s="1091"/>
      <c r="ODL41" s="1091"/>
      <c r="ODM41" s="1091"/>
      <c r="ODN41" s="1091"/>
      <c r="ODO41" s="1091"/>
      <c r="ODP41" s="1091"/>
      <c r="ODQ41" s="1091"/>
      <c r="ODR41" s="1091"/>
      <c r="ODS41" s="1091"/>
      <c r="ODT41" s="1091"/>
      <c r="ODU41" s="1091"/>
      <c r="ODV41" s="1091"/>
      <c r="ODW41" s="1091"/>
      <c r="ODX41" s="1091"/>
      <c r="ODY41" s="1091"/>
      <c r="ODZ41" s="1091"/>
      <c r="OEA41" s="1091"/>
      <c r="OEB41" s="1091"/>
      <c r="OEC41" s="1091"/>
      <c r="OED41" s="1091"/>
      <c r="OEE41" s="1091"/>
      <c r="OEF41" s="1091"/>
      <c r="OEG41" s="1091"/>
      <c r="OEH41" s="1091"/>
      <c r="OEI41" s="1091"/>
      <c r="OEJ41" s="1091"/>
      <c r="OEK41" s="1091"/>
      <c r="OEL41" s="1091"/>
      <c r="OEM41" s="1091"/>
      <c r="OEN41" s="1091"/>
      <c r="OEO41" s="1091"/>
      <c r="OEP41" s="1091"/>
      <c r="OEQ41" s="1091"/>
      <c r="OER41" s="1091"/>
      <c r="OES41" s="1091"/>
      <c r="OET41" s="1091"/>
      <c r="OEU41" s="1091"/>
      <c r="OEV41" s="1091"/>
      <c r="OEW41" s="1091"/>
      <c r="OEX41" s="1091"/>
      <c r="OEY41" s="1091"/>
      <c r="OEZ41" s="1091"/>
      <c r="OFA41" s="1091"/>
      <c r="OFB41" s="1091"/>
      <c r="OFC41" s="1091"/>
      <c r="OFD41" s="1091"/>
      <c r="OFE41" s="1091"/>
      <c r="OFF41" s="1091"/>
      <c r="OFG41" s="1091"/>
      <c r="OFH41" s="1091"/>
      <c r="OFI41" s="1091"/>
      <c r="OFJ41" s="1091"/>
      <c r="OFK41" s="1091"/>
      <c r="OFL41" s="1091"/>
      <c r="OFM41" s="1091"/>
      <c r="OFN41" s="1091"/>
      <c r="OFO41" s="1091"/>
      <c r="OFP41" s="1091"/>
      <c r="OFQ41" s="1091"/>
      <c r="OFR41" s="1091"/>
      <c r="OFS41" s="1091"/>
      <c r="OFT41" s="1091"/>
      <c r="OFU41" s="1091"/>
      <c r="OFV41" s="1091"/>
      <c r="OFW41" s="1091"/>
      <c r="OFX41" s="1091"/>
      <c r="OFY41" s="1091"/>
      <c r="OFZ41" s="1091"/>
      <c r="OGA41" s="1091"/>
      <c r="OGB41" s="1091"/>
      <c r="OGC41" s="1091"/>
      <c r="OGD41" s="1091"/>
      <c r="OGE41" s="1091"/>
      <c r="OGF41" s="1091"/>
      <c r="OGG41" s="1091"/>
      <c r="OGH41" s="1091"/>
      <c r="OGI41" s="1091"/>
      <c r="OGJ41" s="1091"/>
      <c r="OGK41" s="1091"/>
      <c r="OGL41" s="1091"/>
      <c r="OGM41" s="1091"/>
      <c r="OGN41" s="1091"/>
      <c r="OGO41" s="1091"/>
      <c r="OGP41" s="1091"/>
      <c r="OGQ41" s="1091"/>
      <c r="OGR41" s="1091"/>
      <c r="OGS41" s="1091"/>
      <c r="OGT41" s="1091"/>
      <c r="OGU41" s="1091"/>
      <c r="OGV41" s="1091"/>
      <c r="OGW41" s="1091"/>
      <c r="OGX41" s="1091"/>
      <c r="OGY41" s="1091"/>
      <c r="OGZ41" s="1091"/>
      <c r="OHA41" s="1091"/>
      <c r="OHB41" s="1091"/>
      <c r="OHC41" s="1091"/>
      <c r="OHD41" s="1091"/>
      <c r="OHE41" s="1091"/>
      <c r="OHF41" s="1091"/>
      <c r="OHG41" s="1091"/>
      <c r="OHH41" s="1091"/>
      <c r="OHI41" s="1091"/>
      <c r="OHJ41" s="1091"/>
      <c r="OHK41" s="1091"/>
      <c r="OHL41" s="1091"/>
      <c r="OHM41" s="1091"/>
      <c r="OHN41" s="1091"/>
      <c r="OHO41" s="1091"/>
      <c r="OHP41" s="1091"/>
      <c r="OHQ41" s="1091"/>
      <c r="OHR41" s="1091"/>
      <c r="OHS41" s="1091"/>
      <c r="OHT41" s="1091"/>
      <c r="OHU41" s="1091"/>
      <c r="OHV41" s="1091"/>
      <c r="OHW41" s="1091"/>
      <c r="OHX41" s="1091"/>
      <c r="OHY41" s="1091"/>
      <c r="OHZ41" s="1091"/>
      <c r="OIA41" s="1091"/>
      <c r="OIB41" s="1091"/>
      <c r="OIC41" s="1091"/>
      <c r="OID41" s="1091"/>
      <c r="OIE41" s="1091"/>
      <c r="OIF41" s="1091"/>
      <c r="OIG41" s="1091"/>
      <c r="OIH41" s="1091"/>
      <c r="OII41" s="1091"/>
      <c r="OIJ41" s="1091"/>
      <c r="OIK41" s="1091"/>
      <c r="OIL41" s="1091"/>
      <c r="OIM41" s="1091"/>
      <c r="OIN41" s="1091"/>
      <c r="OIO41" s="1091"/>
      <c r="OIP41" s="1091"/>
      <c r="OIQ41" s="1091"/>
      <c r="OIR41" s="1091"/>
      <c r="OIS41" s="1091"/>
      <c r="OIT41" s="1091"/>
      <c r="OIU41" s="1091"/>
      <c r="OIV41" s="1091"/>
      <c r="OIW41" s="1091"/>
      <c r="OIX41" s="1091"/>
      <c r="OIY41" s="1091"/>
      <c r="OIZ41" s="1091"/>
      <c r="OJA41" s="1091"/>
      <c r="OJB41" s="1091"/>
      <c r="OJC41" s="1091"/>
      <c r="OJD41" s="1091"/>
      <c r="OJE41" s="1091"/>
      <c r="OJF41" s="1091"/>
      <c r="OJG41" s="1091"/>
      <c r="OJH41" s="1091"/>
      <c r="OJI41" s="1091"/>
      <c r="OJJ41" s="1091"/>
      <c r="OJK41" s="1091"/>
      <c r="OJL41" s="1091"/>
      <c r="OJM41" s="1091"/>
      <c r="OJN41" s="1091"/>
      <c r="OJO41" s="1091"/>
      <c r="OJP41" s="1091"/>
      <c r="OJQ41" s="1091"/>
      <c r="OJR41" s="1091"/>
      <c r="OJS41" s="1091"/>
      <c r="OJT41" s="1091"/>
      <c r="OJU41" s="1091"/>
      <c r="OJV41" s="1091"/>
      <c r="OJW41" s="1091"/>
      <c r="OJX41" s="1091"/>
      <c r="OJY41" s="1091"/>
      <c r="OJZ41" s="1091"/>
      <c r="OKA41" s="1091"/>
      <c r="OKB41" s="1091"/>
      <c r="OKC41" s="1091"/>
      <c r="OKD41" s="1091"/>
      <c r="OKE41" s="1091"/>
      <c r="OKF41" s="1091"/>
      <c r="OKG41" s="1091"/>
      <c r="OKH41" s="1091"/>
      <c r="OKI41" s="1091"/>
      <c r="OKJ41" s="1091"/>
      <c r="OKK41" s="1091"/>
      <c r="OKL41" s="1091"/>
      <c r="OKM41" s="1091"/>
      <c r="OKN41" s="1091"/>
      <c r="OKO41" s="1091"/>
      <c r="OKP41" s="1091"/>
      <c r="OKQ41" s="1091"/>
      <c r="OKR41" s="1091"/>
      <c r="OKS41" s="1091"/>
      <c r="OKT41" s="1091"/>
      <c r="OKU41" s="1091"/>
      <c r="OKV41" s="1091"/>
      <c r="OKW41" s="1091"/>
      <c r="OKX41" s="1091"/>
      <c r="OKY41" s="1091"/>
      <c r="OKZ41" s="1091"/>
      <c r="OLA41" s="1091"/>
      <c r="OLB41" s="1091"/>
      <c r="OLC41" s="1091"/>
      <c r="OLD41" s="1091"/>
      <c r="OLE41" s="1091"/>
      <c r="OLF41" s="1091"/>
      <c r="OLG41" s="1091"/>
      <c r="OLH41" s="1091"/>
      <c r="OLI41" s="1091"/>
      <c r="OLJ41" s="1091"/>
      <c r="OLK41" s="1091"/>
      <c r="OLL41" s="1091"/>
      <c r="OLM41" s="1091"/>
      <c r="OLN41" s="1091"/>
      <c r="OLO41" s="1091"/>
      <c r="OLP41" s="1091"/>
      <c r="OLQ41" s="1091"/>
      <c r="OLR41" s="1091"/>
      <c r="OLS41" s="1091"/>
      <c r="OLT41" s="1091"/>
      <c r="OLU41" s="1091"/>
      <c r="OLV41" s="1091"/>
      <c r="OLW41" s="1091"/>
      <c r="OLX41" s="1091"/>
      <c r="OLY41" s="1091"/>
      <c r="OLZ41" s="1091"/>
      <c r="OMA41" s="1091"/>
      <c r="OMB41" s="1091"/>
      <c r="OMC41" s="1091"/>
      <c r="OMD41" s="1091"/>
      <c r="OME41" s="1091"/>
      <c r="OMF41" s="1091"/>
      <c r="OMG41" s="1091"/>
      <c r="OMH41" s="1091"/>
      <c r="OMI41" s="1091"/>
      <c r="OMJ41" s="1091"/>
      <c r="OMK41" s="1091"/>
      <c r="OML41" s="1091"/>
      <c r="OMM41" s="1091"/>
      <c r="OMN41" s="1091"/>
      <c r="OMO41" s="1091"/>
      <c r="OMP41" s="1091"/>
      <c r="OMQ41" s="1091"/>
      <c r="OMR41" s="1091"/>
      <c r="OMS41" s="1091"/>
      <c r="OMT41" s="1091"/>
      <c r="OMU41" s="1091"/>
      <c r="OMV41" s="1091"/>
      <c r="OMW41" s="1091"/>
      <c r="OMX41" s="1091"/>
      <c r="OMY41" s="1091"/>
      <c r="OMZ41" s="1091"/>
      <c r="ONA41" s="1091"/>
      <c r="ONB41" s="1091"/>
      <c r="ONC41" s="1091"/>
      <c r="OND41" s="1091"/>
      <c r="ONE41" s="1091"/>
      <c r="ONF41" s="1091"/>
      <c r="ONG41" s="1091"/>
      <c r="ONH41" s="1091"/>
      <c r="ONI41" s="1091"/>
      <c r="ONJ41" s="1091"/>
      <c r="ONK41" s="1091"/>
      <c r="ONL41" s="1091"/>
      <c r="ONM41" s="1091"/>
      <c r="ONN41" s="1091"/>
      <c r="ONO41" s="1091"/>
      <c r="ONP41" s="1091"/>
      <c r="ONQ41" s="1091"/>
      <c r="ONR41" s="1091"/>
      <c r="ONS41" s="1091"/>
      <c r="ONT41" s="1091"/>
      <c r="ONU41" s="1091"/>
      <c r="ONV41" s="1091"/>
      <c r="ONW41" s="1091"/>
      <c r="ONX41" s="1091"/>
      <c r="ONY41" s="1091"/>
      <c r="ONZ41" s="1091"/>
      <c r="OOA41" s="1091"/>
      <c r="OOB41" s="1091"/>
      <c r="OOC41" s="1091"/>
      <c r="OOD41" s="1091"/>
      <c r="OOE41" s="1091"/>
      <c r="OOF41" s="1091"/>
      <c r="OOG41" s="1091"/>
      <c r="OOH41" s="1091"/>
      <c r="OOI41" s="1091"/>
      <c r="OOJ41" s="1091"/>
      <c r="OOK41" s="1091"/>
      <c r="OOL41" s="1091"/>
      <c r="OOM41" s="1091"/>
      <c r="OON41" s="1091"/>
      <c r="OOO41" s="1091"/>
      <c r="OOP41" s="1091"/>
      <c r="OOQ41" s="1091"/>
      <c r="OOR41" s="1091"/>
      <c r="OOS41" s="1091"/>
      <c r="OOT41" s="1091"/>
      <c r="OOU41" s="1091"/>
      <c r="OOV41" s="1091"/>
      <c r="OOW41" s="1091"/>
      <c r="OOX41" s="1091"/>
      <c r="OOY41" s="1091"/>
      <c r="OOZ41" s="1091"/>
      <c r="OPA41" s="1091"/>
      <c r="OPB41" s="1091"/>
      <c r="OPC41" s="1091"/>
      <c r="OPD41" s="1091"/>
      <c r="OPE41" s="1091"/>
      <c r="OPF41" s="1091"/>
      <c r="OPG41" s="1091"/>
      <c r="OPH41" s="1091"/>
      <c r="OPI41" s="1091"/>
      <c r="OPJ41" s="1091"/>
      <c r="OPK41" s="1091"/>
      <c r="OPL41" s="1091"/>
      <c r="OPM41" s="1091"/>
      <c r="OPN41" s="1091"/>
      <c r="OPO41" s="1091"/>
      <c r="OPP41" s="1091"/>
      <c r="OPQ41" s="1091"/>
      <c r="OPR41" s="1091"/>
      <c r="OPS41" s="1091"/>
      <c r="OPT41" s="1091"/>
      <c r="OPU41" s="1091"/>
      <c r="OPV41" s="1091"/>
      <c r="OPW41" s="1091"/>
      <c r="OPX41" s="1091"/>
      <c r="OPY41" s="1091"/>
      <c r="OPZ41" s="1091"/>
      <c r="OQA41" s="1091"/>
      <c r="OQB41" s="1091"/>
      <c r="OQC41" s="1091"/>
      <c r="OQD41" s="1091"/>
      <c r="OQE41" s="1091"/>
      <c r="OQF41" s="1091"/>
      <c r="OQG41" s="1091"/>
      <c r="OQH41" s="1091"/>
      <c r="OQI41" s="1091"/>
      <c r="OQJ41" s="1091"/>
      <c r="OQK41" s="1091"/>
      <c r="OQL41" s="1091"/>
      <c r="OQM41" s="1091"/>
      <c r="OQN41" s="1091"/>
      <c r="OQO41" s="1091"/>
      <c r="OQP41" s="1091"/>
      <c r="OQQ41" s="1091"/>
      <c r="OQR41" s="1091"/>
      <c r="OQS41" s="1091"/>
      <c r="OQT41" s="1091"/>
      <c r="OQU41" s="1091"/>
      <c r="OQV41" s="1091"/>
      <c r="OQW41" s="1091"/>
      <c r="OQX41" s="1091"/>
      <c r="OQY41" s="1091"/>
      <c r="OQZ41" s="1091"/>
      <c r="ORA41" s="1091"/>
      <c r="ORB41" s="1091"/>
      <c r="ORC41" s="1091"/>
      <c r="ORD41" s="1091"/>
      <c r="ORE41" s="1091"/>
      <c r="ORF41" s="1091"/>
      <c r="ORG41" s="1091"/>
      <c r="ORH41" s="1091"/>
      <c r="ORI41" s="1091"/>
      <c r="ORJ41" s="1091"/>
      <c r="ORK41" s="1091"/>
      <c r="ORL41" s="1091"/>
      <c r="ORM41" s="1091"/>
      <c r="ORN41" s="1091"/>
      <c r="ORO41" s="1091"/>
      <c r="ORP41" s="1091"/>
      <c r="ORQ41" s="1091"/>
      <c r="ORR41" s="1091"/>
      <c r="ORS41" s="1091"/>
      <c r="ORT41" s="1091"/>
      <c r="ORU41" s="1091"/>
      <c r="ORV41" s="1091"/>
      <c r="ORW41" s="1091"/>
      <c r="ORX41" s="1091"/>
      <c r="ORY41" s="1091"/>
      <c r="ORZ41" s="1091"/>
      <c r="OSA41" s="1091"/>
      <c r="OSB41" s="1091"/>
      <c r="OSC41" s="1091"/>
      <c r="OSD41" s="1091"/>
      <c r="OSE41" s="1091"/>
      <c r="OSF41" s="1091"/>
      <c r="OSG41" s="1091"/>
      <c r="OSH41" s="1091"/>
      <c r="OSI41" s="1091"/>
      <c r="OSJ41" s="1091"/>
      <c r="OSK41" s="1091"/>
      <c r="OSL41" s="1091"/>
      <c r="OSM41" s="1091"/>
      <c r="OSN41" s="1091"/>
      <c r="OSO41" s="1091"/>
      <c r="OSP41" s="1091"/>
      <c r="OSQ41" s="1091"/>
      <c r="OSR41" s="1091"/>
      <c r="OSS41" s="1091"/>
      <c r="OST41" s="1091"/>
      <c r="OSU41" s="1091"/>
      <c r="OSV41" s="1091"/>
      <c r="OSW41" s="1091"/>
      <c r="OSX41" s="1091"/>
      <c r="OSY41" s="1091"/>
      <c r="OSZ41" s="1091"/>
      <c r="OTA41" s="1091"/>
      <c r="OTB41" s="1091"/>
      <c r="OTC41" s="1091"/>
      <c r="OTD41" s="1091"/>
      <c r="OTE41" s="1091"/>
      <c r="OTF41" s="1091"/>
      <c r="OTG41" s="1091"/>
      <c r="OTH41" s="1091"/>
      <c r="OTI41" s="1091"/>
      <c r="OTJ41" s="1091"/>
      <c r="OTK41" s="1091"/>
      <c r="OTL41" s="1091"/>
      <c r="OTM41" s="1091"/>
      <c r="OTN41" s="1091"/>
      <c r="OTO41" s="1091"/>
      <c r="OTP41" s="1091"/>
      <c r="OTQ41" s="1091"/>
      <c r="OTR41" s="1091"/>
      <c r="OTS41" s="1091"/>
      <c r="OTT41" s="1091"/>
      <c r="OTU41" s="1091"/>
      <c r="OTV41" s="1091"/>
      <c r="OTW41" s="1091"/>
      <c r="OTX41" s="1091"/>
      <c r="OTY41" s="1091"/>
      <c r="OTZ41" s="1091"/>
      <c r="OUA41" s="1091"/>
      <c r="OUB41" s="1091"/>
      <c r="OUC41" s="1091"/>
      <c r="OUD41" s="1091"/>
      <c r="OUE41" s="1091"/>
      <c r="OUF41" s="1091"/>
      <c r="OUG41" s="1091"/>
      <c r="OUH41" s="1091"/>
      <c r="OUI41" s="1091"/>
      <c r="OUJ41" s="1091"/>
      <c r="OUK41" s="1091"/>
      <c r="OUL41" s="1091"/>
      <c r="OUM41" s="1091"/>
      <c r="OUN41" s="1091"/>
      <c r="OUO41" s="1091"/>
      <c r="OUP41" s="1091"/>
      <c r="OUQ41" s="1091"/>
      <c r="OUR41" s="1091"/>
      <c r="OUS41" s="1091"/>
      <c r="OUT41" s="1091"/>
      <c r="OUU41" s="1091"/>
      <c r="OUV41" s="1091"/>
      <c r="OUW41" s="1091"/>
      <c r="OUX41" s="1091"/>
      <c r="OUY41" s="1091"/>
      <c r="OUZ41" s="1091"/>
      <c r="OVA41" s="1091"/>
      <c r="OVB41" s="1091"/>
      <c r="OVC41" s="1091"/>
      <c r="OVD41" s="1091"/>
      <c r="OVE41" s="1091"/>
      <c r="OVF41" s="1091"/>
      <c r="OVG41" s="1091"/>
      <c r="OVH41" s="1091"/>
      <c r="OVI41" s="1091"/>
      <c r="OVJ41" s="1091"/>
      <c r="OVK41" s="1091"/>
      <c r="OVL41" s="1091"/>
      <c r="OVM41" s="1091"/>
      <c r="OVN41" s="1091"/>
      <c r="OVO41" s="1091"/>
      <c r="OVP41" s="1091"/>
      <c r="OVQ41" s="1091"/>
      <c r="OVR41" s="1091"/>
      <c r="OVS41" s="1091"/>
      <c r="OVT41" s="1091"/>
      <c r="OVU41" s="1091"/>
      <c r="OVV41" s="1091"/>
      <c r="OVW41" s="1091"/>
      <c r="OVX41" s="1091"/>
      <c r="OVY41" s="1091"/>
      <c r="OVZ41" s="1091"/>
      <c r="OWA41" s="1091"/>
      <c r="OWB41" s="1091"/>
      <c r="OWC41" s="1091"/>
      <c r="OWD41" s="1091"/>
      <c r="OWE41" s="1091"/>
      <c r="OWF41" s="1091"/>
      <c r="OWG41" s="1091"/>
      <c r="OWH41" s="1091"/>
      <c r="OWI41" s="1091"/>
      <c r="OWJ41" s="1091"/>
      <c r="OWK41" s="1091"/>
      <c r="OWL41" s="1091"/>
      <c r="OWM41" s="1091"/>
      <c r="OWN41" s="1091"/>
      <c r="OWO41" s="1091"/>
      <c r="OWP41" s="1091"/>
      <c r="OWQ41" s="1091"/>
      <c r="OWR41" s="1091"/>
      <c r="OWS41" s="1091"/>
      <c r="OWT41" s="1091"/>
      <c r="OWU41" s="1091"/>
      <c r="OWV41" s="1091"/>
      <c r="OWW41" s="1091"/>
      <c r="OWX41" s="1091"/>
      <c r="OWY41" s="1091"/>
      <c r="OWZ41" s="1091"/>
      <c r="OXA41" s="1091"/>
      <c r="OXB41" s="1091"/>
      <c r="OXC41" s="1091"/>
      <c r="OXD41" s="1091"/>
      <c r="OXE41" s="1091"/>
      <c r="OXF41" s="1091"/>
      <c r="OXG41" s="1091"/>
      <c r="OXH41" s="1091"/>
      <c r="OXI41" s="1091"/>
      <c r="OXJ41" s="1091"/>
      <c r="OXK41" s="1091"/>
      <c r="OXL41" s="1091"/>
      <c r="OXM41" s="1091"/>
      <c r="OXN41" s="1091"/>
      <c r="OXO41" s="1091"/>
      <c r="OXP41" s="1091"/>
      <c r="OXQ41" s="1091"/>
      <c r="OXR41" s="1091"/>
      <c r="OXS41" s="1091"/>
      <c r="OXT41" s="1091"/>
      <c r="OXU41" s="1091"/>
      <c r="OXV41" s="1091"/>
      <c r="OXW41" s="1091"/>
      <c r="OXX41" s="1091"/>
      <c r="OXY41" s="1091"/>
      <c r="OXZ41" s="1091"/>
      <c r="OYA41" s="1091"/>
      <c r="OYB41" s="1091"/>
      <c r="OYC41" s="1091"/>
      <c r="OYD41" s="1091"/>
      <c r="OYE41" s="1091"/>
      <c r="OYF41" s="1091"/>
      <c r="OYG41" s="1091"/>
      <c r="OYH41" s="1091"/>
      <c r="OYI41" s="1091"/>
      <c r="OYJ41" s="1091"/>
      <c r="OYK41" s="1091"/>
      <c r="OYL41" s="1091"/>
      <c r="OYM41" s="1091"/>
      <c r="OYN41" s="1091"/>
      <c r="OYO41" s="1091"/>
      <c r="OYP41" s="1091"/>
      <c r="OYQ41" s="1091"/>
      <c r="OYR41" s="1091"/>
      <c r="OYS41" s="1091"/>
      <c r="OYT41" s="1091"/>
      <c r="OYU41" s="1091"/>
      <c r="OYV41" s="1091"/>
      <c r="OYW41" s="1091"/>
      <c r="OYX41" s="1091"/>
      <c r="OYY41" s="1091"/>
      <c r="OYZ41" s="1091"/>
      <c r="OZA41" s="1091"/>
      <c r="OZB41" s="1091"/>
      <c r="OZC41" s="1091"/>
      <c r="OZD41" s="1091"/>
      <c r="OZE41" s="1091"/>
      <c r="OZF41" s="1091"/>
      <c r="OZG41" s="1091"/>
      <c r="OZH41" s="1091"/>
      <c r="OZI41" s="1091"/>
      <c r="OZJ41" s="1091"/>
      <c r="OZK41" s="1091"/>
      <c r="OZL41" s="1091"/>
      <c r="OZM41" s="1091"/>
      <c r="OZN41" s="1091"/>
      <c r="OZO41" s="1091"/>
      <c r="OZP41" s="1091"/>
      <c r="OZQ41" s="1091"/>
      <c r="OZR41" s="1091"/>
      <c r="OZS41" s="1091"/>
      <c r="OZT41" s="1091"/>
      <c r="OZU41" s="1091"/>
      <c r="OZV41" s="1091"/>
      <c r="OZW41" s="1091"/>
      <c r="OZX41" s="1091"/>
      <c r="OZY41" s="1091"/>
      <c r="OZZ41" s="1091"/>
      <c r="PAA41" s="1091"/>
      <c r="PAB41" s="1091"/>
      <c r="PAC41" s="1091"/>
      <c r="PAD41" s="1091"/>
      <c r="PAE41" s="1091"/>
      <c r="PAF41" s="1091"/>
      <c r="PAG41" s="1091"/>
      <c r="PAH41" s="1091"/>
      <c r="PAI41" s="1091"/>
      <c r="PAJ41" s="1091"/>
      <c r="PAK41" s="1091"/>
      <c r="PAL41" s="1091"/>
      <c r="PAM41" s="1091"/>
      <c r="PAN41" s="1091"/>
      <c r="PAO41" s="1091"/>
      <c r="PAP41" s="1091"/>
      <c r="PAQ41" s="1091"/>
      <c r="PAR41" s="1091"/>
      <c r="PAS41" s="1091"/>
      <c r="PAT41" s="1091"/>
      <c r="PAU41" s="1091"/>
      <c r="PAV41" s="1091"/>
      <c r="PAW41" s="1091"/>
      <c r="PAX41" s="1091"/>
      <c r="PAY41" s="1091"/>
      <c r="PAZ41" s="1091"/>
      <c r="PBA41" s="1091"/>
      <c r="PBB41" s="1091"/>
      <c r="PBC41" s="1091"/>
      <c r="PBD41" s="1091"/>
      <c r="PBE41" s="1091"/>
      <c r="PBF41" s="1091"/>
      <c r="PBG41" s="1091"/>
      <c r="PBH41" s="1091"/>
      <c r="PBI41" s="1091"/>
      <c r="PBJ41" s="1091"/>
      <c r="PBK41" s="1091"/>
      <c r="PBL41" s="1091"/>
      <c r="PBM41" s="1091"/>
      <c r="PBN41" s="1091"/>
      <c r="PBO41" s="1091"/>
      <c r="PBP41" s="1091"/>
      <c r="PBQ41" s="1091"/>
      <c r="PBR41" s="1091"/>
      <c r="PBS41" s="1091"/>
      <c r="PBT41" s="1091"/>
      <c r="PBU41" s="1091"/>
      <c r="PBV41" s="1091"/>
      <c r="PBW41" s="1091"/>
      <c r="PBX41" s="1091"/>
      <c r="PBY41" s="1091"/>
      <c r="PBZ41" s="1091"/>
      <c r="PCA41" s="1091"/>
      <c r="PCB41" s="1091"/>
      <c r="PCC41" s="1091"/>
      <c r="PCD41" s="1091"/>
      <c r="PCE41" s="1091"/>
      <c r="PCF41" s="1091"/>
      <c r="PCG41" s="1091"/>
      <c r="PCH41" s="1091"/>
      <c r="PCI41" s="1091"/>
      <c r="PCJ41" s="1091"/>
      <c r="PCK41" s="1091"/>
      <c r="PCL41" s="1091"/>
      <c r="PCM41" s="1091"/>
      <c r="PCN41" s="1091"/>
      <c r="PCO41" s="1091"/>
      <c r="PCP41" s="1091"/>
      <c r="PCQ41" s="1091"/>
      <c r="PCR41" s="1091"/>
      <c r="PCS41" s="1091"/>
      <c r="PCT41" s="1091"/>
      <c r="PCU41" s="1091"/>
      <c r="PCV41" s="1091"/>
      <c r="PCW41" s="1091"/>
      <c r="PCX41" s="1091"/>
      <c r="PCY41" s="1091"/>
      <c r="PCZ41" s="1091"/>
      <c r="PDA41" s="1091"/>
      <c r="PDB41" s="1091"/>
      <c r="PDC41" s="1091"/>
      <c r="PDD41" s="1091"/>
      <c r="PDE41" s="1091"/>
      <c r="PDF41" s="1091"/>
      <c r="PDG41" s="1091"/>
      <c r="PDH41" s="1091"/>
      <c r="PDI41" s="1091"/>
      <c r="PDJ41" s="1091"/>
      <c r="PDK41" s="1091"/>
      <c r="PDL41" s="1091"/>
      <c r="PDM41" s="1091"/>
      <c r="PDN41" s="1091"/>
      <c r="PDO41" s="1091"/>
      <c r="PDP41" s="1091"/>
      <c r="PDQ41" s="1091"/>
      <c r="PDR41" s="1091"/>
      <c r="PDS41" s="1091"/>
      <c r="PDT41" s="1091"/>
      <c r="PDU41" s="1091"/>
      <c r="PDV41" s="1091"/>
      <c r="PDW41" s="1091"/>
      <c r="PDX41" s="1091"/>
      <c r="PDY41" s="1091"/>
      <c r="PDZ41" s="1091"/>
      <c r="PEA41" s="1091"/>
      <c r="PEB41" s="1091"/>
      <c r="PEC41" s="1091"/>
      <c r="PED41" s="1091"/>
      <c r="PEE41" s="1091"/>
      <c r="PEF41" s="1091"/>
      <c r="PEG41" s="1091"/>
      <c r="PEH41" s="1091"/>
      <c r="PEI41" s="1091"/>
      <c r="PEJ41" s="1091"/>
      <c r="PEK41" s="1091"/>
      <c r="PEL41" s="1091"/>
      <c r="PEM41" s="1091"/>
      <c r="PEN41" s="1091"/>
      <c r="PEO41" s="1091"/>
      <c r="PEP41" s="1091"/>
      <c r="PEQ41" s="1091"/>
      <c r="PER41" s="1091"/>
      <c r="PES41" s="1091"/>
      <c r="PET41" s="1091"/>
      <c r="PEU41" s="1091"/>
      <c r="PEV41" s="1091"/>
      <c r="PEW41" s="1091"/>
      <c r="PEX41" s="1091"/>
      <c r="PEY41" s="1091"/>
      <c r="PEZ41" s="1091"/>
      <c r="PFA41" s="1091"/>
      <c r="PFB41" s="1091"/>
      <c r="PFC41" s="1091"/>
      <c r="PFD41" s="1091"/>
      <c r="PFE41" s="1091"/>
      <c r="PFF41" s="1091"/>
      <c r="PFG41" s="1091"/>
      <c r="PFH41" s="1091"/>
      <c r="PFI41" s="1091"/>
      <c r="PFJ41" s="1091"/>
      <c r="PFK41" s="1091"/>
      <c r="PFL41" s="1091"/>
      <c r="PFM41" s="1091"/>
      <c r="PFN41" s="1091"/>
      <c r="PFO41" s="1091"/>
      <c r="PFP41" s="1091"/>
      <c r="PFQ41" s="1091"/>
      <c r="PFR41" s="1091"/>
      <c r="PFS41" s="1091"/>
      <c r="PFT41" s="1091"/>
      <c r="PFU41" s="1091"/>
      <c r="PFV41" s="1091"/>
      <c r="PFW41" s="1091"/>
      <c r="PFX41" s="1091"/>
      <c r="PFY41" s="1091"/>
      <c r="PFZ41" s="1091"/>
      <c r="PGA41" s="1091"/>
      <c r="PGB41" s="1091"/>
      <c r="PGC41" s="1091"/>
      <c r="PGD41" s="1091"/>
      <c r="PGE41" s="1091"/>
      <c r="PGF41" s="1091"/>
      <c r="PGG41" s="1091"/>
      <c r="PGH41" s="1091"/>
      <c r="PGI41" s="1091"/>
      <c r="PGJ41" s="1091"/>
      <c r="PGK41" s="1091"/>
      <c r="PGL41" s="1091"/>
      <c r="PGM41" s="1091"/>
      <c r="PGN41" s="1091"/>
      <c r="PGO41" s="1091"/>
      <c r="PGP41" s="1091"/>
      <c r="PGQ41" s="1091"/>
      <c r="PGR41" s="1091"/>
      <c r="PGS41" s="1091"/>
      <c r="PGT41" s="1091"/>
      <c r="PGU41" s="1091"/>
      <c r="PGV41" s="1091"/>
      <c r="PGW41" s="1091"/>
      <c r="PGX41" s="1091"/>
      <c r="PGY41" s="1091"/>
      <c r="PGZ41" s="1091"/>
      <c r="PHA41" s="1091"/>
      <c r="PHB41" s="1091"/>
      <c r="PHC41" s="1091"/>
      <c r="PHD41" s="1091"/>
      <c r="PHE41" s="1091"/>
      <c r="PHF41" s="1091"/>
      <c r="PHG41" s="1091"/>
      <c r="PHH41" s="1091"/>
      <c r="PHI41" s="1091"/>
      <c r="PHJ41" s="1091"/>
      <c r="PHK41" s="1091"/>
      <c r="PHL41" s="1091"/>
      <c r="PHM41" s="1091"/>
      <c r="PHN41" s="1091"/>
      <c r="PHO41" s="1091"/>
      <c r="PHP41" s="1091"/>
      <c r="PHQ41" s="1091"/>
      <c r="PHR41" s="1091"/>
      <c r="PHS41" s="1091"/>
      <c r="PHT41" s="1091"/>
      <c r="PHU41" s="1091"/>
      <c r="PHV41" s="1091"/>
      <c r="PHW41" s="1091"/>
      <c r="PHX41" s="1091"/>
      <c r="PHY41" s="1091"/>
      <c r="PHZ41" s="1091"/>
      <c r="PIA41" s="1091"/>
      <c r="PIB41" s="1091"/>
      <c r="PIC41" s="1091"/>
      <c r="PID41" s="1091"/>
      <c r="PIE41" s="1091"/>
      <c r="PIF41" s="1091"/>
      <c r="PIG41" s="1091"/>
      <c r="PIH41" s="1091"/>
      <c r="PII41" s="1091"/>
      <c r="PIJ41" s="1091"/>
      <c r="PIK41" s="1091"/>
      <c r="PIL41" s="1091"/>
      <c r="PIM41" s="1091"/>
      <c r="PIN41" s="1091"/>
      <c r="PIO41" s="1091"/>
      <c r="PIP41" s="1091"/>
      <c r="PIQ41" s="1091"/>
      <c r="PIR41" s="1091"/>
      <c r="PIS41" s="1091"/>
      <c r="PIT41" s="1091"/>
      <c r="PIU41" s="1091"/>
      <c r="PIV41" s="1091"/>
      <c r="PIW41" s="1091"/>
      <c r="PIX41" s="1091"/>
      <c r="PIY41" s="1091"/>
      <c r="PIZ41" s="1091"/>
      <c r="PJA41" s="1091"/>
      <c r="PJB41" s="1091"/>
      <c r="PJC41" s="1091"/>
      <c r="PJD41" s="1091"/>
      <c r="PJE41" s="1091"/>
      <c r="PJF41" s="1091"/>
      <c r="PJG41" s="1091"/>
      <c r="PJH41" s="1091"/>
      <c r="PJI41" s="1091"/>
      <c r="PJJ41" s="1091"/>
      <c r="PJK41" s="1091"/>
      <c r="PJL41" s="1091"/>
      <c r="PJM41" s="1091"/>
      <c r="PJN41" s="1091"/>
      <c r="PJO41" s="1091"/>
      <c r="PJP41" s="1091"/>
      <c r="PJQ41" s="1091"/>
      <c r="PJR41" s="1091"/>
      <c r="PJS41" s="1091"/>
      <c r="PJT41" s="1091"/>
      <c r="PJU41" s="1091"/>
      <c r="PJV41" s="1091"/>
      <c r="PJW41" s="1091"/>
      <c r="PJX41" s="1091"/>
      <c r="PJY41" s="1091"/>
      <c r="PJZ41" s="1091"/>
      <c r="PKA41" s="1091"/>
      <c r="PKB41" s="1091"/>
      <c r="PKC41" s="1091"/>
      <c r="PKD41" s="1091"/>
      <c r="PKE41" s="1091"/>
      <c r="PKF41" s="1091"/>
      <c r="PKG41" s="1091"/>
      <c r="PKH41" s="1091"/>
      <c r="PKI41" s="1091"/>
      <c r="PKJ41" s="1091"/>
      <c r="PKK41" s="1091"/>
      <c r="PKL41" s="1091"/>
      <c r="PKM41" s="1091"/>
      <c r="PKN41" s="1091"/>
      <c r="PKO41" s="1091"/>
      <c r="PKP41" s="1091"/>
      <c r="PKQ41" s="1091"/>
      <c r="PKR41" s="1091"/>
      <c r="PKS41" s="1091"/>
      <c r="PKT41" s="1091"/>
      <c r="PKU41" s="1091"/>
      <c r="PKV41" s="1091"/>
      <c r="PKW41" s="1091"/>
      <c r="PKX41" s="1091"/>
      <c r="PKY41" s="1091"/>
      <c r="PKZ41" s="1091"/>
      <c r="PLA41" s="1091"/>
      <c r="PLB41" s="1091"/>
      <c r="PLC41" s="1091"/>
      <c r="PLD41" s="1091"/>
      <c r="PLE41" s="1091"/>
      <c r="PLF41" s="1091"/>
      <c r="PLG41" s="1091"/>
      <c r="PLH41" s="1091"/>
      <c r="PLI41" s="1091"/>
      <c r="PLJ41" s="1091"/>
      <c r="PLK41" s="1091"/>
      <c r="PLL41" s="1091"/>
      <c r="PLM41" s="1091"/>
      <c r="PLN41" s="1091"/>
      <c r="PLO41" s="1091"/>
      <c r="PLP41" s="1091"/>
      <c r="PLQ41" s="1091"/>
      <c r="PLR41" s="1091"/>
      <c r="PLS41" s="1091"/>
      <c r="PLT41" s="1091"/>
      <c r="PLU41" s="1091"/>
      <c r="PLV41" s="1091"/>
      <c r="PLW41" s="1091"/>
      <c r="PLX41" s="1091"/>
      <c r="PLY41" s="1091"/>
      <c r="PLZ41" s="1091"/>
      <c r="PMA41" s="1091"/>
      <c r="PMB41" s="1091"/>
      <c r="PMC41" s="1091"/>
      <c r="PMD41" s="1091"/>
      <c r="PME41" s="1091"/>
      <c r="PMF41" s="1091"/>
      <c r="PMG41" s="1091"/>
      <c r="PMH41" s="1091"/>
      <c r="PMI41" s="1091"/>
      <c r="PMJ41" s="1091"/>
      <c r="PMK41" s="1091"/>
      <c r="PML41" s="1091"/>
      <c r="PMM41" s="1091"/>
      <c r="PMN41" s="1091"/>
      <c r="PMO41" s="1091"/>
      <c r="PMP41" s="1091"/>
      <c r="PMQ41" s="1091"/>
      <c r="PMR41" s="1091"/>
      <c r="PMS41" s="1091"/>
      <c r="PMT41" s="1091"/>
      <c r="PMU41" s="1091"/>
      <c r="PMV41" s="1091"/>
      <c r="PMW41" s="1091"/>
      <c r="PMX41" s="1091"/>
      <c r="PMY41" s="1091"/>
      <c r="PMZ41" s="1091"/>
      <c r="PNA41" s="1091"/>
      <c r="PNB41" s="1091"/>
      <c r="PNC41" s="1091"/>
      <c r="PND41" s="1091"/>
      <c r="PNE41" s="1091"/>
      <c r="PNF41" s="1091"/>
      <c r="PNG41" s="1091"/>
      <c r="PNH41" s="1091"/>
      <c r="PNI41" s="1091"/>
      <c r="PNJ41" s="1091"/>
      <c r="PNK41" s="1091"/>
      <c r="PNL41" s="1091"/>
      <c r="PNM41" s="1091"/>
      <c r="PNN41" s="1091"/>
      <c r="PNO41" s="1091"/>
      <c r="PNP41" s="1091"/>
      <c r="PNQ41" s="1091"/>
      <c r="PNR41" s="1091"/>
      <c r="PNS41" s="1091"/>
      <c r="PNT41" s="1091"/>
      <c r="PNU41" s="1091"/>
      <c r="PNV41" s="1091"/>
      <c r="PNW41" s="1091"/>
      <c r="PNX41" s="1091"/>
      <c r="PNY41" s="1091"/>
      <c r="PNZ41" s="1091"/>
      <c r="POA41" s="1091"/>
      <c r="POB41" s="1091"/>
      <c r="POC41" s="1091"/>
      <c r="POD41" s="1091"/>
      <c r="POE41" s="1091"/>
      <c r="POF41" s="1091"/>
      <c r="POG41" s="1091"/>
      <c r="POH41" s="1091"/>
      <c r="POI41" s="1091"/>
      <c r="POJ41" s="1091"/>
      <c r="POK41" s="1091"/>
      <c r="POL41" s="1091"/>
      <c r="POM41" s="1091"/>
      <c r="PON41" s="1091"/>
      <c r="POO41" s="1091"/>
      <c r="POP41" s="1091"/>
      <c r="POQ41" s="1091"/>
      <c r="POR41" s="1091"/>
      <c r="POS41" s="1091"/>
      <c r="POT41" s="1091"/>
      <c r="POU41" s="1091"/>
      <c r="POV41" s="1091"/>
      <c r="POW41" s="1091"/>
      <c r="POX41" s="1091"/>
      <c r="POY41" s="1091"/>
      <c r="POZ41" s="1091"/>
      <c r="PPA41" s="1091"/>
      <c r="PPB41" s="1091"/>
      <c r="PPC41" s="1091"/>
      <c r="PPD41" s="1091"/>
      <c r="PPE41" s="1091"/>
      <c r="PPF41" s="1091"/>
      <c r="PPG41" s="1091"/>
      <c r="PPH41" s="1091"/>
      <c r="PPI41" s="1091"/>
      <c r="PPJ41" s="1091"/>
      <c r="PPK41" s="1091"/>
      <c r="PPL41" s="1091"/>
      <c r="PPM41" s="1091"/>
      <c r="PPN41" s="1091"/>
      <c r="PPO41" s="1091"/>
      <c r="PPP41" s="1091"/>
      <c r="PPQ41" s="1091"/>
      <c r="PPR41" s="1091"/>
      <c r="PPS41" s="1091"/>
      <c r="PPT41" s="1091"/>
      <c r="PPU41" s="1091"/>
      <c r="PPV41" s="1091"/>
      <c r="PPW41" s="1091"/>
      <c r="PPX41" s="1091"/>
      <c r="PPY41" s="1091"/>
      <c r="PPZ41" s="1091"/>
      <c r="PQA41" s="1091"/>
      <c r="PQB41" s="1091"/>
      <c r="PQC41" s="1091"/>
      <c r="PQD41" s="1091"/>
      <c r="PQE41" s="1091"/>
      <c r="PQF41" s="1091"/>
      <c r="PQG41" s="1091"/>
      <c r="PQH41" s="1091"/>
      <c r="PQI41" s="1091"/>
      <c r="PQJ41" s="1091"/>
      <c r="PQK41" s="1091"/>
      <c r="PQL41" s="1091"/>
      <c r="PQM41" s="1091"/>
      <c r="PQN41" s="1091"/>
      <c r="PQO41" s="1091"/>
      <c r="PQP41" s="1091"/>
      <c r="PQQ41" s="1091"/>
      <c r="PQR41" s="1091"/>
      <c r="PQS41" s="1091"/>
      <c r="PQT41" s="1091"/>
      <c r="PQU41" s="1091"/>
      <c r="PQV41" s="1091"/>
      <c r="PQW41" s="1091"/>
      <c r="PQX41" s="1091"/>
      <c r="PQY41" s="1091"/>
      <c r="PQZ41" s="1091"/>
      <c r="PRA41" s="1091"/>
      <c r="PRB41" s="1091"/>
      <c r="PRC41" s="1091"/>
      <c r="PRD41" s="1091"/>
      <c r="PRE41" s="1091"/>
      <c r="PRF41" s="1091"/>
      <c r="PRG41" s="1091"/>
      <c r="PRH41" s="1091"/>
      <c r="PRI41" s="1091"/>
      <c r="PRJ41" s="1091"/>
      <c r="PRK41" s="1091"/>
      <c r="PRL41" s="1091"/>
      <c r="PRM41" s="1091"/>
      <c r="PRN41" s="1091"/>
      <c r="PRO41" s="1091"/>
      <c r="PRP41" s="1091"/>
      <c r="PRQ41" s="1091"/>
      <c r="PRR41" s="1091"/>
      <c r="PRS41" s="1091"/>
      <c r="PRT41" s="1091"/>
      <c r="PRU41" s="1091"/>
      <c r="PRV41" s="1091"/>
      <c r="PRW41" s="1091"/>
      <c r="PRX41" s="1091"/>
      <c r="PRY41" s="1091"/>
      <c r="PRZ41" s="1091"/>
      <c r="PSA41" s="1091"/>
      <c r="PSB41" s="1091"/>
      <c r="PSC41" s="1091"/>
      <c r="PSD41" s="1091"/>
      <c r="PSE41" s="1091"/>
      <c r="PSF41" s="1091"/>
      <c r="PSG41" s="1091"/>
      <c r="PSH41" s="1091"/>
      <c r="PSI41" s="1091"/>
      <c r="PSJ41" s="1091"/>
      <c r="PSK41" s="1091"/>
      <c r="PSL41" s="1091"/>
      <c r="PSM41" s="1091"/>
      <c r="PSN41" s="1091"/>
      <c r="PSO41" s="1091"/>
      <c r="PSP41" s="1091"/>
      <c r="PSQ41" s="1091"/>
      <c r="PSR41" s="1091"/>
      <c r="PSS41" s="1091"/>
      <c r="PST41" s="1091"/>
      <c r="PSU41" s="1091"/>
      <c r="PSV41" s="1091"/>
      <c r="PSW41" s="1091"/>
      <c r="PSX41" s="1091"/>
      <c r="PSY41" s="1091"/>
      <c r="PSZ41" s="1091"/>
      <c r="PTA41" s="1091"/>
      <c r="PTB41" s="1091"/>
      <c r="PTC41" s="1091"/>
      <c r="PTD41" s="1091"/>
      <c r="PTE41" s="1091"/>
      <c r="PTF41" s="1091"/>
      <c r="PTG41" s="1091"/>
      <c r="PTH41" s="1091"/>
      <c r="PTI41" s="1091"/>
      <c r="PTJ41" s="1091"/>
      <c r="PTK41" s="1091"/>
      <c r="PTL41" s="1091"/>
      <c r="PTM41" s="1091"/>
      <c r="PTN41" s="1091"/>
      <c r="PTO41" s="1091"/>
      <c r="PTP41" s="1091"/>
      <c r="PTQ41" s="1091"/>
      <c r="PTR41" s="1091"/>
      <c r="PTS41" s="1091"/>
      <c r="PTT41" s="1091"/>
      <c r="PTU41" s="1091"/>
      <c r="PTV41" s="1091"/>
      <c r="PTW41" s="1091"/>
      <c r="PTX41" s="1091"/>
      <c r="PTY41" s="1091"/>
      <c r="PTZ41" s="1091"/>
      <c r="PUA41" s="1091"/>
      <c r="PUB41" s="1091"/>
      <c r="PUC41" s="1091"/>
      <c r="PUD41" s="1091"/>
      <c r="PUE41" s="1091"/>
      <c r="PUF41" s="1091"/>
      <c r="PUG41" s="1091"/>
      <c r="PUH41" s="1091"/>
      <c r="PUI41" s="1091"/>
      <c r="PUJ41" s="1091"/>
      <c r="PUK41" s="1091"/>
      <c r="PUL41" s="1091"/>
      <c r="PUM41" s="1091"/>
      <c r="PUN41" s="1091"/>
      <c r="PUO41" s="1091"/>
      <c r="PUP41" s="1091"/>
      <c r="PUQ41" s="1091"/>
      <c r="PUR41" s="1091"/>
      <c r="PUS41" s="1091"/>
      <c r="PUT41" s="1091"/>
      <c r="PUU41" s="1091"/>
      <c r="PUV41" s="1091"/>
      <c r="PUW41" s="1091"/>
      <c r="PUX41" s="1091"/>
      <c r="PUY41" s="1091"/>
      <c r="PUZ41" s="1091"/>
      <c r="PVA41" s="1091"/>
      <c r="PVB41" s="1091"/>
      <c r="PVC41" s="1091"/>
      <c r="PVD41" s="1091"/>
      <c r="PVE41" s="1091"/>
      <c r="PVF41" s="1091"/>
      <c r="PVG41" s="1091"/>
      <c r="PVH41" s="1091"/>
      <c r="PVI41" s="1091"/>
      <c r="PVJ41" s="1091"/>
      <c r="PVK41" s="1091"/>
      <c r="PVL41" s="1091"/>
      <c r="PVM41" s="1091"/>
      <c r="PVN41" s="1091"/>
      <c r="PVO41" s="1091"/>
      <c r="PVP41" s="1091"/>
      <c r="PVQ41" s="1091"/>
      <c r="PVR41" s="1091"/>
      <c r="PVS41" s="1091"/>
      <c r="PVT41" s="1091"/>
      <c r="PVU41" s="1091"/>
      <c r="PVV41" s="1091"/>
      <c r="PVW41" s="1091"/>
      <c r="PVX41" s="1091"/>
      <c r="PVY41" s="1091"/>
      <c r="PVZ41" s="1091"/>
      <c r="PWA41" s="1091"/>
      <c r="PWB41" s="1091"/>
      <c r="PWC41" s="1091"/>
      <c r="PWD41" s="1091"/>
      <c r="PWE41" s="1091"/>
      <c r="PWF41" s="1091"/>
      <c r="PWG41" s="1091"/>
      <c r="PWH41" s="1091"/>
      <c r="PWI41" s="1091"/>
      <c r="PWJ41" s="1091"/>
      <c r="PWK41" s="1091"/>
      <c r="PWL41" s="1091"/>
      <c r="PWM41" s="1091"/>
      <c r="PWN41" s="1091"/>
      <c r="PWO41" s="1091"/>
      <c r="PWP41" s="1091"/>
      <c r="PWQ41" s="1091"/>
      <c r="PWR41" s="1091"/>
      <c r="PWS41" s="1091"/>
      <c r="PWT41" s="1091"/>
      <c r="PWU41" s="1091"/>
      <c r="PWV41" s="1091"/>
      <c r="PWW41" s="1091"/>
      <c r="PWX41" s="1091"/>
      <c r="PWY41" s="1091"/>
      <c r="PWZ41" s="1091"/>
      <c r="PXA41" s="1091"/>
      <c r="PXB41" s="1091"/>
      <c r="PXC41" s="1091"/>
      <c r="PXD41" s="1091"/>
      <c r="PXE41" s="1091"/>
      <c r="PXF41" s="1091"/>
      <c r="PXG41" s="1091"/>
      <c r="PXH41" s="1091"/>
      <c r="PXI41" s="1091"/>
      <c r="PXJ41" s="1091"/>
      <c r="PXK41" s="1091"/>
      <c r="PXL41" s="1091"/>
      <c r="PXM41" s="1091"/>
      <c r="PXN41" s="1091"/>
      <c r="PXO41" s="1091"/>
      <c r="PXP41" s="1091"/>
      <c r="PXQ41" s="1091"/>
      <c r="PXR41" s="1091"/>
      <c r="PXS41" s="1091"/>
      <c r="PXT41" s="1091"/>
      <c r="PXU41" s="1091"/>
      <c r="PXV41" s="1091"/>
      <c r="PXW41" s="1091"/>
      <c r="PXX41" s="1091"/>
      <c r="PXY41" s="1091"/>
      <c r="PXZ41" s="1091"/>
      <c r="PYA41" s="1091"/>
      <c r="PYB41" s="1091"/>
      <c r="PYC41" s="1091"/>
      <c r="PYD41" s="1091"/>
      <c r="PYE41" s="1091"/>
      <c r="PYF41" s="1091"/>
      <c r="PYG41" s="1091"/>
      <c r="PYH41" s="1091"/>
      <c r="PYI41" s="1091"/>
      <c r="PYJ41" s="1091"/>
      <c r="PYK41" s="1091"/>
      <c r="PYL41" s="1091"/>
      <c r="PYM41" s="1091"/>
      <c r="PYN41" s="1091"/>
      <c r="PYO41" s="1091"/>
      <c r="PYP41" s="1091"/>
      <c r="PYQ41" s="1091"/>
      <c r="PYR41" s="1091"/>
      <c r="PYS41" s="1091"/>
      <c r="PYT41" s="1091"/>
      <c r="PYU41" s="1091"/>
      <c r="PYV41" s="1091"/>
      <c r="PYW41" s="1091"/>
      <c r="PYX41" s="1091"/>
      <c r="PYY41" s="1091"/>
      <c r="PYZ41" s="1091"/>
      <c r="PZA41" s="1091"/>
      <c r="PZB41" s="1091"/>
      <c r="PZC41" s="1091"/>
      <c r="PZD41" s="1091"/>
      <c r="PZE41" s="1091"/>
      <c r="PZF41" s="1091"/>
      <c r="PZG41" s="1091"/>
      <c r="PZH41" s="1091"/>
      <c r="PZI41" s="1091"/>
      <c r="PZJ41" s="1091"/>
      <c r="PZK41" s="1091"/>
      <c r="PZL41" s="1091"/>
      <c r="PZM41" s="1091"/>
      <c r="PZN41" s="1091"/>
      <c r="PZO41" s="1091"/>
      <c r="PZP41" s="1091"/>
      <c r="PZQ41" s="1091"/>
      <c r="PZR41" s="1091"/>
      <c r="PZS41" s="1091"/>
      <c r="PZT41" s="1091"/>
      <c r="PZU41" s="1091"/>
      <c r="PZV41" s="1091"/>
      <c r="PZW41" s="1091"/>
      <c r="PZX41" s="1091"/>
      <c r="PZY41" s="1091"/>
      <c r="PZZ41" s="1091"/>
      <c r="QAA41" s="1091"/>
      <c r="QAB41" s="1091"/>
      <c r="QAC41" s="1091"/>
      <c r="QAD41" s="1091"/>
      <c r="QAE41" s="1091"/>
      <c r="QAF41" s="1091"/>
      <c r="QAG41" s="1091"/>
      <c r="QAH41" s="1091"/>
      <c r="QAI41" s="1091"/>
      <c r="QAJ41" s="1091"/>
      <c r="QAK41" s="1091"/>
      <c r="QAL41" s="1091"/>
      <c r="QAM41" s="1091"/>
      <c r="QAN41" s="1091"/>
      <c r="QAO41" s="1091"/>
      <c r="QAP41" s="1091"/>
      <c r="QAQ41" s="1091"/>
      <c r="QAR41" s="1091"/>
      <c r="QAS41" s="1091"/>
      <c r="QAT41" s="1091"/>
      <c r="QAU41" s="1091"/>
      <c r="QAV41" s="1091"/>
      <c r="QAW41" s="1091"/>
      <c r="QAX41" s="1091"/>
      <c r="QAY41" s="1091"/>
      <c r="QAZ41" s="1091"/>
      <c r="QBA41" s="1091"/>
      <c r="QBB41" s="1091"/>
      <c r="QBC41" s="1091"/>
      <c r="QBD41" s="1091"/>
      <c r="QBE41" s="1091"/>
      <c r="QBF41" s="1091"/>
      <c r="QBG41" s="1091"/>
      <c r="QBH41" s="1091"/>
      <c r="QBI41" s="1091"/>
      <c r="QBJ41" s="1091"/>
      <c r="QBK41" s="1091"/>
      <c r="QBL41" s="1091"/>
      <c r="QBM41" s="1091"/>
      <c r="QBN41" s="1091"/>
      <c r="QBO41" s="1091"/>
      <c r="QBP41" s="1091"/>
      <c r="QBQ41" s="1091"/>
      <c r="QBR41" s="1091"/>
      <c r="QBS41" s="1091"/>
      <c r="QBT41" s="1091"/>
      <c r="QBU41" s="1091"/>
      <c r="QBV41" s="1091"/>
      <c r="QBW41" s="1091"/>
      <c r="QBX41" s="1091"/>
      <c r="QBY41" s="1091"/>
      <c r="QBZ41" s="1091"/>
      <c r="QCA41" s="1091"/>
      <c r="QCB41" s="1091"/>
      <c r="QCC41" s="1091"/>
      <c r="QCD41" s="1091"/>
      <c r="QCE41" s="1091"/>
      <c r="QCF41" s="1091"/>
      <c r="QCG41" s="1091"/>
      <c r="QCH41" s="1091"/>
      <c r="QCI41" s="1091"/>
      <c r="QCJ41" s="1091"/>
      <c r="QCK41" s="1091"/>
      <c r="QCL41" s="1091"/>
      <c r="QCM41" s="1091"/>
      <c r="QCN41" s="1091"/>
      <c r="QCO41" s="1091"/>
      <c r="QCP41" s="1091"/>
      <c r="QCQ41" s="1091"/>
      <c r="QCR41" s="1091"/>
      <c r="QCS41" s="1091"/>
      <c r="QCT41" s="1091"/>
      <c r="QCU41" s="1091"/>
      <c r="QCV41" s="1091"/>
      <c r="QCW41" s="1091"/>
      <c r="QCX41" s="1091"/>
      <c r="QCY41" s="1091"/>
      <c r="QCZ41" s="1091"/>
      <c r="QDA41" s="1091"/>
      <c r="QDB41" s="1091"/>
      <c r="QDC41" s="1091"/>
      <c r="QDD41" s="1091"/>
      <c r="QDE41" s="1091"/>
      <c r="QDF41" s="1091"/>
      <c r="QDG41" s="1091"/>
      <c r="QDH41" s="1091"/>
      <c r="QDI41" s="1091"/>
      <c r="QDJ41" s="1091"/>
      <c r="QDK41" s="1091"/>
      <c r="QDL41" s="1091"/>
      <c r="QDM41" s="1091"/>
      <c r="QDN41" s="1091"/>
      <c r="QDO41" s="1091"/>
      <c r="QDP41" s="1091"/>
      <c r="QDQ41" s="1091"/>
      <c r="QDR41" s="1091"/>
      <c r="QDS41" s="1091"/>
      <c r="QDT41" s="1091"/>
      <c r="QDU41" s="1091"/>
      <c r="QDV41" s="1091"/>
      <c r="QDW41" s="1091"/>
      <c r="QDX41" s="1091"/>
      <c r="QDY41" s="1091"/>
      <c r="QDZ41" s="1091"/>
      <c r="QEA41" s="1091"/>
      <c r="QEB41" s="1091"/>
      <c r="QEC41" s="1091"/>
      <c r="QED41" s="1091"/>
      <c r="QEE41" s="1091"/>
      <c r="QEF41" s="1091"/>
      <c r="QEG41" s="1091"/>
      <c r="QEH41" s="1091"/>
      <c r="QEI41" s="1091"/>
      <c r="QEJ41" s="1091"/>
      <c r="QEK41" s="1091"/>
      <c r="QEL41" s="1091"/>
      <c r="QEM41" s="1091"/>
      <c r="QEN41" s="1091"/>
      <c r="QEO41" s="1091"/>
      <c r="QEP41" s="1091"/>
      <c r="QEQ41" s="1091"/>
      <c r="QER41" s="1091"/>
      <c r="QES41" s="1091"/>
      <c r="QET41" s="1091"/>
      <c r="QEU41" s="1091"/>
      <c r="QEV41" s="1091"/>
      <c r="QEW41" s="1091"/>
      <c r="QEX41" s="1091"/>
      <c r="QEY41" s="1091"/>
      <c r="QEZ41" s="1091"/>
      <c r="QFA41" s="1091"/>
      <c r="QFB41" s="1091"/>
      <c r="QFC41" s="1091"/>
      <c r="QFD41" s="1091"/>
      <c r="QFE41" s="1091"/>
      <c r="QFF41" s="1091"/>
      <c r="QFG41" s="1091"/>
      <c r="QFH41" s="1091"/>
      <c r="QFI41" s="1091"/>
      <c r="QFJ41" s="1091"/>
      <c r="QFK41" s="1091"/>
      <c r="QFL41" s="1091"/>
      <c r="QFM41" s="1091"/>
      <c r="QFN41" s="1091"/>
      <c r="QFO41" s="1091"/>
      <c r="QFP41" s="1091"/>
      <c r="QFQ41" s="1091"/>
      <c r="QFR41" s="1091"/>
      <c r="QFS41" s="1091"/>
      <c r="QFT41" s="1091"/>
      <c r="QFU41" s="1091"/>
      <c r="QFV41" s="1091"/>
      <c r="QFW41" s="1091"/>
      <c r="QFX41" s="1091"/>
      <c r="QFY41" s="1091"/>
      <c r="QFZ41" s="1091"/>
      <c r="QGA41" s="1091"/>
      <c r="QGB41" s="1091"/>
      <c r="QGC41" s="1091"/>
      <c r="QGD41" s="1091"/>
      <c r="QGE41" s="1091"/>
      <c r="QGF41" s="1091"/>
      <c r="QGG41" s="1091"/>
      <c r="QGH41" s="1091"/>
      <c r="QGI41" s="1091"/>
      <c r="QGJ41" s="1091"/>
      <c r="QGK41" s="1091"/>
      <c r="QGL41" s="1091"/>
      <c r="QGM41" s="1091"/>
      <c r="QGN41" s="1091"/>
      <c r="QGO41" s="1091"/>
      <c r="QGP41" s="1091"/>
      <c r="QGQ41" s="1091"/>
      <c r="QGR41" s="1091"/>
      <c r="QGS41" s="1091"/>
      <c r="QGT41" s="1091"/>
      <c r="QGU41" s="1091"/>
      <c r="QGV41" s="1091"/>
      <c r="QGW41" s="1091"/>
      <c r="QGX41" s="1091"/>
      <c r="QGY41" s="1091"/>
      <c r="QGZ41" s="1091"/>
      <c r="QHA41" s="1091"/>
      <c r="QHB41" s="1091"/>
      <c r="QHC41" s="1091"/>
      <c r="QHD41" s="1091"/>
      <c r="QHE41" s="1091"/>
      <c r="QHF41" s="1091"/>
      <c r="QHG41" s="1091"/>
      <c r="QHH41" s="1091"/>
      <c r="QHI41" s="1091"/>
      <c r="QHJ41" s="1091"/>
      <c r="QHK41" s="1091"/>
      <c r="QHL41" s="1091"/>
      <c r="QHM41" s="1091"/>
      <c r="QHN41" s="1091"/>
      <c r="QHO41" s="1091"/>
      <c r="QHP41" s="1091"/>
      <c r="QHQ41" s="1091"/>
      <c r="QHR41" s="1091"/>
      <c r="QHS41" s="1091"/>
      <c r="QHT41" s="1091"/>
      <c r="QHU41" s="1091"/>
      <c r="QHV41" s="1091"/>
      <c r="QHW41" s="1091"/>
      <c r="QHX41" s="1091"/>
      <c r="QHY41" s="1091"/>
      <c r="QHZ41" s="1091"/>
      <c r="QIA41" s="1091"/>
      <c r="QIB41" s="1091"/>
      <c r="QIC41" s="1091"/>
      <c r="QID41" s="1091"/>
      <c r="QIE41" s="1091"/>
      <c r="QIF41" s="1091"/>
      <c r="QIG41" s="1091"/>
      <c r="QIH41" s="1091"/>
      <c r="QII41" s="1091"/>
      <c r="QIJ41" s="1091"/>
      <c r="QIK41" s="1091"/>
      <c r="QIL41" s="1091"/>
      <c r="QIM41" s="1091"/>
      <c r="QIN41" s="1091"/>
      <c r="QIO41" s="1091"/>
      <c r="QIP41" s="1091"/>
      <c r="QIQ41" s="1091"/>
      <c r="QIR41" s="1091"/>
      <c r="QIS41" s="1091"/>
      <c r="QIT41" s="1091"/>
      <c r="QIU41" s="1091"/>
      <c r="QIV41" s="1091"/>
      <c r="QIW41" s="1091"/>
      <c r="QIX41" s="1091"/>
      <c r="QIY41" s="1091"/>
      <c r="QIZ41" s="1091"/>
      <c r="QJA41" s="1091"/>
      <c r="QJB41" s="1091"/>
      <c r="QJC41" s="1091"/>
      <c r="QJD41" s="1091"/>
      <c r="QJE41" s="1091"/>
      <c r="QJF41" s="1091"/>
      <c r="QJG41" s="1091"/>
      <c r="QJH41" s="1091"/>
      <c r="QJI41" s="1091"/>
      <c r="QJJ41" s="1091"/>
      <c r="QJK41" s="1091"/>
      <c r="QJL41" s="1091"/>
      <c r="QJM41" s="1091"/>
      <c r="QJN41" s="1091"/>
      <c r="QJO41" s="1091"/>
      <c r="QJP41" s="1091"/>
      <c r="QJQ41" s="1091"/>
      <c r="QJR41" s="1091"/>
      <c r="QJS41" s="1091"/>
      <c r="QJT41" s="1091"/>
      <c r="QJU41" s="1091"/>
      <c r="QJV41" s="1091"/>
      <c r="QJW41" s="1091"/>
      <c r="QJX41" s="1091"/>
      <c r="QJY41" s="1091"/>
      <c r="QJZ41" s="1091"/>
      <c r="QKA41" s="1091"/>
      <c r="QKB41" s="1091"/>
      <c r="QKC41" s="1091"/>
      <c r="QKD41" s="1091"/>
      <c r="QKE41" s="1091"/>
      <c r="QKF41" s="1091"/>
      <c r="QKG41" s="1091"/>
      <c r="QKH41" s="1091"/>
      <c r="QKI41" s="1091"/>
      <c r="QKJ41" s="1091"/>
      <c r="QKK41" s="1091"/>
      <c r="QKL41" s="1091"/>
      <c r="QKM41" s="1091"/>
      <c r="QKN41" s="1091"/>
      <c r="QKO41" s="1091"/>
      <c r="QKP41" s="1091"/>
      <c r="QKQ41" s="1091"/>
      <c r="QKR41" s="1091"/>
      <c r="QKS41" s="1091"/>
      <c r="QKT41" s="1091"/>
      <c r="QKU41" s="1091"/>
      <c r="QKV41" s="1091"/>
      <c r="QKW41" s="1091"/>
      <c r="QKX41" s="1091"/>
      <c r="QKY41" s="1091"/>
      <c r="QKZ41" s="1091"/>
      <c r="QLA41" s="1091"/>
      <c r="QLB41" s="1091"/>
      <c r="QLC41" s="1091"/>
      <c r="QLD41" s="1091"/>
      <c r="QLE41" s="1091"/>
      <c r="QLF41" s="1091"/>
      <c r="QLG41" s="1091"/>
      <c r="QLH41" s="1091"/>
      <c r="QLI41" s="1091"/>
      <c r="QLJ41" s="1091"/>
      <c r="QLK41" s="1091"/>
      <c r="QLL41" s="1091"/>
      <c r="QLM41" s="1091"/>
      <c r="QLN41" s="1091"/>
      <c r="QLO41" s="1091"/>
      <c r="QLP41" s="1091"/>
      <c r="QLQ41" s="1091"/>
      <c r="QLR41" s="1091"/>
      <c r="QLS41" s="1091"/>
      <c r="QLT41" s="1091"/>
      <c r="QLU41" s="1091"/>
      <c r="QLV41" s="1091"/>
      <c r="QLW41" s="1091"/>
      <c r="QLX41" s="1091"/>
      <c r="QLY41" s="1091"/>
      <c r="QLZ41" s="1091"/>
      <c r="QMA41" s="1091"/>
      <c r="QMB41" s="1091"/>
      <c r="QMC41" s="1091"/>
      <c r="QMD41" s="1091"/>
      <c r="QME41" s="1091"/>
      <c r="QMF41" s="1091"/>
      <c r="QMG41" s="1091"/>
      <c r="QMH41" s="1091"/>
      <c r="QMI41" s="1091"/>
      <c r="QMJ41" s="1091"/>
      <c r="QMK41" s="1091"/>
      <c r="QML41" s="1091"/>
      <c r="QMM41" s="1091"/>
      <c r="QMN41" s="1091"/>
      <c r="QMO41" s="1091"/>
      <c r="QMP41" s="1091"/>
      <c r="QMQ41" s="1091"/>
      <c r="QMR41" s="1091"/>
      <c r="QMS41" s="1091"/>
      <c r="QMT41" s="1091"/>
      <c r="QMU41" s="1091"/>
      <c r="QMV41" s="1091"/>
      <c r="QMW41" s="1091"/>
      <c r="QMX41" s="1091"/>
      <c r="QMY41" s="1091"/>
      <c r="QMZ41" s="1091"/>
      <c r="QNA41" s="1091"/>
      <c r="QNB41" s="1091"/>
      <c r="QNC41" s="1091"/>
      <c r="QND41" s="1091"/>
      <c r="QNE41" s="1091"/>
      <c r="QNF41" s="1091"/>
      <c r="QNG41" s="1091"/>
      <c r="QNH41" s="1091"/>
      <c r="QNI41" s="1091"/>
      <c r="QNJ41" s="1091"/>
      <c r="QNK41" s="1091"/>
      <c r="QNL41" s="1091"/>
      <c r="QNM41" s="1091"/>
      <c r="QNN41" s="1091"/>
      <c r="QNO41" s="1091"/>
      <c r="QNP41" s="1091"/>
      <c r="QNQ41" s="1091"/>
      <c r="QNR41" s="1091"/>
      <c r="QNS41" s="1091"/>
      <c r="QNT41" s="1091"/>
      <c r="QNU41" s="1091"/>
      <c r="QNV41" s="1091"/>
      <c r="QNW41" s="1091"/>
      <c r="QNX41" s="1091"/>
      <c r="QNY41" s="1091"/>
      <c r="QNZ41" s="1091"/>
      <c r="QOA41" s="1091"/>
      <c r="QOB41" s="1091"/>
      <c r="QOC41" s="1091"/>
      <c r="QOD41" s="1091"/>
      <c r="QOE41" s="1091"/>
      <c r="QOF41" s="1091"/>
      <c r="QOG41" s="1091"/>
      <c r="QOH41" s="1091"/>
      <c r="QOI41" s="1091"/>
      <c r="QOJ41" s="1091"/>
      <c r="QOK41" s="1091"/>
      <c r="QOL41" s="1091"/>
      <c r="QOM41" s="1091"/>
      <c r="QON41" s="1091"/>
      <c r="QOO41" s="1091"/>
      <c r="QOP41" s="1091"/>
      <c r="QOQ41" s="1091"/>
      <c r="QOR41" s="1091"/>
      <c r="QOS41" s="1091"/>
      <c r="QOT41" s="1091"/>
      <c r="QOU41" s="1091"/>
      <c r="QOV41" s="1091"/>
      <c r="QOW41" s="1091"/>
      <c r="QOX41" s="1091"/>
      <c r="QOY41" s="1091"/>
      <c r="QOZ41" s="1091"/>
      <c r="QPA41" s="1091"/>
      <c r="QPB41" s="1091"/>
      <c r="QPC41" s="1091"/>
      <c r="QPD41" s="1091"/>
      <c r="QPE41" s="1091"/>
      <c r="QPF41" s="1091"/>
      <c r="QPG41" s="1091"/>
      <c r="QPH41" s="1091"/>
      <c r="QPI41" s="1091"/>
      <c r="QPJ41" s="1091"/>
      <c r="QPK41" s="1091"/>
      <c r="QPL41" s="1091"/>
      <c r="QPM41" s="1091"/>
      <c r="QPN41" s="1091"/>
      <c r="QPO41" s="1091"/>
      <c r="QPP41" s="1091"/>
      <c r="QPQ41" s="1091"/>
      <c r="QPR41" s="1091"/>
      <c r="QPS41" s="1091"/>
      <c r="QPT41" s="1091"/>
      <c r="QPU41" s="1091"/>
      <c r="QPV41" s="1091"/>
      <c r="QPW41" s="1091"/>
      <c r="QPX41" s="1091"/>
      <c r="QPY41" s="1091"/>
      <c r="QPZ41" s="1091"/>
      <c r="QQA41" s="1091"/>
      <c r="QQB41" s="1091"/>
      <c r="QQC41" s="1091"/>
      <c r="QQD41" s="1091"/>
      <c r="QQE41" s="1091"/>
      <c r="QQF41" s="1091"/>
      <c r="QQG41" s="1091"/>
      <c r="QQH41" s="1091"/>
      <c r="QQI41" s="1091"/>
      <c r="QQJ41" s="1091"/>
      <c r="QQK41" s="1091"/>
      <c r="QQL41" s="1091"/>
      <c r="QQM41" s="1091"/>
      <c r="QQN41" s="1091"/>
      <c r="QQO41" s="1091"/>
      <c r="QQP41" s="1091"/>
      <c r="QQQ41" s="1091"/>
      <c r="QQR41" s="1091"/>
      <c r="QQS41" s="1091"/>
      <c r="QQT41" s="1091"/>
      <c r="QQU41" s="1091"/>
      <c r="QQV41" s="1091"/>
      <c r="QQW41" s="1091"/>
      <c r="QQX41" s="1091"/>
      <c r="QQY41" s="1091"/>
      <c r="QQZ41" s="1091"/>
      <c r="QRA41" s="1091"/>
      <c r="QRB41" s="1091"/>
      <c r="QRC41" s="1091"/>
      <c r="QRD41" s="1091"/>
      <c r="QRE41" s="1091"/>
      <c r="QRF41" s="1091"/>
      <c r="QRG41" s="1091"/>
      <c r="QRH41" s="1091"/>
      <c r="QRI41" s="1091"/>
      <c r="QRJ41" s="1091"/>
      <c r="QRK41" s="1091"/>
      <c r="QRL41" s="1091"/>
      <c r="QRM41" s="1091"/>
      <c r="QRN41" s="1091"/>
      <c r="QRO41" s="1091"/>
      <c r="QRP41" s="1091"/>
      <c r="QRQ41" s="1091"/>
      <c r="QRR41" s="1091"/>
      <c r="QRS41" s="1091"/>
      <c r="QRT41" s="1091"/>
      <c r="QRU41" s="1091"/>
      <c r="QRV41" s="1091"/>
      <c r="QRW41" s="1091"/>
      <c r="QRX41" s="1091"/>
      <c r="QRY41" s="1091"/>
      <c r="QRZ41" s="1091"/>
      <c r="QSA41" s="1091"/>
      <c r="QSB41" s="1091"/>
      <c r="QSC41" s="1091"/>
      <c r="QSD41" s="1091"/>
      <c r="QSE41" s="1091"/>
      <c r="QSF41" s="1091"/>
      <c r="QSG41" s="1091"/>
      <c r="QSH41" s="1091"/>
      <c r="QSI41" s="1091"/>
      <c r="QSJ41" s="1091"/>
      <c r="QSK41" s="1091"/>
      <c r="QSL41" s="1091"/>
      <c r="QSM41" s="1091"/>
      <c r="QSN41" s="1091"/>
      <c r="QSO41" s="1091"/>
      <c r="QSP41" s="1091"/>
      <c r="QSQ41" s="1091"/>
      <c r="QSR41" s="1091"/>
      <c r="QSS41" s="1091"/>
      <c r="QST41" s="1091"/>
      <c r="QSU41" s="1091"/>
      <c r="QSV41" s="1091"/>
      <c r="QSW41" s="1091"/>
      <c r="QSX41" s="1091"/>
      <c r="QSY41" s="1091"/>
      <c r="QSZ41" s="1091"/>
      <c r="QTA41" s="1091"/>
      <c r="QTB41" s="1091"/>
      <c r="QTC41" s="1091"/>
      <c r="QTD41" s="1091"/>
      <c r="QTE41" s="1091"/>
      <c r="QTF41" s="1091"/>
      <c r="QTG41" s="1091"/>
      <c r="QTH41" s="1091"/>
      <c r="QTI41" s="1091"/>
      <c r="QTJ41" s="1091"/>
      <c r="QTK41" s="1091"/>
      <c r="QTL41" s="1091"/>
      <c r="QTM41" s="1091"/>
      <c r="QTN41" s="1091"/>
      <c r="QTO41" s="1091"/>
      <c r="QTP41" s="1091"/>
      <c r="QTQ41" s="1091"/>
      <c r="QTR41" s="1091"/>
      <c r="QTS41" s="1091"/>
      <c r="QTT41" s="1091"/>
      <c r="QTU41" s="1091"/>
      <c r="QTV41" s="1091"/>
      <c r="QTW41" s="1091"/>
      <c r="QTX41" s="1091"/>
      <c r="QTY41" s="1091"/>
      <c r="QTZ41" s="1091"/>
      <c r="QUA41" s="1091"/>
      <c r="QUB41" s="1091"/>
      <c r="QUC41" s="1091"/>
      <c r="QUD41" s="1091"/>
      <c r="QUE41" s="1091"/>
      <c r="QUF41" s="1091"/>
      <c r="QUG41" s="1091"/>
      <c r="QUH41" s="1091"/>
      <c r="QUI41" s="1091"/>
      <c r="QUJ41" s="1091"/>
      <c r="QUK41" s="1091"/>
      <c r="QUL41" s="1091"/>
      <c r="QUM41" s="1091"/>
      <c r="QUN41" s="1091"/>
      <c r="QUO41" s="1091"/>
      <c r="QUP41" s="1091"/>
      <c r="QUQ41" s="1091"/>
      <c r="QUR41" s="1091"/>
      <c r="QUS41" s="1091"/>
      <c r="QUT41" s="1091"/>
      <c r="QUU41" s="1091"/>
      <c r="QUV41" s="1091"/>
      <c r="QUW41" s="1091"/>
      <c r="QUX41" s="1091"/>
      <c r="QUY41" s="1091"/>
      <c r="QUZ41" s="1091"/>
      <c r="QVA41" s="1091"/>
      <c r="QVB41" s="1091"/>
      <c r="QVC41" s="1091"/>
      <c r="QVD41" s="1091"/>
      <c r="QVE41" s="1091"/>
      <c r="QVF41" s="1091"/>
      <c r="QVG41" s="1091"/>
      <c r="QVH41" s="1091"/>
      <c r="QVI41" s="1091"/>
      <c r="QVJ41" s="1091"/>
      <c r="QVK41" s="1091"/>
      <c r="QVL41" s="1091"/>
      <c r="QVM41" s="1091"/>
      <c r="QVN41" s="1091"/>
      <c r="QVO41" s="1091"/>
      <c r="QVP41" s="1091"/>
      <c r="QVQ41" s="1091"/>
      <c r="QVR41" s="1091"/>
      <c r="QVS41" s="1091"/>
      <c r="QVT41" s="1091"/>
      <c r="QVU41" s="1091"/>
      <c r="QVV41" s="1091"/>
      <c r="QVW41" s="1091"/>
      <c r="QVX41" s="1091"/>
      <c r="QVY41" s="1091"/>
      <c r="QVZ41" s="1091"/>
      <c r="QWA41" s="1091"/>
      <c r="QWB41" s="1091"/>
      <c r="QWC41" s="1091"/>
      <c r="QWD41" s="1091"/>
      <c r="QWE41" s="1091"/>
      <c r="QWF41" s="1091"/>
      <c r="QWG41" s="1091"/>
      <c r="QWH41" s="1091"/>
      <c r="QWI41" s="1091"/>
      <c r="QWJ41" s="1091"/>
      <c r="QWK41" s="1091"/>
      <c r="QWL41" s="1091"/>
      <c r="QWM41" s="1091"/>
      <c r="QWN41" s="1091"/>
      <c r="QWO41" s="1091"/>
      <c r="QWP41" s="1091"/>
      <c r="QWQ41" s="1091"/>
      <c r="QWR41" s="1091"/>
      <c r="QWS41" s="1091"/>
      <c r="QWT41" s="1091"/>
      <c r="QWU41" s="1091"/>
      <c r="QWV41" s="1091"/>
      <c r="QWW41" s="1091"/>
      <c r="QWX41" s="1091"/>
      <c r="QWY41" s="1091"/>
      <c r="QWZ41" s="1091"/>
      <c r="QXA41" s="1091"/>
      <c r="QXB41" s="1091"/>
      <c r="QXC41" s="1091"/>
      <c r="QXD41" s="1091"/>
      <c r="QXE41" s="1091"/>
      <c r="QXF41" s="1091"/>
      <c r="QXG41" s="1091"/>
      <c r="QXH41" s="1091"/>
      <c r="QXI41" s="1091"/>
      <c r="QXJ41" s="1091"/>
      <c r="QXK41" s="1091"/>
      <c r="QXL41" s="1091"/>
      <c r="QXM41" s="1091"/>
      <c r="QXN41" s="1091"/>
      <c r="QXO41" s="1091"/>
      <c r="QXP41" s="1091"/>
      <c r="QXQ41" s="1091"/>
      <c r="QXR41" s="1091"/>
      <c r="QXS41" s="1091"/>
      <c r="QXT41" s="1091"/>
      <c r="QXU41" s="1091"/>
      <c r="QXV41" s="1091"/>
      <c r="QXW41" s="1091"/>
      <c r="QXX41" s="1091"/>
      <c r="QXY41" s="1091"/>
      <c r="QXZ41" s="1091"/>
      <c r="QYA41" s="1091"/>
      <c r="QYB41" s="1091"/>
      <c r="QYC41" s="1091"/>
      <c r="QYD41" s="1091"/>
      <c r="QYE41" s="1091"/>
      <c r="QYF41" s="1091"/>
      <c r="QYG41" s="1091"/>
      <c r="QYH41" s="1091"/>
      <c r="QYI41" s="1091"/>
      <c r="QYJ41" s="1091"/>
      <c r="QYK41" s="1091"/>
      <c r="QYL41" s="1091"/>
      <c r="QYM41" s="1091"/>
      <c r="QYN41" s="1091"/>
      <c r="QYO41" s="1091"/>
      <c r="QYP41" s="1091"/>
      <c r="QYQ41" s="1091"/>
      <c r="QYR41" s="1091"/>
      <c r="QYS41" s="1091"/>
      <c r="QYT41" s="1091"/>
      <c r="QYU41" s="1091"/>
      <c r="QYV41" s="1091"/>
      <c r="QYW41" s="1091"/>
      <c r="QYX41" s="1091"/>
      <c r="QYY41" s="1091"/>
      <c r="QYZ41" s="1091"/>
      <c r="QZA41" s="1091"/>
      <c r="QZB41" s="1091"/>
      <c r="QZC41" s="1091"/>
      <c r="QZD41" s="1091"/>
      <c r="QZE41" s="1091"/>
      <c r="QZF41" s="1091"/>
      <c r="QZG41" s="1091"/>
      <c r="QZH41" s="1091"/>
      <c r="QZI41" s="1091"/>
      <c r="QZJ41" s="1091"/>
      <c r="QZK41" s="1091"/>
      <c r="QZL41" s="1091"/>
      <c r="QZM41" s="1091"/>
      <c r="QZN41" s="1091"/>
      <c r="QZO41" s="1091"/>
      <c r="QZP41" s="1091"/>
      <c r="QZQ41" s="1091"/>
      <c r="QZR41" s="1091"/>
      <c r="QZS41" s="1091"/>
      <c r="QZT41" s="1091"/>
      <c r="QZU41" s="1091"/>
      <c r="QZV41" s="1091"/>
      <c r="QZW41" s="1091"/>
      <c r="QZX41" s="1091"/>
      <c r="QZY41" s="1091"/>
      <c r="QZZ41" s="1091"/>
      <c r="RAA41" s="1091"/>
      <c r="RAB41" s="1091"/>
      <c r="RAC41" s="1091"/>
      <c r="RAD41" s="1091"/>
      <c r="RAE41" s="1091"/>
      <c r="RAF41" s="1091"/>
      <c r="RAG41" s="1091"/>
      <c r="RAH41" s="1091"/>
      <c r="RAI41" s="1091"/>
      <c r="RAJ41" s="1091"/>
      <c r="RAK41" s="1091"/>
      <c r="RAL41" s="1091"/>
      <c r="RAM41" s="1091"/>
      <c r="RAN41" s="1091"/>
      <c r="RAO41" s="1091"/>
      <c r="RAP41" s="1091"/>
      <c r="RAQ41" s="1091"/>
      <c r="RAR41" s="1091"/>
      <c r="RAS41" s="1091"/>
      <c r="RAT41" s="1091"/>
      <c r="RAU41" s="1091"/>
      <c r="RAV41" s="1091"/>
      <c r="RAW41" s="1091"/>
      <c r="RAX41" s="1091"/>
      <c r="RAY41" s="1091"/>
      <c r="RAZ41" s="1091"/>
      <c r="RBA41" s="1091"/>
      <c r="RBB41" s="1091"/>
      <c r="RBC41" s="1091"/>
      <c r="RBD41" s="1091"/>
      <c r="RBE41" s="1091"/>
      <c r="RBF41" s="1091"/>
      <c r="RBG41" s="1091"/>
      <c r="RBH41" s="1091"/>
      <c r="RBI41" s="1091"/>
      <c r="RBJ41" s="1091"/>
      <c r="RBK41" s="1091"/>
      <c r="RBL41" s="1091"/>
      <c r="RBM41" s="1091"/>
      <c r="RBN41" s="1091"/>
      <c r="RBO41" s="1091"/>
      <c r="RBP41" s="1091"/>
      <c r="RBQ41" s="1091"/>
      <c r="RBR41" s="1091"/>
      <c r="RBS41" s="1091"/>
      <c r="RBT41" s="1091"/>
      <c r="RBU41" s="1091"/>
      <c r="RBV41" s="1091"/>
      <c r="RBW41" s="1091"/>
      <c r="RBX41" s="1091"/>
      <c r="RBY41" s="1091"/>
      <c r="RBZ41" s="1091"/>
      <c r="RCA41" s="1091"/>
      <c r="RCB41" s="1091"/>
      <c r="RCC41" s="1091"/>
      <c r="RCD41" s="1091"/>
      <c r="RCE41" s="1091"/>
      <c r="RCF41" s="1091"/>
      <c r="RCG41" s="1091"/>
      <c r="RCH41" s="1091"/>
      <c r="RCI41" s="1091"/>
      <c r="RCJ41" s="1091"/>
      <c r="RCK41" s="1091"/>
      <c r="RCL41" s="1091"/>
      <c r="RCM41" s="1091"/>
      <c r="RCN41" s="1091"/>
      <c r="RCO41" s="1091"/>
      <c r="RCP41" s="1091"/>
      <c r="RCQ41" s="1091"/>
      <c r="RCR41" s="1091"/>
      <c r="RCS41" s="1091"/>
      <c r="RCT41" s="1091"/>
      <c r="RCU41" s="1091"/>
      <c r="RCV41" s="1091"/>
      <c r="RCW41" s="1091"/>
      <c r="RCX41" s="1091"/>
      <c r="RCY41" s="1091"/>
      <c r="RCZ41" s="1091"/>
      <c r="RDA41" s="1091"/>
      <c r="RDB41" s="1091"/>
      <c r="RDC41" s="1091"/>
      <c r="RDD41" s="1091"/>
      <c r="RDE41" s="1091"/>
      <c r="RDF41" s="1091"/>
      <c r="RDG41" s="1091"/>
      <c r="RDH41" s="1091"/>
      <c r="RDI41" s="1091"/>
      <c r="RDJ41" s="1091"/>
      <c r="RDK41" s="1091"/>
      <c r="RDL41" s="1091"/>
      <c r="RDM41" s="1091"/>
      <c r="RDN41" s="1091"/>
      <c r="RDO41" s="1091"/>
      <c r="RDP41" s="1091"/>
      <c r="RDQ41" s="1091"/>
      <c r="RDR41" s="1091"/>
      <c r="RDS41" s="1091"/>
      <c r="RDT41" s="1091"/>
      <c r="RDU41" s="1091"/>
      <c r="RDV41" s="1091"/>
      <c r="RDW41" s="1091"/>
      <c r="RDX41" s="1091"/>
      <c r="RDY41" s="1091"/>
      <c r="RDZ41" s="1091"/>
      <c r="REA41" s="1091"/>
      <c r="REB41" s="1091"/>
      <c r="REC41" s="1091"/>
      <c r="RED41" s="1091"/>
      <c r="REE41" s="1091"/>
      <c r="REF41" s="1091"/>
      <c r="REG41" s="1091"/>
      <c r="REH41" s="1091"/>
      <c r="REI41" s="1091"/>
      <c r="REJ41" s="1091"/>
      <c r="REK41" s="1091"/>
      <c r="REL41" s="1091"/>
      <c r="REM41" s="1091"/>
      <c r="REN41" s="1091"/>
      <c r="REO41" s="1091"/>
      <c r="REP41" s="1091"/>
      <c r="REQ41" s="1091"/>
      <c r="RER41" s="1091"/>
      <c r="RES41" s="1091"/>
      <c r="RET41" s="1091"/>
      <c r="REU41" s="1091"/>
      <c r="REV41" s="1091"/>
      <c r="REW41" s="1091"/>
      <c r="REX41" s="1091"/>
      <c r="REY41" s="1091"/>
      <c r="REZ41" s="1091"/>
      <c r="RFA41" s="1091"/>
      <c r="RFB41" s="1091"/>
      <c r="RFC41" s="1091"/>
      <c r="RFD41" s="1091"/>
      <c r="RFE41" s="1091"/>
      <c r="RFF41" s="1091"/>
      <c r="RFG41" s="1091"/>
      <c r="RFH41" s="1091"/>
      <c r="RFI41" s="1091"/>
      <c r="RFJ41" s="1091"/>
      <c r="RFK41" s="1091"/>
      <c r="RFL41" s="1091"/>
      <c r="RFM41" s="1091"/>
      <c r="RFN41" s="1091"/>
      <c r="RFO41" s="1091"/>
      <c r="RFP41" s="1091"/>
      <c r="RFQ41" s="1091"/>
      <c r="RFR41" s="1091"/>
      <c r="RFS41" s="1091"/>
      <c r="RFT41" s="1091"/>
      <c r="RFU41" s="1091"/>
      <c r="RFV41" s="1091"/>
      <c r="RFW41" s="1091"/>
      <c r="RFX41" s="1091"/>
      <c r="RFY41" s="1091"/>
      <c r="RFZ41" s="1091"/>
      <c r="RGA41" s="1091"/>
      <c r="RGB41" s="1091"/>
      <c r="RGC41" s="1091"/>
      <c r="RGD41" s="1091"/>
      <c r="RGE41" s="1091"/>
      <c r="RGF41" s="1091"/>
      <c r="RGG41" s="1091"/>
      <c r="RGH41" s="1091"/>
      <c r="RGI41" s="1091"/>
      <c r="RGJ41" s="1091"/>
      <c r="RGK41" s="1091"/>
      <c r="RGL41" s="1091"/>
      <c r="RGM41" s="1091"/>
      <c r="RGN41" s="1091"/>
      <c r="RGO41" s="1091"/>
      <c r="RGP41" s="1091"/>
      <c r="RGQ41" s="1091"/>
      <c r="RGR41" s="1091"/>
      <c r="RGS41" s="1091"/>
      <c r="RGT41" s="1091"/>
      <c r="RGU41" s="1091"/>
      <c r="RGV41" s="1091"/>
      <c r="RGW41" s="1091"/>
      <c r="RGX41" s="1091"/>
      <c r="RGY41" s="1091"/>
      <c r="RGZ41" s="1091"/>
      <c r="RHA41" s="1091"/>
      <c r="RHB41" s="1091"/>
      <c r="RHC41" s="1091"/>
      <c r="RHD41" s="1091"/>
      <c r="RHE41" s="1091"/>
      <c r="RHF41" s="1091"/>
      <c r="RHG41" s="1091"/>
      <c r="RHH41" s="1091"/>
      <c r="RHI41" s="1091"/>
      <c r="RHJ41" s="1091"/>
      <c r="RHK41" s="1091"/>
      <c r="RHL41" s="1091"/>
      <c r="RHM41" s="1091"/>
      <c r="RHN41" s="1091"/>
      <c r="RHO41" s="1091"/>
      <c r="RHP41" s="1091"/>
      <c r="RHQ41" s="1091"/>
      <c r="RHR41" s="1091"/>
      <c r="RHS41" s="1091"/>
      <c r="RHT41" s="1091"/>
      <c r="RHU41" s="1091"/>
      <c r="RHV41" s="1091"/>
      <c r="RHW41" s="1091"/>
      <c r="RHX41" s="1091"/>
      <c r="RHY41" s="1091"/>
      <c r="RHZ41" s="1091"/>
      <c r="RIA41" s="1091"/>
      <c r="RIB41" s="1091"/>
      <c r="RIC41" s="1091"/>
      <c r="RID41" s="1091"/>
      <c r="RIE41" s="1091"/>
      <c r="RIF41" s="1091"/>
      <c r="RIG41" s="1091"/>
      <c r="RIH41" s="1091"/>
      <c r="RII41" s="1091"/>
      <c r="RIJ41" s="1091"/>
      <c r="RIK41" s="1091"/>
      <c r="RIL41" s="1091"/>
      <c r="RIM41" s="1091"/>
      <c r="RIN41" s="1091"/>
      <c r="RIO41" s="1091"/>
      <c r="RIP41" s="1091"/>
      <c r="RIQ41" s="1091"/>
      <c r="RIR41" s="1091"/>
      <c r="RIS41" s="1091"/>
      <c r="RIT41" s="1091"/>
      <c r="RIU41" s="1091"/>
      <c r="RIV41" s="1091"/>
      <c r="RIW41" s="1091"/>
      <c r="RIX41" s="1091"/>
      <c r="RIY41" s="1091"/>
      <c r="RIZ41" s="1091"/>
      <c r="RJA41" s="1091"/>
      <c r="RJB41" s="1091"/>
      <c r="RJC41" s="1091"/>
      <c r="RJD41" s="1091"/>
      <c r="RJE41" s="1091"/>
      <c r="RJF41" s="1091"/>
      <c r="RJG41" s="1091"/>
      <c r="RJH41" s="1091"/>
      <c r="RJI41" s="1091"/>
      <c r="RJJ41" s="1091"/>
      <c r="RJK41" s="1091"/>
      <c r="RJL41" s="1091"/>
      <c r="RJM41" s="1091"/>
      <c r="RJN41" s="1091"/>
      <c r="RJO41" s="1091"/>
      <c r="RJP41" s="1091"/>
      <c r="RJQ41" s="1091"/>
      <c r="RJR41" s="1091"/>
      <c r="RJS41" s="1091"/>
      <c r="RJT41" s="1091"/>
      <c r="RJU41" s="1091"/>
      <c r="RJV41" s="1091"/>
      <c r="RJW41" s="1091"/>
      <c r="RJX41" s="1091"/>
      <c r="RJY41" s="1091"/>
      <c r="RJZ41" s="1091"/>
      <c r="RKA41" s="1091"/>
      <c r="RKB41" s="1091"/>
      <c r="RKC41" s="1091"/>
      <c r="RKD41" s="1091"/>
      <c r="RKE41" s="1091"/>
      <c r="RKF41" s="1091"/>
      <c r="RKG41" s="1091"/>
      <c r="RKH41" s="1091"/>
      <c r="RKI41" s="1091"/>
      <c r="RKJ41" s="1091"/>
      <c r="RKK41" s="1091"/>
      <c r="RKL41" s="1091"/>
      <c r="RKM41" s="1091"/>
      <c r="RKN41" s="1091"/>
      <c r="RKO41" s="1091"/>
      <c r="RKP41" s="1091"/>
      <c r="RKQ41" s="1091"/>
      <c r="RKR41" s="1091"/>
      <c r="RKS41" s="1091"/>
      <c r="RKT41" s="1091"/>
      <c r="RKU41" s="1091"/>
      <c r="RKV41" s="1091"/>
      <c r="RKW41" s="1091"/>
      <c r="RKX41" s="1091"/>
      <c r="RKY41" s="1091"/>
      <c r="RKZ41" s="1091"/>
      <c r="RLA41" s="1091"/>
      <c r="RLB41" s="1091"/>
      <c r="RLC41" s="1091"/>
      <c r="RLD41" s="1091"/>
      <c r="RLE41" s="1091"/>
      <c r="RLF41" s="1091"/>
      <c r="RLG41" s="1091"/>
      <c r="RLH41" s="1091"/>
      <c r="RLI41" s="1091"/>
      <c r="RLJ41" s="1091"/>
      <c r="RLK41" s="1091"/>
      <c r="RLL41" s="1091"/>
      <c r="RLM41" s="1091"/>
      <c r="RLN41" s="1091"/>
      <c r="RLO41" s="1091"/>
      <c r="RLP41" s="1091"/>
      <c r="RLQ41" s="1091"/>
      <c r="RLR41" s="1091"/>
      <c r="RLS41" s="1091"/>
      <c r="RLT41" s="1091"/>
      <c r="RLU41" s="1091"/>
      <c r="RLV41" s="1091"/>
      <c r="RLW41" s="1091"/>
      <c r="RLX41" s="1091"/>
      <c r="RLY41" s="1091"/>
      <c r="RLZ41" s="1091"/>
      <c r="RMA41" s="1091"/>
      <c r="RMB41" s="1091"/>
      <c r="RMC41" s="1091"/>
      <c r="RMD41" s="1091"/>
      <c r="RME41" s="1091"/>
      <c r="RMF41" s="1091"/>
      <c r="RMG41" s="1091"/>
      <c r="RMH41" s="1091"/>
      <c r="RMI41" s="1091"/>
      <c r="RMJ41" s="1091"/>
      <c r="RMK41" s="1091"/>
      <c r="RML41" s="1091"/>
      <c r="RMM41" s="1091"/>
      <c r="RMN41" s="1091"/>
      <c r="RMO41" s="1091"/>
      <c r="RMP41" s="1091"/>
      <c r="RMQ41" s="1091"/>
      <c r="RMR41" s="1091"/>
      <c r="RMS41" s="1091"/>
      <c r="RMT41" s="1091"/>
      <c r="RMU41" s="1091"/>
      <c r="RMV41" s="1091"/>
      <c r="RMW41" s="1091"/>
      <c r="RMX41" s="1091"/>
      <c r="RMY41" s="1091"/>
      <c r="RMZ41" s="1091"/>
      <c r="RNA41" s="1091"/>
      <c r="RNB41" s="1091"/>
      <c r="RNC41" s="1091"/>
      <c r="RND41" s="1091"/>
      <c r="RNE41" s="1091"/>
      <c r="RNF41" s="1091"/>
      <c r="RNG41" s="1091"/>
      <c r="RNH41" s="1091"/>
      <c r="RNI41" s="1091"/>
      <c r="RNJ41" s="1091"/>
      <c r="RNK41" s="1091"/>
      <c r="RNL41" s="1091"/>
      <c r="RNM41" s="1091"/>
      <c r="RNN41" s="1091"/>
      <c r="RNO41" s="1091"/>
      <c r="RNP41" s="1091"/>
      <c r="RNQ41" s="1091"/>
      <c r="RNR41" s="1091"/>
      <c r="RNS41" s="1091"/>
      <c r="RNT41" s="1091"/>
      <c r="RNU41" s="1091"/>
      <c r="RNV41" s="1091"/>
      <c r="RNW41" s="1091"/>
      <c r="RNX41" s="1091"/>
      <c r="RNY41" s="1091"/>
      <c r="RNZ41" s="1091"/>
      <c r="ROA41" s="1091"/>
      <c r="ROB41" s="1091"/>
      <c r="ROC41" s="1091"/>
      <c r="ROD41" s="1091"/>
      <c r="ROE41" s="1091"/>
      <c r="ROF41" s="1091"/>
      <c r="ROG41" s="1091"/>
      <c r="ROH41" s="1091"/>
      <c r="ROI41" s="1091"/>
      <c r="ROJ41" s="1091"/>
      <c r="ROK41" s="1091"/>
      <c r="ROL41" s="1091"/>
      <c r="ROM41" s="1091"/>
      <c r="RON41" s="1091"/>
      <c r="ROO41" s="1091"/>
      <c r="ROP41" s="1091"/>
      <c r="ROQ41" s="1091"/>
      <c r="ROR41" s="1091"/>
      <c r="ROS41" s="1091"/>
      <c r="ROT41" s="1091"/>
      <c r="ROU41" s="1091"/>
      <c r="ROV41" s="1091"/>
      <c r="ROW41" s="1091"/>
      <c r="ROX41" s="1091"/>
      <c r="ROY41" s="1091"/>
      <c r="ROZ41" s="1091"/>
      <c r="RPA41" s="1091"/>
      <c r="RPB41" s="1091"/>
      <c r="RPC41" s="1091"/>
      <c r="RPD41" s="1091"/>
      <c r="RPE41" s="1091"/>
      <c r="RPF41" s="1091"/>
      <c r="RPG41" s="1091"/>
      <c r="RPH41" s="1091"/>
      <c r="RPI41" s="1091"/>
      <c r="RPJ41" s="1091"/>
      <c r="RPK41" s="1091"/>
      <c r="RPL41" s="1091"/>
      <c r="RPM41" s="1091"/>
      <c r="RPN41" s="1091"/>
      <c r="RPO41" s="1091"/>
      <c r="RPP41" s="1091"/>
      <c r="RPQ41" s="1091"/>
      <c r="RPR41" s="1091"/>
      <c r="RPS41" s="1091"/>
      <c r="RPT41" s="1091"/>
      <c r="RPU41" s="1091"/>
      <c r="RPV41" s="1091"/>
      <c r="RPW41" s="1091"/>
      <c r="RPX41" s="1091"/>
      <c r="RPY41" s="1091"/>
      <c r="RPZ41" s="1091"/>
      <c r="RQA41" s="1091"/>
      <c r="RQB41" s="1091"/>
      <c r="RQC41" s="1091"/>
      <c r="RQD41" s="1091"/>
      <c r="RQE41" s="1091"/>
      <c r="RQF41" s="1091"/>
      <c r="RQG41" s="1091"/>
      <c r="RQH41" s="1091"/>
      <c r="RQI41" s="1091"/>
      <c r="RQJ41" s="1091"/>
      <c r="RQK41" s="1091"/>
      <c r="RQL41" s="1091"/>
      <c r="RQM41" s="1091"/>
      <c r="RQN41" s="1091"/>
      <c r="RQO41" s="1091"/>
      <c r="RQP41" s="1091"/>
      <c r="RQQ41" s="1091"/>
      <c r="RQR41" s="1091"/>
      <c r="RQS41" s="1091"/>
      <c r="RQT41" s="1091"/>
      <c r="RQU41" s="1091"/>
      <c r="RQV41" s="1091"/>
      <c r="RQW41" s="1091"/>
      <c r="RQX41" s="1091"/>
      <c r="RQY41" s="1091"/>
      <c r="RQZ41" s="1091"/>
      <c r="RRA41" s="1091"/>
      <c r="RRB41" s="1091"/>
      <c r="RRC41" s="1091"/>
      <c r="RRD41" s="1091"/>
      <c r="RRE41" s="1091"/>
      <c r="RRF41" s="1091"/>
      <c r="RRG41" s="1091"/>
      <c r="RRH41" s="1091"/>
      <c r="RRI41" s="1091"/>
      <c r="RRJ41" s="1091"/>
      <c r="RRK41" s="1091"/>
      <c r="RRL41" s="1091"/>
      <c r="RRM41" s="1091"/>
      <c r="RRN41" s="1091"/>
      <c r="RRO41" s="1091"/>
      <c r="RRP41" s="1091"/>
      <c r="RRQ41" s="1091"/>
      <c r="RRR41" s="1091"/>
      <c r="RRS41" s="1091"/>
      <c r="RRT41" s="1091"/>
      <c r="RRU41" s="1091"/>
      <c r="RRV41" s="1091"/>
      <c r="RRW41" s="1091"/>
      <c r="RRX41" s="1091"/>
      <c r="RRY41" s="1091"/>
      <c r="RRZ41" s="1091"/>
      <c r="RSA41" s="1091"/>
      <c r="RSB41" s="1091"/>
      <c r="RSC41" s="1091"/>
      <c r="RSD41" s="1091"/>
      <c r="RSE41" s="1091"/>
      <c r="RSF41" s="1091"/>
      <c r="RSG41" s="1091"/>
      <c r="RSH41" s="1091"/>
      <c r="RSI41" s="1091"/>
      <c r="RSJ41" s="1091"/>
      <c r="RSK41" s="1091"/>
      <c r="RSL41" s="1091"/>
      <c r="RSM41" s="1091"/>
      <c r="RSN41" s="1091"/>
      <c r="RSO41" s="1091"/>
      <c r="RSP41" s="1091"/>
      <c r="RSQ41" s="1091"/>
      <c r="RSR41" s="1091"/>
      <c r="RSS41" s="1091"/>
      <c r="RST41" s="1091"/>
      <c r="RSU41" s="1091"/>
      <c r="RSV41" s="1091"/>
      <c r="RSW41" s="1091"/>
      <c r="RSX41" s="1091"/>
      <c r="RSY41" s="1091"/>
      <c r="RSZ41" s="1091"/>
      <c r="RTA41" s="1091"/>
      <c r="RTB41" s="1091"/>
      <c r="RTC41" s="1091"/>
      <c r="RTD41" s="1091"/>
      <c r="RTE41" s="1091"/>
      <c r="RTF41" s="1091"/>
      <c r="RTG41" s="1091"/>
      <c r="RTH41" s="1091"/>
      <c r="RTI41" s="1091"/>
      <c r="RTJ41" s="1091"/>
      <c r="RTK41" s="1091"/>
      <c r="RTL41" s="1091"/>
      <c r="RTM41" s="1091"/>
      <c r="RTN41" s="1091"/>
      <c r="RTO41" s="1091"/>
      <c r="RTP41" s="1091"/>
      <c r="RTQ41" s="1091"/>
      <c r="RTR41" s="1091"/>
      <c r="RTS41" s="1091"/>
      <c r="RTT41" s="1091"/>
      <c r="RTU41" s="1091"/>
      <c r="RTV41" s="1091"/>
      <c r="RTW41" s="1091"/>
      <c r="RTX41" s="1091"/>
      <c r="RTY41" s="1091"/>
      <c r="RTZ41" s="1091"/>
      <c r="RUA41" s="1091"/>
      <c r="RUB41" s="1091"/>
      <c r="RUC41" s="1091"/>
      <c r="RUD41" s="1091"/>
      <c r="RUE41" s="1091"/>
      <c r="RUF41" s="1091"/>
      <c r="RUG41" s="1091"/>
      <c r="RUH41" s="1091"/>
      <c r="RUI41" s="1091"/>
      <c r="RUJ41" s="1091"/>
      <c r="RUK41" s="1091"/>
      <c r="RUL41" s="1091"/>
      <c r="RUM41" s="1091"/>
      <c r="RUN41" s="1091"/>
      <c r="RUO41" s="1091"/>
      <c r="RUP41" s="1091"/>
      <c r="RUQ41" s="1091"/>
      <c r="RUR41" s="1091"/>
      <c r="RUS41" s="1091"/>
      <c r="RUT41" s="1091"/>
      <c r="RUU41" s="1091"/>
      <c r="RUV41" s="1091"/>
      <c r="RUW41" s="1091"/>
      <c r="RUX41" s="1091"/>
      <c r="RUY41" s="1091"/>
      <c r="RUZ41" s="1091"/>
      <c r="RVA41" s="1091"/>
      <c r="RVB41" s="1091"/>
      <c r="RVC41" s="1091"/>
      <c r="RVD41" s="1091"/>
      <c r="RVE41" s="1091"/>
      <c r="RVF41" s="1091"/>
      <c r="RVG41" s="1091"/>
      <c r="RVH41" s="1091"/>
      <c r="RVI41" s="1091"/>
      <c r="RVJ41" s="1091"/>
      <c r="RVK41" s="1091"/>
      <c r="RVL41" s="1091"/>
      <c r="RVM41" s="1091"/>
      <c r="RVN41" s="1091"/>
      <c r="RVO41" s="1091"/>
      <c r="RVP41" s="1091"/>
      <c r="RVQ41" s="1091"/>
      <c r="RVR41" s="1091"/>
      <c r="RVS41" s="1091"/>
      <c r="RVT41" s="1091"/>
      <c r="RVU41" s="1091"/>
      <c r="RVV41" s="1091"/>
      <c r="RVW41" s="1091"/>
      <c r="RVX41" s="1091"/>
      <c r="RVY41" s="1091"/>
      <c r="RVZ41" s="1091"/>
      <c r="RWA41" s="1091"/>
      <c r="RWB41" s="1091"/>
      <c r="RWC41" s="1091"/>
      <c r="RWD41" s="1091"/>
      <c r="RWE41" s="1091"/>
      <c r="RWF41" s="1091"/>
      <c r="RWG41" s="1091"/>
      <c r="RWH41" s="1091"/>
      <c r="RWI41" s="1091"/>
      <c r="RWJ41" s="1091"/>
      <c r="RWK41" s="1091"/>
      <c r="RWL41" s="1091"/>
      <c r="RWM41" s="1091"/>
      <c r="RWN41" s="1091"/>
      <c r="RWO41" s="1091"/>
      <c r="RWP41" s="1091"/>
      <c r="RWQ41" s="1091"/>
      <c r="RWR41" s="1091"/>
      <c r="RWS41" s="1091"/>
      <c r="RWT41" s="1091"/>
      <c r="RWU41" s="1091"/>
      <c r="RWV41" s="1091"/>
      <c r="RWW41" s="1091"/>
      <c r="RWX41" s="1091"/>
      <c r="RWY41" s="1091"/>
      <c r="RWZ41" s="1091"/>
      <c r="RXA41" s="1091"/>
      <c r="RXB41" s="1091"/>
      <c r="RXC41" s="1091"/>
      <c r="RXD41" s="1091"/>
      <c r="RXE41" s="1091"/>
      <c r="RXF41" s="1091"/>
      <c r="RXG41" s="1091"/>
      <c r="RXH41" s="1091"/>
      <c r="RXI41" s="1091"/>
      <c r="RXJ41" s="1091"/>
      <c r="RXK41" s="1091"/>
      <c r="RXL41" s="1091"/>
      <c r="RXM41" s="1091"/>
      <c r="RXN41" s="1091"/>
      <c r="RXO41" s="1091"/>
      <c r="RXP41" s="1091"/>
      <c r="RXQ41" s="1091"/>
      <c r="RXR41" s="1091"/>
      <c r="RXS41" s="1091"/>
      <c r="RXT41" s="1091"/>
      <c r="RXU41" s="1091"/>
      <c r="RXV41" s="1091"/>
      <c r="RXW41" s="1091"/>
      <c r="RXX41" s="1091"/>
      <c r="RXY41" s="1091"/>
      <c r="RXZ41" s="1091"/>
      <c r="RYA41" s="1091"/>
      <c r="RYB41" s="1091"/>
      <c r="RYC41" s="1091"/>
      <c r="RYD41" s="1091"/>
      <c r="RYE41" s="1091"/>
      <c r="RYF41" s="1091"/>
      <c r="RYG41" s="1091"/>
      <c r="RYH41" s="1091"/>
      <c r="RYI41" s="1091"/>
      <c r="RYJ41" s="1091"/>
      <c r="RYK41" s="1091"/>
      <c r="RYL41" s="1091"/>
      <c r="RYM41" s="1091"/>
      <c r="RYN41" s="1091"/>
      <c r="RYO41" s="1091"/>
      <c r="RYP41" s="1091"/>
      <c r="RYQ41" s="1091"/>
      <c r="RYR41" s="1091"/>
      <c r="RYS41" s="1091"/>
      <c r="RYT41" s="1091"/>
      <c r="RYU41" s="1091"/>
      <c r="RYV41" s="1091"/>
      <c r="RYW41" s="1091"/>
      <c r="RYX41" s="1091"/>
      <c r="RYY41" s="1091"/>
      <c r="RYZ41" s="1091"/>
      <c r="RZA41" s="1091"/>
      <c r="RZB41" s="1091"/>
      <c r="RZC41" s="1091"/>
      <c r="RZD41" s="1091"/>
      <c r="RZE41" s="1091"/>
      <c r="RZF41" s="1091"/>
      <c r="RZG41" s="1091"/>
      <c r="RZH41" s="1091"/>
      <c r="RZI41" s="1091"/>
      <c r="RZJ41" s="1091"/>
      <c r="RZK41" s="1091"/>
      <c r="RZL41" s="1091"/>
      <c r="RZM41" s="1091"/>
      <c r="RZN41" s="1091"/>
      <c r="RZO41" s="1091"/>
      <c r="RZP41" s="1091"/>
      <c r="RZQ41" s="1091"/>
      <c r="RZR41" s="1091"/>
      <c r="RZS41" s="1091"/>
      <c r="RZT41" s="1091"/>
      <c r="RZU41" s="1091"/>
      <c r="RZV41" s="1091"/>
      <c r="RZW41" s="1091"/>
      <c r="RZX41" s="1091"/>
      <c r="RZY41" s="1091"/>
      <c r="RZZ41" s="1091"/>
      <c r="SAA41" s="1091"/>
      <c r="SAB41" s="1091"/>
      <c r="SAC41" s="1091"/>
      <c r="SAD41" s="1091"/>
      <c r="SAE41" s="1091"/>
      <c r="SAF41" s="1091"/>
      <c r="SAG41" s="1091"/>
      <c r="SAH41" s="1091"/>
      <c r="SAI41" s="1091"/>
      <c r="SAJ41" s="1091"/>
      <c r="SAK41" s="1091"/>
      <c r="SAL41" s="1091"/>
      <c r="SAM41" s="1091"/>
      <c r="SAN41" s="1091"/>
      <c r="SAO41" s="1091"/>
      <c r="SAP41" s="1091"/>
      <c r="SAQ41" s="1091"/>
      <c r="SAR41" s="1091"/>
      <c r="SAS41" s="1091"/>
      <c r="SAT41" s="1091"/>
      <c r="SAU41" s="1091"/>
      <c r="SAV41" s="1091"/>
      <c r="SAW41" s="1091"/>
      <c r="SAX41" s="1091"/>
      <c r="SAY41" s="1091"/>
      <c r="SAZ41" s="1091"/>
      <c r="SBA41" s="1091"/>
      <c r="SBB41" s="1091"/>
      <c r="SBC41" s="1091"/>
      <c r="SBD41" s="1091"/>
      <c r="SBE41" s="1091"/>
      <c r="SBF41" s="1091"/>
      <c r="SBG41" s="1091"/>
      <c r="SBH41" s="1091"/>
      <c r="SBI41" s="1091"/>
      <c r="SBJ41" s="1091"/>
      <c r="SBK41" s="1091"/>
      <c r="SBL41" s="1091"/>
      <c r="SBM41" s="1091"/>
      <c r="SBN41" s="1091"/>
      <c r="SBO41" s="1091"/>
      <c r="SBP41" s="1091"/>
      <c r="SBQ41" s="1091"/>
      <c r="SBR41" s="1091"/>
      <c r="SBS41" s="1091"/>
      <c r="SBT41" s="1091"/>
      <c r="SBU41" s="1091"/>
      <c r="SBV41" s="1091"/>
      <c r="SBW41" s="1091"/>
      <c r="SBX41" s="1091"/>
      <c r="SBY41" s="1091"/>
      <c r="SBZ41" s="1091"/>
      <c r="SCA41" s="1091"/>
      <c r="SCB41" s="1091"/>
      <c r="SCC41" s="1091"/>
      <c r="SCD41" s="1091"/>
      <c r="SCE41" s="1091"/>
      <c r="SCF41" s="1091"/>
      <c r="SCG41" s="1091"/>
      <c r="SCH41" s="1091"/>
      <c r="SCI41" s="1091"/>
      <c r="SCJ41" s="1091"/>
      <c r="SCK41" s="1091"/>
      <c r="SCL41" s="1091"/>
      <c r="SCM41" s="1091"/>
      <c r="SCN41" s="1091"/>
      <c r="SCO41" s="1091"/>
      <c r="SCP41" s="1091"/>
      <c r="SCQ41" s="1091"/>
      <c r="SCR41" s="1091"/>
      <c r="SCS41" s="1091"/>
      <c r="SCT41" s="1091"/>
      <c r="SCU41" s="1091"/>
      <c r="SCV41" s="1091"/>
      <c r="SCW41" s="1091"/>
      <c r="SCX41" s="1091"/>
      <c r="SCY41" s="1091"/>
      <c r="SCZ41" s="1091"/>
      <c r="SDA41" s="1091"/>
      <c r="SDB41" s="1091"/>
      <c r="SDC41" s="1091"/>
      <c r="SDD41" s="1091"/>
      <c r="SDE41" s="1091"/>
      <c r="SDF41" s="1091"/>
      <c r="SDG41" s="1091"/>
      <c r="SDH41" s="1091"/>
      <c r="SDI41" s="1091"/>
      <c r="SDJ41" s="1091"/>
      <c r="SDK41" s="1091"/>
      <c r="SDL41" s="1091"/>
      <c r="SDM41" s="1091"/>
      <c r="SDN41" s="1091"/>
      <c r="SDO41" s="1091"/>
      <c r="SDP41" s="1091"/>
      <c r="SDQ41" s="1091"/>
      <c r="SDR41" s="1091"/>
      <c r="SDS41" s="1091"/>
      <c r="SDT41" s="1091"/>
      <c r="SDU41" s="1091"/>
      <c r="SDV41" s="1091"/>
      <c r="SDW41" s="1091"/>
      <c r="SDX41" s="1091"/>
      <c r="SDY41" s="1091"/>
      <c r="SDZ41" s="1091"/>
      <c r="SEA41" s="1091"/>
      <c r="SEB41" s="1091"/>
      <c r="SEC41" s="1091"/>
      <c r="SED41" s="1091"/>
      <c r="SEE41" s="1091"/>
      <c r="SEF41" s="1091"/>
      <c r="SEG41" s="1091"/>
      <c r="SEH41" s="1091"/>
      <c r="SEI41" s="1091"/>
      <c r="SEJ41" s="1091"/>
      <c r="SEK41" s="1091"/>
      <c r="SEL41" s="1091"/>
      <c r="SEM41" s="1091"/>
      <c r="SEN41" s="1091"/>
      <c r="SEO41" s="1091"/>
      <c r="SEP41" s="1091"/>
      <c r="SEQ41" s="1091"/>
      <c r="SER41" s="1091"/>
      <c r="SES41" s="1091"/>
      <c r="SET41" s="1091"/>
      <c r="SEU41" s="1091"/>
      <c r="SEV41" s="1091"/>
      <c r="SEW41" s="1091"/>
      <c r="SEX41" s="1091"/>
      <c r="SEY41" s="1091"/>
      <c r="SEZ41" s="1091"/>
      <c r="SFA41" s="1091"/>
      <c r="SFB41" s="1091"/>
      <c r="SFC41" s="1091"/>
      <c r="SFD41" s="1091"/>
      <c r="SFE41" s="1091"/>
      <c r="SFF41" s="1091"/>
      <c r="SFG41" s="1091"/>
      <c r="SFH41" s="1091"/>
      <c r="SFI41" s="1091"/>
      <c r="SFJ41" s="1091"/>
      <c r="SFK41" s="1091"/>
      <c r="SFL41" s="1091"/>
      <c r="SFM41" s="1091"/>
      <c r="SFN41" s="1091"/>
      <c r="SFO41" s="1091"/>
      <c r="SFP41" s="1091"/>
      <c r="SFQ41" s="1091"/>
      <c r="SFR41" s="1091"/>
      <c r="SFS41" s="1091"/>
      <c r="SFT41" s="1091"/>
      <c r="SFU41" s="1091"/>
      <c r="SFV41" s="1091"/>
      <c r="SFW41" s="1091"/>
      <c r="SFX41" s="1091"/>
      <c r="SFY41" s="1091"/>
      <c r="SFZ41" s="1091"/>
      <c r="SGA41" s="1091"/>
      <c r="SGB41" s="1091"/>
      <c r="SGC41" s="1091"/>
      <c r="SGD41" s="1091"/>
      <c r="SGE41" s="1091"/>
      <c r="SGF41" s="1091"/>
      <c r="SGG41" s="1091"/>
      <c r="SGH41" s="1091"/>
      <c r="SGI41" s="1091"/>
      <c r="SGJ41" s="1091"/>
      <c r="SGK41" s="1091"/>
      <c r="SGL41" s="1091"/>
      <c r="SGM41" s="1091"/>
      <c r="SGN41" s="1091"/>
      <c r="SGO41" s="1091"/>
      <c r="SGP41" s="1091"/>
      <c r="SGQ41" s="1091"/>
      <c r="SGR41" s="1091"/>
      <c r="SGS41" s="1091"/>
      <c r="SGT41" s="1091"/>
      <c r="SGU41" s="1091"/>
      <c r="SGV41" s="1091"/>
      <c r="SGW41" s="1091"/>
      <c r="SGX41" s="1091"/>
      <c r="SGY41" s="1091"/>
      <c r="SGZ41" s="1091"/>
      <c r="SHA41" s="1091"/>
      <c r="SHB41" s="1091"/>
      <c r="SHC41" s="1091"/>
      <c r="SHD41" s="1091"/>
      <c r="SHE41" s="1091"/>
      <c r="SHF41" s="1091"/>
      <c r="SHG41" s="1091"/>
      <c r="SHH41" s="1091"/>
      <c r="SHI41" s="1091"/>
      <c r="SHJ41" s="1091"/>
      <c r="SHK41" s="1091"/>
      <c r="SHL41" s="1091"/>
      <c r="SHM41" s="1091"/>
      <c r="SHN41" s="1091"/>
      <c r="SHO41" s="1091"/>
      <c r="SHP41" s="1091"/>
      <c r="SHQ41" s="1091"/>
      <c r="SHR41" s="1091"/>
      <c r="SHS41" s="1091"/>
      <c r="SHT41" s="1091"/>
      <c r="SHU41" s="1091"/>
      <c r="SHV41" s="1091"/>
      <c r="SHW41" s="1091"/>
      <c r="SHX41" s="1091"/>
      <c r="SHY41" s="1091"/>
      <c r="SHZ41" s="1091"/>
      <c r="SIA41" s="1091"/>
      <c r="SIB41" s="1091"/>
      <c r="SIC41" s="1091"/>
      <c r="SID41" s="1091"/>
      <c r="SIE41" s="1091"/>
      <c r="SIF41" s="1091"/>
      <c r="SIG41" s="1091"/>
      <c r="SIH41" s="1091"/>
      <c r="SII41" s="1091"/>
      <c r="SIJ41" s="1091"/>
      <c r="SIK41" s="1091"/>
      <c r="SIL41" s="1091"/>
      <c r="SIM41" s="1091"/>
      <c r="SIN41" s="1091"/>
      <c r="SIO41" s="1091"/>
      <c r="SIP41" s="1091"/>
      <c r="SIQ41" s="1091"/>
      <c r="SIR41" s="1091"/>
      <c r="SIS41" s="1091"/>
      <c r="SIT41" s="1091"/>
      <c r="SIU41" s="1091"/>
      <c r="SIV41" s="1091"/>
      <c r="SIW41" s="1091"/>
      <c r="SIX41" s="1091"/>
      <c r="SIY41" s="1091"/>
      <c r="SIZ41" s="1091"/>
      <c r="SJA41" s="1091"/>
      <c r="SJB41" s="1091"/>
      <c r="SJC41" s="1091"/>
      <c r="SJD41" s="1091"/>
      <c r="SJE41" s="1091"/>
      <c r="SJF41" s="1091"/>
      <c r="SJG41" s="1091"/>
      <c r="SJH41" s="1091"/>
      <c r="SJI41" s="1091"/>
      <c r="SJJ41" s="1091"/>
      <c r="SJK41" s="1091"/>
      <c r="SJL41" s="1091"/>
      <c r="SJM41" s="1091"/>
      <c r="SJN41" s="1091"/>
      <c r="SJO41" s="1091"/>
      <c r="SJP41" s="1091"/>
      <c r="SJQ41" s="1091"/>
      <c r="SJR41" s="1091"/>
      <c r="SJS41" s="1091"/>
      <c r="SJT41" s="1091"/>
      <c r="SJU41" s="1091"/>
      <c r="SJV41" s="1091"/>
      <c r="SJW41" s="1091"/>
      <c r="SJX41" s="1091"/>
      <c r="SJY41" s="1091"/>
      <c r="SJZ41" s="1091"/>
      <c r="SKA41" s="1091"/>
      <c r="SKB41" s="1091"/>
      <c r="SKC41" s="1091"/>
      <c r="SKD41" s="1091"/>
      <c r="SKE41" s="1091"/>
      <c r="SKF41" s="1091"/>
      <c r="SKG41" s="1091"/>
      <c r="SKH41" s="1091"/>
      <c r="SKI41" s="1091"/>
      <c r="SKJ41" s="1091"/>
      <c r="SKK41" s="1091"/>
      <c r="SKL41" s="1091"/>
      <c r="SKM41" s="1091"/>
      <c r="SKN41" s="1091"/>
      <c r="SKO41" s="1091"/>
      <c r="SKP41" s="1091"/>
      <c r="SKQ41" s="1091"/>
      <c r="SKR41" s="1091"/>
      <c r="SKS41" s="1091"/>
      <c r="SKT41" s="1091"/>
      <c r="SKU41" s="1091"/>
      <c r="SKV41" s="1091"/>
      <c r="SKW41" s="1091"/>
      <c r="SKX41" s="1091"/>
      <c r="SKY41" s="1091"/>
      <c r="SKZ41" s="1091"/>
      <c r="SLA41" s="1091"/>
      <c r="SLB41" s="1091"/>
      <c r="SLC41" s="1091"/>
      <c r="SLD41" s="1091"/>
      <c r="SLE41" s="1091"/>
      <c r="SLF41" s="1091"/>
      <c r="SLG41" s="1091"/>
      <c r="SLH41" s="1091"/>
      <c r="SLI41" s="1091"/>
      <c r="SLJ41" s="1091"/>
      <c r="SLK41" s="1091"/>
      <c r="SLL41" s="1091"/>
      <c r="SLM41" s="1091"/>
      <c r="SLN41" s="1091"/>
      <c r="SLO41" s="1091"/>
      <c r="SLP41" s="1091"/>
      <c r="SLQ41" s="1091"/>
      <c r="SLR41" s="1091"/>
      <c r="SLS41" s="1091"/>
      <c r="SLT41" s="1091"/>
      <c r="SLU41" s="1091"/>
      <c r="SLV41" s="1091"/>
      <c r="SLW41" s="1091"/>
      <c r="SLX41" s="1091"/>
      <c r="SLY41" s="1091"/>
      <c r="SLZ41" s="1091"/>
      <c r="SMA41" s="1091"/>
      <c r="SMB41" s="1091"/>
      <c r="SMC41" s="1091"/>
      <c r="SMD41" s="1091"/>
      <c r="SME41" s="1091"/>
      <c r="SMF41" s="1091"/>
      <c r="SMG41" s="1091"/>
      <c r="SMH41" s="1091"/>
      <c r="SMI41" s="1091"/>
      <c r="SMJ41" s="1091"/>
      <c r="SMK41" s="1091"/>
      <c r="SML41" s="1091"/>
      <c r="SMM41" s="1091"/>
      <c r="SMN41" s="1091"/>
      <c r="SMO41" s="1091"/>
      <c r="SMP41" s="1091"/>
      <c r="SMQ41" s="1091"/>
      <c r="SMR41" s="1091"/>
      <c r="SMS41" s="1091"/>
      <c r="SMT41" s="1091"/>
      <c r="SMU41" s="1091"/>
      <c r="SMV41" s="1091"/>
      <c r="SMW41" s="1091"/>
      <c r="SMX41" s="1091"/>
      <c r="SMY41" s="1091"/>
      <c r="SMZ41" s="1091"/>
      <c r="SNA41" s="1091"/>
      <c r="SNB41" s="1091"/>
      <c r="SNC41" s="1091"/>
      <c r="SND41" s="1091"/>
      <c r="SNE41" s="1091"/>
      <c r="SNF41" s="1091"/>
      <c r="SNG41" s="1091"/>
      <c r="SNH41" s="1091"/>
      <c r="SNI41" s="1091"/>
      <c r="SNJ41" s="1091"/>
      <c r="SNK41" s="1091"/>
      <c r="SNL41" s="1091"/>
      <c r="SNM41" s="1091"/>
      <c r="SNN41" s="1091"/>
      <c r="SNO41" s="1091"/>
      <c r="SNP41" s="1091"/>
      <c r="SNQ41" s="1091"/>
      <c r="SNR41" s="1091"/>
      <c r="SNS41" s="1091"/>
      <c r="SNT41" s="1091"/>
      <c r="SNU41" s="1091"/>
      <c r="SNV41" s="1091"/>
      <c r="SNW41" s="1091"/>
      <c r="SNX41" s="1091"/>
      <c r="SNY41" s="1091"/>
      <c r="SNZ41" s="1091"/>
      <c r="SOA41" s="1091"/>
      <c r="SOB41" s="1091"/>
      <c r="SOC41" s="1091"/>
      <c r="SOD41" s="1091"/>
      <c r="SOE41" s="1091"/>
      <c r="SOF41" s="1091"/>
      <c r="SOG41" s="1091"/>
      <c r="SOH41" s="1091"/>
      <c r="SOI41" s="1091"/>
      <c r="SOJ41" s="1091"/>
      <c r="SOK41" s="1091"/>
      <c r="SOL41" s="1091"/>
      <c r="SOM41" s="1091"/>
      <c r="SON41" s="1091"/>
      <c r="SOO41" s="1091"/>
      <c r="SOP41" s="1091"/>
      <c r="SOQ41" s="1091"/>
      <c r="SOR41" s="1091"/>
      <c r="SOS41" s="1091"/>
      <c r="SOT41" s="1091"/>
      <c r="SOU41" s="1091"/>
      <c r="SOV41" s="1091"/>
      <c r="SOW41" s="1091"/>
      <c r="SOX41" s="1091"/>
      <c r="SOY41" s="1091"/>
      <c r="SOZ41" s="1091"/>
      <c r="SPA41" s="1091"/>
      <c r="SPB41" s="1091"/>
      <c r="SPC41" s="1091"/>
      <c r="SPD41" s="1091"/>
      <c r="SPE41" s="1091"/>
      <c r="SPF41" s="1091"/>
      <c r="SPG41" s="1091"/>
      <c r="SPH41" s="1091"/>
      <c r="SPI41" s="1091"/>
      <c r="SPJ41" s="1091"/>
      <c r="SPK41" s="1091"/>
      <c r="SPL41" s="1091"/>
      <c r="SPM41" s="1091"/>
      <c r="SPN41" s="1091"/>
      <c r="SPO41" s="1091"/>
      <c r="SPP41" s="1091"/>
      <c r="SPQ41" s="1091"/>
      <c r="SPR41" s="1091"/>
      <c r="SPS41" s="1091"/>
      <c r="SPT41" s="1091"/>
      <c r="SPU41" s="1091"/>
      <c r="SPV41" s="1091"/>
      <c r="SPW41" s="1091"/>
      <c r="SPX41" s="1091"/>
      <c r="SPY41" s="1091"/>
      <c r="SPZ41" s="1091"/>
      <c r="SQA41" s="1091"/>
      <c r="SQB41" s="1091"/>
      <c r="SQC41" s="1091"/>
      <c r="SQD41" s="1091"/>
      <c r="SQE41" s="1091"/>
      <c r="SQF41" s="1091"/>
      <c r="SQG41" s="1091"/>
      <c r="SQH41" s="1091"/>
      <c r="SQI41" s="1091"/>
      <c r="SQJ41" s="1091"/>
      <c r="SQK41" s="1091"/>
      <c r="SQL41" s="1091"/>
      <c r="SQM41" s="1091"/>
      <c r="SQN41" s="1091"/>
      <c r="SQO41" s="1091"/>
      <c r="SQP41" s="1091"/>
      <c r="SQQ41" s="1091"/>
      <c r="SQR41" s="1091"/>
      <c r="SQS41" s="1091"/>
      <c r="SQT41" s="1091"/>
      <c r="SQU41" s="1091"/>
      <c r="SQV41" s="1091"/>
      <c r="SQW41" s="1091"/>
      <c r="SQX41" s="1091"/>
      <c r="SQY41" s="1091"/>
      <c r="SQZ41" s="1091"/>
      <c r="SRA41" s="1091"/>
      <c r="SRB41" s="1091"/>
      <c r="SRC41" s="1091"/>
      <c r="SRD41" s="1091"/>
      <c r="SRE41" s="1091"/>
      <c r="SRF41" s="1091"/>
      <c r="SRG41" s="1091"/>
      <c r="SRH41" s="1091"/>
      <c r="SRI41" s="1091"/>
      <c r="SRJ41" s="1091"/>
      <c r="SRK41" s="1091"/>
      <c r="SRL41" s="1091"/>
      <c r="SRM41" s="1091"/>
      <c r="SRN41" s="1091"/>
      <c r="SRO41" s="1091"/>
      <c r="SRP41" s="1091"/>
      <c r="SRQ41" s="1091"/>
      <c r="SRR41" s="1091"/>
      <c r="SRS41" s="1091"/>
      <c r="SRT41" s="1091"/>
      <c r="SRU41" s="1091"/>
      <c r="SRV41" s="1091"/>
      <c r="SRW41" s="1091"/>
      <c r="SRX41" s="1091"/>
      <c r="SRY41" s="1091"/>
      <c r="SRZ41" s="1091"/>
      <c r="SSA41" s="1091"/>
      <c r="SSB41" s="1091"/>
      <c r="SSC41" s="1091"/>
      <c r="SSD41" s="1091"/>
      <c r="SSE41" s="1091"/>
      <c r="SSF41" s="1091"/>
      <c r="SSG41" s="1091"/>
      <c r="SSH41" s="1091"/>
      <c r="SSI41" s="1091"/>
      <c r="SSJ41" s="1091"/>
      <c r="SSK41" s="1091"/>
      <c r="SSL41" s="1091"/>
      <c r="SSM41" s="1091"/>
      <c r="SSN41" s="1091"/>
      <c r="SSO41" s="1091"/>
      <c r="SSP41" s="1091"/>
      <c r="SSQ41" s="1091"/>
      <c r="SSR41" s="1091"/>
      <c r="SSS41" s="1091"/>
      <c r="SST41" s="1091"/>
      <c r="SSU41" s="1091"/>
      <c r="SSV41" s="1091"/>
      <c r="SSW41" s="1091"/>
      <c r="SSX41" s="1091"/>
      <c r="SSY41" s="1091"/>
      <c r="SSZ41" s="1091"/>
      <c r="STA41" s="1091"/>
      <c r="STB41" s="1091"/>
      <c r="STC41" s="1091"/>
      <c r="STD41" s="1091"/>
      <c r="STE41" s="1091"/>
      <c r="STF41" s="1091"/>
      <c r="STG41" s="1091"/>
      <c r="STH41" s="1091"/>
      <c r="STI41" s="1091"/>
      <c r="STJ41" s="1091"/>
      <c r="STK41" s="1091"/>
      <c r="STL41" s="1091"/>
      <c r="STM41" s="1091"/>
      <c r="STN41" s="1091"/>
      <c r="STO41" s="1091"/>
      <c r="STP41" s="1091"/>
      <c r="STQ41" s="1091"/>
      <c r="STR41" s="1091"/>
      <c r="STS41" s="1091"/>
      <c r="STT41" s="1091"/>
      <c r="STU41" s="1091"/>
      <c r="STV41" s="1091"/>
      <c r="STW41" s="1091"/>
      <c r="STX41" s="1091"/>
      <c r="STY41" s="1091"/>
      <c r="STZ41" s="1091"/>
      <c r="SUA41" s="1091"/>
      <c r="SUB41" s="1091"/>
      <c r="SUC41" s="1091"/>
      <c r="SUD41" s="1091"/>
      <c r="SUE41" s="1091"/>
      <c r="SUF41" s="1091"/>
      <c r="SUG41" s="1091"/>
      <c r="SUH41" s="1091"/>
      <c r="SUI41" s="1091"/>
      <c r="SUJ41" s="1091"/>
      <c r="SUK41" s="1091"/>
      <c r="SUL41" s="1091"/>
      <c r="SUM41" s="1091"/>
      <c r="SUN41" s="1091"/>
      <c r="SUO41" s="1091"/>
      <c r="SUP41" s="1091"/>
      <c r="SUQ41" s="1091"/>
      <c r="SUR41" s="1091"/>
      <c r="SUS41" s="1091"/>
      <c r="SUT41" s="1091"/>
      <c r="SUU41" s="1091"/>
      <c r="SUV41" s="1091"/>
      <c r="SUW41" s="1091"/>
      <c r="SUX41" s="1091"/>
      <c r="SUY41" s="1091"/>
      <c r="SUZ41" s="1091"/>
      <c r="SVA41" s="1091"/>
      <c r="SVB41" s="1091"/>
      <c r="SVC41" s="1091"/>
      <c r="SVD41" s="1091"/>
      <c r="SVE41" s="1091"/>
      <c r="SVF41" s="1091"/>
      <c r="SVG41" s="1091"/>
      <c r="SVH41" s="1091"/>
      <c r="SVI41" s="1091"/>
      <c r="SVJ41" s="1091"/>
      <c r="SVK41" s="1091"/>
      <c r="SVL41" s="1091"/>
      <c r="SVM41" s="1091"/>
      <c r="SVN41" s="1091"/>
      <c r="SVO41" s="1091"/>
      <c r="SVP41" s="1091"/>
      <c r="SVQ41" s="1091"/>
      <c r="SVR41" s="1091"/>
      <c r="SVS41" s="1091"/>
      <c r="SVT41" s="1091"/>
      <c r="SVU41" s="1091"/>
      <c r="SVV41" s="1091"/>
      <c r="SVW41" s="1091"/>
      <c r="SVX41" s="1091"/>
      <c r="SVY41" s="1091"/>
      <c r="SVZ41" s="1091"/>
      <c r="SWA41" s="1091"/>
      <c r="SWB41" s="1091"/>
      <c r="SWC41" s="1091"/>
      <c r="SWD41" s="1091"/>
      <c r="SWE41" s="1091"/>
      <c r="SWF41" s="1091"/>
      <c r="SWG41" s="1091"/>
      <c r="SWH41" s="1091"/>
      <c r="SWI41" s="1091"/>
      <c r="SWJ41" s="1091"/>
      <c r="SWK41" s="1091"/>
      <c r="SWL41" s="1091"/>
      <c r="SWM41" s="1091"/>
      <c r="SWN41" s="1091"/>
      <c r="SWO41" s="1091"/>
      <c r="SWP41" s="1091"/>
      <c r="SWQ41" s="1091"/>
      <c r="SWR41" s="1091"/>
      <c r="SWS41" s="1091"/>
      <c r="SWT41" s="1091"/>
      <c r="SWU41" s="1091"/>
      <c r="SWV41" s="1091"/>
      <c r="SWW41" s="1091"/>
      <c r="SWX41" s="1091"/>
      <c r="SWY41" s="1091"/>
      <c r="SWZ41" s="1091"/>
      <c r="SXA41" s="1091"/>
      <c r="SXB41" s="1091"/>
      <c r="SXC41" s="1091"/>
      <c r="SXD41" s="1091"/>
      <c r="SXE41" s="1091"/>
      <c r="SXF41" s="1091"/>
      <c r="SXG41" s="1091"/>
      <c r="SXH41" s="1091"/>
      <c r="SXI41" s="1091"/>
      <c r="SXJ41" s="1091"/>
      <c r="SXK41" s="1091"/>
      <c r="SXL41" s="1091"/>
      <c r="SXM41" s="1091"/>
      <c r="SXN41" s="1091"/>
      <c r="SXO41" s="1091"/>
      <c r="SXP41" s="1091"/>
      <c r="SXQ41" s="1091"/>
      <c r="SXR41" s="1091"/>
      <c r="SXS41" s="1091"/>
      <c r="SXT41" s="1091"/>
      <c r="SXU41" s="1091"/>
      <c r="SXV41" s="1091"/>
      <c r="SXW41" s="1091"/>
      <c r="SXX41" s="1091"/>
      <c r="SXY41" s="1091"/>
      <c r="SXZ41" s="1091"/>
      <c r="SYA41" s="1091"/>
      <c r="SYB41" s="1091"/>
      <c r="SYC41" s="1091"/>
      <c r="SYD41" s="1091"/>
      <c r="SYE41" s="1091"/>
      <c r="SYF41" s="1091"/>
      <c r="SYG41" s="1091"/>
      <c r="SYH41" s="1091"/>
      <c r="SYI41" s="1091"/>
      <c r="SYJ41" s="1091"/>
      <c r="SYK41" s="1091"/>
      <c r="SYL41" s="1091"/>
      <c r="SYM41" s="1091"/>
      <c r="SYN41" s="1091"/>
      <c r="SYO41" s="1091"/>
      <c r="SYP41" s="1091"/>
      <c r="SYQ41" s="1091"/>
      <c r="SYR41" s="1091"/>
      <c r="SYS41" s="1091"/>
      <c r="SYT41" s="1091"/>
      <c r="SYU41" s="1091"/>
      <c r="SYV41" s="1091"/>
      <c r="SYW41" s="1091"/>
      <c r="SYX41" s="1091"/>
      <c r="SYY41" s="1091"/>
      <c r="SYZ41" s="1091"/>
      <c r="SZA41" s="1091"/>
      <c r="SZB41" s="1091"/>
      <c r="SZC41" s="1091"/>
      <c r="SZD41" s="1091"/>
      <c r="SZE41" s="1091"/>
      <c r="SZF41" s="1091"/>
      <c r="SZG41" s="1091"/>
      <c r="SZH41" s="1091"/>
      <c r="SZI41" s="1091"/>
      <c r="SZJ41" s="1091"/>
      <c r="SZK41" s="1091"/>
      <c r="SZL41" s="1091"/>
      <c r="SZM41" s="1091"/>
      <c r="SZN41" s="1091"/>
      <c r="SZO41" s="1091"/>
      <c r="SZP41" s="1091"/>
      <c r="SZQ41" s="1091"/>
      <c r="SZR41" s="1091"/>
      <c r="SZS41" s="1091"/>
      <c r="SZT41" s="1091"/>
      <c r="SZU41" s="1091"/>
      <c r="SZV41" s="1091"/>
      <c r="SZW41" s="1091"/>
      <c r="SZX41" s="1091"/>
      <c r="SZY41" s="1091"/>
      <c r="SZZ41" s="1091"/>
      <c r="TAA41" s="1091"/>
      <c r="TAB41" s="1091"/>
      <c r="TAC41" s="1091"/>
      <c r="TAD41" s="1091"/>
      <c r="TAE41" s="1091"/>
      <c r="TAF41" s="1091"/>
      <c r="TAG41" s="1091"/>
      <c r="TAH41" s="1091"/>
      <c r="TAI41" s="1091"/>
      <c r="TAJ41" s="1091"/>
      <c r="TAK41" s="1091"/>
      <c r="TAL41" s="1091"/>
      <c r="TAM41" s="1091"/>
      <c r="TAN41" s="1091"/>
      <c r="TAO41" s="1091"/>
      <c r="TAP41" s="1091"/>
      <c r="TAQ41" s="1091"/>
      <c r="TAR41" s="1091"/>
      <c r="TAS41" s="1091"/>
      <c r="TAT41" s="1091"/>
      <c r="TAU41" s="1091"/>
      <c r="TAV41" s="1091"/>
      <c r="TAW41" s="1091"/>
      <c r="TAX41" s="1091"/>
      <c r="TAY41" s="1091"/>
      <c r="TAZ41" s="1091"/>
      <c r="TBA41" s="1091"/>
      <c r="TBB41" s="1091"/>
      <c r="TBC41" s="1091"/>
      <c r="TBD41" s="1091"/>
      <c r="TBE41" s="1091"/>
      <c r="TBF41" s="1091"/>
      <c r="TBG41" s="1091"/>
      <c r="TBH41" s="1091"/>
      <c r="TBI41" s="1091"/>
      <c r="TBJ41" s="1091"/>
      <c r="TBK41" s="1091"/>
      <c r="TBL41" s="1091"/>
      <c r="TBM41" s="1091"/>
      <c r="TBN41" s="1091"/>
      <c r="TBO41" s="1091"/>
      <c r="TBP41" s="1091"/>
      <c r="TBQ41" s="1091"/>
      <c r="TBR41" s="1091"/>
      <c r="TBS41" s="1091"/>
      <c r="TBT41" s="1091"/>
      <c r="TBU41" s="1091"/>
      <c r="TBV41" s="1091"/>
      <c r="TBW41" s="1091"/>
      <c r="TBX41" s="1091"/>
      <c r="TBY41" s="1091"/>
      <c r="TBZ41" s="1091"/>
      <c r="TCA41" s="1091"/>
      <c r="TCB41" s="1091"/>
      <c r="TCC41" s="1091"/>
      <c r="TCD41" s="1091"/>
      <c r="TCE41" s="1091"/>
      <c r="TCF41" s="1091"/>
      <c r="TCG41" s="1091"/>
      <c r="TCH41" s="1091"/>
      <c r="TCI41" s="1091"/>
      <c r="TCJ41" s="1091"/>
      <c r="TCK41" s="1091"/>
      <c r="TCL41" s="1091"/>
      <c r="TCM41" s="1091"/>
      <c r="TCN41" s="1091"/>
      <c r="TCO41" s="1091"/>
      <c r="TCP41" s="1091"/>
      <c r="TCQ41" s="1091"/>
      <c r="TCR41" s="1091"/>
      <c r="TCS41" s="1091"/>
      <c r="TCT41" s="1091"/>
      <c r="TCU41" s="1091"/>
      <c r="TCV41" s="1091"/>
      <c r="TCW41" s="1091"/>
      <c r="TCX41" s="1091"/>
      <c r="TCY41" s="1091"/>
      <c r="TCZ41" s="1091"/>
      <c r="TDA41" s="1091"/>
      <c r="TDB41" s="1091"/>
      <c r="TDC41" s="1091"/>
      <c r="TDD41" s="1091"/>
      <c r="TDE41" s="1091"/>
      <c r="TDF41" s="1091"/>
      <c r="TDG41" s="1091"/>
      <c r="TDH41" s="1091"/>
      <c r="TDI41" s="1091"/>
      <c r="TDJ41" s="1091"/>
      <c r="TDK41" s="1091"/>
      <c r="TDL41" s="1091"/>
      <c r="TDM41" s="1091"/>
      <c r="TDN41" s="1091"/>
      <c r="TDO41" s="1091"/>
      <c r="TDP41" s="1091"/>
      <c r="TDQ41" s="1091"/>
      <c r="TDR41" s="1091"/>
      <c r="TDS41" s="1091"/>
      <c r="TDT41" s="1091"/>
      <c r="TDU41" s="1091"/>
      <c r="TDV41" s="1091"/>
      <c r="TDW41" s="1091"/>
      <c r="TDX41" s="1091"/>
      <c r="TDY41" s="1091"/>
      <c r="TDZ41" s="1091"/>
      <c r="TEA41" s="1091"/>
      <c r="TEB41" s="1091"/>
      <c r="TEC41" s="1091"/>
      <c r="TED41" s="1091"/>
      <c r="TEE41" s="1091"/>
      <c r="TEF41" s="1091"/>
      <c r="TEG41" s="1091"/>
      <c r="TEH41" s="1091"/>
      <c r="TEI41" s="1091"/>
      <c r="TEJ41" s="1091"/>
      <c r="TEK41" s="1091"/>
      <c r="TEL41" s="1091"/>
      <c r="TEM41" s="1091"/>
      <c r="TEN41" s="1091"/>
      <c r="TEO41" s="1091"/>
      <c r="TEP41" s="1091"/>
      <c r="TEQ41" s="1091"/>
      <c r="TER41" s="1091"/>
      <c r="TES41" s="1091"/>
      <c r="TET41" s="1091"/>
      <c r="TEU41" s="1091"/>
      <c r="TEV41" s="1091"/>
      <c r="TEW41" s="1091"/>
      <c r="TEX41" s="1091"/>
      <c r="TEY41" s="1091"/>
      <c r="TEZ41" s="1091"/>
      <c r="TFA41" s="1091"/>
      <c r="TFB41" s="1091"/>
      <c r="TFC41" s="1091"/>
      <c r="TFD41" s="1091"/>
      <c r="TFE41" s="1091"/>
      <c r="TFF41" s="1091"/>
      <c r="TFG41" s="1091"/>
      <c r="TFH41" s="1091"/>
      <c r="TFI41" s="1091"/>
      <c r="TFJ41" s="1091"/>
      <c r="TFK41" s="1091"/>
      <c r="TFL41" s="1091"/>
      <c r="TFM41" s="1091"/>
      <c r="TFN41" s="1091"/>
      <c r="TFO41" s="1091"/>
      <c r="TFP41" s="1091"/>
      <c r="TFQ41" s="1091"/>
      <c r="TFR41" s="1091"/>
      <c r="TFS41" s="1091"/>
      <c r="TFT41" s="1091"/>
      <c r="TFU41" s="1091"/>
      <c r="TFV41" s="1091"/>
      <c r="TFW41" s="1091"/>
      <c r="TFX41" s="1091"/>
      <c r="TFY41" s="1091"/>
      <c r="TFZ41" s="1091"/>
      <c r="TGA41" s="1091"/>
      <c r="TGB41" s="1091"/>
      <c r="TGC41" s="1091"/>
      <c r="TGD41" s="1091"/>
      <c r="TGE41" s="1091"/>
      <c r="TGF41" s="1091"/>
      <c r="TGG41" s="1091"/>
      <c r="TGH41" s="1091"/>
      <c r="TGI41" s="1091"/>
      <c r="TGJ41" s="1091"/>
      <c r="TGK41" s="1091"/>
      <c r="TGL41" s="1091"/>
      <c r="TGM41" s="1091"/>
      <c r="TGN41" s="1091"/>
      <c r="TGO41" s="1091"/>
      <c r="TGP41" s="1091"/>
      <c r="TGQ41" s="1091"/>
      <c r="TGR41" s="1091"/>
      <c r="TGS41" s="1091"/>
      <c r="TGT41" s="1091"/>
      <c r="TGU41" s="1091"/>
      <c r="TGV41" s="1091"/>
      <c r="TGW41" s="1091"/>
      <c r="TGX41" s="1091"/>
      <c r="TGY41" s="1091"/>
      <c r="TGZ41" s="1091"/>
      <c r="THA41" s="1091"/>
      <c r="THB41" s="1091"/>
      <c r="THC41" s="1091"/>
      <c r="THD41" s="1091"/>
      <c r="THE41" s="1091"/>
      <c r="THF41" s="1091"/>
      <c r="THG41" s="1091"/>
      <c r="THH41" s="1091"/>
      <c r="THI41" s="1091"/>
      <c r="THJ41" s="1091"/>
      <c r="THK41" s="1091"/>
      <c r="THL41" s="1091"/>
      <c r="THM41" s="1091"/>
      <c r="THN41" s="1091"/>
      <c r="THO41" s="1091"/>
      <c r="THP41" s="1091"/>
      <c r="THQ41" s="1091"/>
      <c r="THR41" s="1091"/>
      <c r="THS41" s="1091"/>
      <c r="THT41" s="1091"/>
      <c r="THU41" s="1091"/>
      <c r="THV41" s="1091"/>
      <c r="THW41" s="1091"/>
      <c r="THX41" s="1091"/>
      <c r="THY41" s="1091"/>
      <c r="THZ41" s="1091"/>
      <c r="TIA41" s="1091"/>
      <c r="TIB41" s="1091"/>
      <c r="TIC41" s="1091"/>
      <c r="TID41" s="1091"/>
      <c r="TIE41" s="1091"/>
      <c r="TIF41" s="1091"/>
      <c r="TIG41" s="1091"/>
      <c r="TIH41" s="1091"/>
      <c r="TII41" s="1091"/>
      <c r="TIJ41" s="1091"/>
      <c r="TIK41" s="1091"/>
      <c r="TIL41" s="1091"/>
      <c r="TIM41" s="1091"/>
      <c r="TIN41" s="1091"/>
      <c r="TIO41" s="1091"/>
      <c r="TIP41" s="1091"/>
      <c r="TIQ41" s="1091"/>
      <c r="TIR41" s="1091"/>
      <c r="TIS41" s="1091"/>
      <c r="TIT41" s="1091"/>
      <c r="TIU41" s="1091"/>
      <c r="TIV41" s="1091"/>
      <c r="TIW41" s="1091"/>
      <c r="TIX41" s="1091"/>
      <c r="TIY41" s="1091"/>
      <c r="TIZ41" s="1091"/>
      <c r="TJA41" s="1091"/>
      <c r="TJB41" s="1091"/>
      <c r="TJC41" s="1091"/>
      <c r="TJD41" s="1091"/>
      <c r="TJE41" s="1091"/>
      <c r="TJF41" s="1091"/>
      <c r="TJG41" s="1091"/>
      <c r="TJH41" s="1091"/>
      <c r="TJI41" s="1091"/>
      <c r="TJJ41" s="1091"/>
      <c r="TJK41" s="1091"/>
      <c r="TJL41" s="1091"/>
      <c r="TJM41" s="1091"/>
      <c r="TJN41" s="1091"/>
      <c r="TJO41" s="1091"/>
      <c r="TJP41" s="1091"/>
      <c r="TJQ41" s="1091"/>
      <c r="TJR41" s="1091"/>
      <c r="TJS41" s="1091"/>
      <c r="TJT41" s="1091"/>
      <c r="TJU41" s="1091"/>
      <c r="TJV41" s="1091"/>
      <c r="TJW41" s="1091"/>
      <c r="TJX41" s="1091"/>
      <c r="TJY41" s="1091"/>
      <c r="TJZ41" s="1091"/>
      <c r="TKA41" s="1091"/>
      <c r="TKB41" s="1091"/>
      <c r="TKC41" s="1091"/>
      <c r="TKD41" s="1091"/>
      <c r="TKE41" s="1091"/>
      <c r="TKF41" s="1091"/>
      <c r="TKG41" s="1091"/>
      <c r="TKH41" s="1091"/>
      <c r="TKI41" s="1091"/>
      <c r="TKJ41" s="1091"/>
      <c r="TKK41" s="1091"/>
      <c r="TKL41" s="1091"/>
      <c r="TKM41" s="1091"/>
      <c r="TKN41" s="1091"/>
      <c r="TKO41" s="1091"/>
      <c r="TKP41" s="1091"/>
      <c r="TKQ41" s="1091"/>
      <c r="TKR41" s="1091"/>
      <c r="TKS41" s="1091"/>
      <c r="TKT41" s="1091"/>
      <c r="TKU41" s="1091"/>
      <c r="TKV41" s="1091"/>
      <c r="TKW41" s="1091"/>
      <c r="TKX41" s="1091"/>
      <c r="TKY41" s="1091"/>
      <c r="TKZ41" s="1091"/>
      <c r="TLA41" s="1091"/>
      <c r="TLB41" s="1091"/>
      <c r="TLC41" s="1091"/>
      <c r="TLD41" s="1091"/>
      <c r="TLE41" s="1091"/>
      <c r="TLF41" s="1091"/>
      <c r="TLG41" s="1091"/>
      <c r="TLH41" s="1091"/>
      <c r="TLI41" s="1091"/>
      <c r="TLJ41" s="1091"/>
      <c r="TLK41" s="1091"/>
      <c r="TLL41" s="1091"/>
      <c r="TLM41" s="1091"/>
      <c r="TLN41" s="1091"/>
      <c r="TLO41" s="1091"/>
      <c r="TLP41" s="1091"/>
      <c r="TLQ41" s="1091"/>
      <c r="TLR41" s="1091"/>
      <c r="TLS41" s="1091"/>
      <c r="TLT41" s="1091"/>
      <c r="TLU41" s="1091"/>
      <c r="TLV41" s="1091"/>
      <c r="TLW41" s="1091"/>
      <c r="TLX41" s="1091"/>
      <c r="TLY41" s="1091"/>
      <c r="TLZ41" s="1091"/>
      <c r="TMA41" s="1091"/>
      <c r="TMB41" s="1091"/>
      <c r="TMC41" s="1091"/>
      <c r="TMD41" s="1091"/>
      <c r="TME41" s="1091"/>
      <c r="TMF41" s="1091"/>
      <c r="TMG41" s="1091"/>
      <c r="TMH41" s="1091"/>
      <c r="TMI41" s="1091"/>
      <c r="TMJ41" s="1091"/>
      <c r="TMK41" s="1091"/>
      <c r="TML41" s="1091"/>
      <c r="TMM41" s="1091"/>
      <c r="TMN41" s="1091"/>
      <c r="TMO41" s="1091"/>
      <c r="TMP41" s="1091"/>
      <c r="TMQ41" s="1091"/>
      <c r="TMR41" s="1091"/>
      <c r="TMS41" s="1091"/>
      <c r="TMT41" s="1091"/>
      <c r="TMU41" s="1091"/>
      <c r="TMV41" s="1091"/>
      <c r="TMW41" s="1091"/>
      <c r="TMX41" s="1091"/>
      <c r="TMY41" s="1091"/>
      <c r="TMZ41" s="1091"/>
      <c r="TNA41" s="1091"/>
      <c r="TNB41" s="1091"/>
      <c r="TNC41" s="1091"/>
      <c r="TND41" s="1091"/>
      <c r="TNE41" s="1091"/>
      <c r="TNF41" s="1091"/>
      <c r="TNG41" s="1091"/>
      <c r="TNH41" s="1091"/>
      <c r="TNI41" s="1091"/>
      <c r="TNJ41" s="1091"/>
      <c r="TNK41" s="1091"/>
      <c r="TNL41" s="1091"/>
      <c r="TNM41" s="1091"/>
      <c r="TNN41" s="1091"/>
      <c r="TNO41" s="1091"/>
      <c r="TNP41" s="1091"/>
      <c r="TNQ41" s="1091"/>
      <c r="TNR41" s="1091"/>
      <c r="TNS41" s="1091"/>
      <c r="TNT41" s="1091"/>
      <c r="TNU41" s="1091"/>
      <c r="TNV41" s="1091"/>
      <c r="TNW41" s="1091"/>
      <c r="TNX41" s="1091"/>
      <c r="TNY41" s="1091"/>
      <c r="TNZ41" s="1091"/>
      <c r="TOA41" s="1091"/>
      <c r="TOB41" s="1091"/>
      <c r="TOC41" s="1091"/>
      <c r="TOD41" s="1091"/>
      <c r="TOE41" s="1091"/>
      <c r="TOF41" s="1091"/>
      <c r="TOG41" s="1091"/>
      <c r="TOH41" s="1091"/>
      <c r="TOI41" s="1091"/>
      <c r="TOJ41" s="1091"/>
      <c r="TOK41" s="1091"/>
      <c r="TOL41" s="1091"/>
      <c r="TOM41" s="1091"/>
      <c r="TON41" s="1091"/>
      <c r="TOO41" s="1091"/>
      <c r="TOP41" s="1091"/>
      <c r="TOQ41" s="1091"/>
      <c r="TOR41" s="1091"/>
      <c r="TOS41" s="1091"/>
      <c r="TOT41" s="1091"/>
      <c r="TOU41" s="1091"/>
      <c r="TOV41" s="1091"/>
      <c r="TOW41" s="1091"/>
      <c r="TOX41" s="1091"/>
      <c r="TOY41" s="1091"/>
      <c r="TOZ41" s="1091"/>
      <c r="TPA41" s="1091"/>
      <c r="TPB41" s="1091"/>
      <c r="TPC41" s="1091"/>
      <c r="TPD41" s="1091"/>
      <c r="TPE41" s="1091"/>
      <c r="TPF41" s="1091"/>
      <c r="TPG41" s="1091"/>
      <c r="TPH41" s="1091"/>
      <c r="TPI41" s="1091"/>
      <c r="TPJ41" s="1091"/>
      <c r="TPK41" s="1091"/>
      <c r="TPL41" s="1091"/>
      <c r="TPM41" s="1091"/>
      <c r="TPN41" s="1091"/>
      <c r="TPO41" s="1091"/>
      <c r="TPP41" s="1091"/>
      <c r="TPQ41" s="1091"/>
      <c r="TPR41" s="1091"/>
      <c r="TPS41" s="1091"/>
      <c r="TPT41" s="1091"/>
      <c r="TPU41" s="1091"/>
      <c r="TPV41" s="1091"/>
      <c r="TPW41" s="1091"/>
      <c r="TPX41" s="1091"/>
      <c r="TPY41" s="1091"/>
      <c r="TPZ41" s="1091"/>
      <c r="TQA41" s="1091"/>
      <c r="TQB41" s="1091"/>
      <c r="TQC41" s="1091"/>
      <c r="TQD41" s="1091"/>
      <c r="TQE41" s="1091"/>
      <c r="TQF41" s="1091"/>
      <c r="TQG41" s="1091"/>
      <c r="TQH41" s="1091"/>
      <c r="TQI41" s="1091"/>
      <c r="TQJ41" s="1091"/>
      <c r="TQK41" s="1091"/>
      <c r="TQL41" s="1091"/>
      <c r="TQM41" s="1091"/>
      <c r="TQN41" s="1091"/>
      <c r="TQO41" s="1091"/>
      <c r="TQP41" s="1091"/>
      <c r="TQQ41" s="1091"/>
      <c r="TQR41" s="1091"/>
      <c r="TQS41" s="1091"/>
      <c r="TQT41" s="1091"/>
      <c r="TQU41" s="1091"/>
      <c r="TQV41" s="1091"/>
      <c r="TQW41" s="1091"/>
      <c r="TQX41" s="1091"/>
      <c r="TQY41" s="1091"/>
      <c r="TQZ41" s="1091"/>
      <c r="TRA41" s="1091"/>
      <c r="TRB41" s="1091"/>
      <c r="TRC41" s="1091"/>
      <c r="TRD41" s="1091"/>
      <c r="TRE41" s="1091"/>
      <c r="TRF41" s="1091"/>
      <c r="TRG41" s="1091"/>
      <c r="TRH41" s="1091"/>
      <c r="TRI41" s="1091"/>
      <c r="TRJ41" s="1091"/>
      <c r="TRK41" s="1091"/>
      <c r="TRL41" s="1091"/>
      <c r="TRM41" s="1091"/>
      <c r="TRN41" s="1091"/>
      <c r="TRO41" s="1091"/>
      <c r="TRP41" s="1091"/>
      <c r="TRQ41" s="1091"/>
      <c r="TRR41" s="1091"/>
      <c r="TRS41" s="1091"/>
      <c r="TRT41" s="1091"/>
      <c r="TRU41" s="1091"/>
      <c r="TRV41" s="1091"/>
      <c r="TRW41" s="1091"/>
      <c r="TRX41" s="1091"/>
      <c r="TRY41" s="1091"/>
      <c r="TRZ41" s="1091"/>
      <c r="TSA41" s="1091"/>
      <c r="TSB41" s="1091"/>
      <c r="TSC41" s="1091"/>
      <c r="TSD41" s="1091"/>
      <c r="TSE41" s="1091"/>
      <c r="TSF41" s="1091"/>
      <c r="TSG41" s="1091"/>
      <c r="TSH41" s="1091"/>
      <c r="TSI41" s="1091"/>
      <c r="TSJ41" s="1091"/>
      <c r="TSK41" s="1091"/>
      <c r="TSL41" s="1091"/>
      <c r="TSM41" s="1091"/>
      <c r="TSN41" s="1091"/>
      <c r="TSO41" s="1091"/>
      <c r="TSP41" s="1091"/>
      <c r="TSQ41" s="1091"/>
      <c r="TSR41" s="1091"/>
      <c r="TSS41" s="1091"/>
      <c r="TST41" s="1091"/>
      <c r="TSU41" s="1091"/>
      <c r="TSV41" s="1091"/>
      <c r="TSW41" s="1091"/>
      <c r="TSX41" s="1091"/>
      <c r="TSY41" s="1091"/>
      <c r="TSZ41" s="1091"/>
      <c r="TTA41" s="1091"/>
      <c r="TTB41" s="1091"/>
      <c r="TTC41" s="1091"/>
      <c r="TTD41" s="1091"/>
      <c r="TTE41" s="1091"/>
      <c r="TTF41" s="1091"/>
      <c r="TTG41" s="1091"/>
      <c r="TTH41" s="1091"/>
      <c r="TTI41" s="1091"/>
      <c r="TTJ41" s="1091"/>
      <c r="TTK41" s="1091"/>
      <c r="TTL41" s="1091"/>
      <c r="TTM41" s="1091"/>
      <c r="TTN41" s="1091"/>
      <c r="TTO41" s="1091"/>
      <c r="TTP41" s="1091"/>
      <c r="TTQ41" s="1091"/>
      <c r="TTR41" s="1091"/>
      <c r="TTS41" s="1091"/>
      <c r="TTT41" s="1091"/>
      <c r="TTU41" s="1091"/>
      <c r="TTV41" s="1091"/>
      <c r="TTW41" s="1091"/>
      <c r="TTX41" s="1091"/>
      <c r="TTY41" s="1091"/>
      <c r="TTZ41" s="1091"/>
      <c r="TUA41" s="1091"/>
      <c r="TUB41" s="1091"/>
      <c r="TUC41" s="1091"/>
      <c r="TUD41" s="1091"/>
      <c r="TUE41" s="1091"/>
      <c r="TUF41" s="1091"/>
      <c r="TUG41" s="1091"/>
      <c r="TUH41" s="1091"/>
      <c r="TUI41" s="1091"/>
      <c r="TUJ41" s="1091"/>
      <c r="TUK41" s="1091"/>
      <c r="TUL41" s="1091"/>
      <c r="TUM41" s="1091"/>
      <c r="TUN41" s="1091"/>
      <c r="TUO41" s="1091"/>
      <c r="TUP41" s="1091"/>
      <c r="TUQ41" s="1091"/>
      <c r="TUR41" s="1091"/>
      <c r="TUS41" s="1091"/>
      <c r="TUT41" s="1091"/>
      <c r="TUU41" s="1091"/>
      <c r="TUV41" s="1091"/>
      <c r="TUW41" s="1091"/>
      <c r="TUX41" s="1091"/>
      <c r="TUY41" s="1091"/>
      <c r="TUZ41" s="1091"/>
      <c r="TVA41" s="1091"/>
      <c r="TVB41" s="1091"/>
      <c r="TVC41" s="1091"/>
      <c r="TVD41" s="1091"/>
      <c r="TVE41" s="1091"/>
      <c r="TVF41" s="1091"/>
      <c r="TVG41" s="1091"/>
      <c r="TVH41" s="1091"/>
      <c r="TVI41" s="1091"/>
      <c r="TVJ41" s="1091"/>
      <c r="TVK41" s="1091"/>
      <c r="TVL41" s="1091"/>
      <c r="TVM41" s="1091"/>
      <c r="TVN41" s="1091"/>
      <c r="TVO41" s="1091"/>
      <c r="TVP41" s="1091"/>
      <c r="TVQ41" s="1091"/>
      <c r="TVR41" s="1091"/>
      <c r="TVS41" s="1091"/>
      <c r="TVT41" s="1091"/>
      <c r="TVU41" s="1091"/>
      <c r="TVV41" s="1091"/>
      <c r="TVW41" s="1091"/>
      <c r="TVX41" s="1091"/>
      <c r="TVY41" s="1091"/>
      <c r="TVZ41" s="1091"/>
      <c r="TWA41" s="1091"/>
      <c r="TWB41" s="1091"/>
      <c r="TWC41" s="1091"/>
      <c r="TWD41" s="1091"/>
      <c r="TWE41" s="1091"/>
      <c r="TWF41" s="1091"/>
      <c r="TWG41" s="1091"/>
      <c r="TWH41" s="1091"/>
      <c r="TWI41" s="1091"/>
      <c r="TWJ41" s="1091"/>
      <c r="TWK41" s="1091"/>
      <c r="TWL41" s="1091"/>
      <c r="TWM41" s="1091"/>
      <c r="TWN41" s="1091"/>
      <c r="TWO41" s="1091"/>
      <c r="TWP41" s="1091"/>
      <c r="TWQ41" s="1091"/>
      <c r="TWR41" s="1091"/>
      <c r="TWS41" s="1091"/>
      <c r="TWT41" s="1091"/>
      <c r="TWU41" s="1091"/>
      <c r="TWV41" s="1091"/>
      <c r="TWW41" s="1091"/>
      <c r="TWX41" s="1091"/>
      <c r="TWY41" s="1091"/>
      <c r="TWZ41" s="1091"/>
      <c r="TXA41" s="1091"/>
      <c r="TXB41" s="1091"/>
      <c r="TXC41" s="1091"/>
      <c r="TXD41" s="1091"/>
      <c r="TXE41" s="1091"/>
      <c r="TXF41" s="1091"/>
      <c r="TXG41" s="1091"/>
      <c r="TXH41" s="1091"/>
      <c r="TXI41" s="1091"/>
      <c r="TXJ41" s="1091"/>
      <c r="TXK41" s="1091"/>
      <c r="TXL41" s="1091"/>
      <c r="TXM41" s="1091"/>
      <c r="TXN41" s="1091"/>
      <c r="TXO41" s="1091"/>
      <c r="TXP41" s="1091"/>
      <c r="TXQ41" s="1091"/>
      <c r="TXR41" s="1091"/>
      <c r="TXS41" s="1091"/>
      <c r="TXT41" s="1091"/>
      <c r="TXU41" s="1091"/>
      <c r="TXV41" s="1091"/>
      <c r="TXW41" s="1091"/>
      <c r="TXX41" s="1091"/>
      <c r="TXY41" s="1091"/>
      <c r="TXZ41" s="1091"/>
      <c r="TYA41" s="1091"/>
      <c r="TYB41" s="1091"/>
      <c r="TYC41" s="1091"/>
      <c r="TYD41" s="1091"/>
      <c r="TYE41" s="1091"/>
      <c r="TYF41" s="1091"/>
      <c r="TYG41" s="1091"/>
      <c r="TYH41" s="1091"/>
      <c r="TYI41" s="1091"/>
      <c r="TYJ41" s="1091"/>
      <c r="TYK41" s="1091"/>
      <c r="TYL41" s="1091"/>
      <c r="TYM41" s="1091"/>
      <c r="TYN41" s="1091"/>
      <c r="TYO41" s="1091"/>
      <c r="TYP41" s="1091"/>
      <c r="TYQ41" s="1091"/>
      <c r="TYR41" s="1091"/>
      <c r="TYS41" s="1091"/>
      <c r="TYT41" s="1091"/>
      <c r="TYU41" s="1091"/>
      <c r="TYV41" s="1091"/>
      <c r="TYW41" s="1091"/>
      <c r="TYX41" s="1091"/>
      <c r="TYY41" s="1091"/>
      <c r="TYZ41" s="1091"/>
      <c r="TZA41" s="1091"/>
      <c r="TZB41" s="1091"/>
      <c r="TZC41" s="1091"/>
      <c r="TZD41" s="1091"/>
      <c r="TZE41" s="1091"/>
      <c r="TZF41" s="1091"/>
      <c r="TZG41" s="1091"/>
      <c r="TZH41" s="1091"/>
      <c r="TZI41" s="1091"/>
      <c r="TZJ41" s="1091"/>
      <c r="TZK41" s="1091"/>
      <c r="TZL41" s="1091"/>
      <c r="TZM41" s="1091"/>
      <c r="TZN41" s="1091"/>
      <c r="TZO41" s="1091"/>
      <c r="TZP41" s="1091"/>
      <c r="TZQ41" s="1091"/>
      <c r="TZR41" s="1091"/>
      <c r="TZS41" s="1091"/>
      <c r="TZT41" s="1091"/>
      <c r="TZU41" s="1091"/>
      <c r="TZV41" s="1091"/>
      <c r="TZW41" s="1091"/>
      <c r="TZX41" s="1091"/>
      <c r="TZY41" s="1091"/>
      <c r="TZZ41" s="1091"/>
      <c r="UAA41" s="1091"/>
      <c r="UAB41" s="1091"/>
      <c r="UAC41" s="1091"/>
      <c r="UAD41" s="1091"/>
      <c r="UAE41" s="1091"/>
      <c r="UAF41" s="1091"/>
      <c r="UAG41" s="1091"/>
      <c r="UAH41" s="1091"/>
      <c r="UAI41" s="1091"/>
      <c r="UAJ41" s="1091"/>
      <c r="UAK41" s="1091"/>
      <c r="UAL41" s="1091"/>
      <c r="UAM41" s="1091"/>
      <c r="UAN41" s="1091"/>
      <c r="UAO41" s="1091"/>
      <c r="UAP41" s="1091"/>
      <c r="UAQ41" s="1091"/>
      <c r="UAR41" s="1091"/>
      <c r="UAS41" s="1091"/>
      <c r="UAT41" s="1091"/>
      <c r="UAU41" s="1091"/>
      <c r="UAV41" s="1091"/>
      <c r="UAW41" s="1091"/>
      <c r="UAX41" s="1091"/>
      <c r="UAY41" s="1091"/>
      <c r="UAZ41" s="1091"/>
      <c r="UBA41" s="1091"/>
      <c r="UBB41" s="1091"/>
      <c r="UBC41" s="1091"/>
      <c r="UBD41" s="1091"/>
      <c r="UBE41" s="1091"/>
      <c r="UBF41" s="1091"/>
      <c r="UBG41" s="1091"/>
      <c r="UBH41" s="1091"/>
      <c r="UBI41" s="1091"/>
      <c r="UBJ41" s="1091"/>
      <c r="UBK41" s="1091"/>
      <c r="UBL41" s="1091"/>
      <c r="UBM41" s="1091"/>
      <c r="UBN41" s="1091"/>
      <c r="UBO41" s="1091"/>
      <c r="UBP41" s="1091"/>
      <c r="UBQ41" s="1091"/>
      <c r="UBR41" s="1091"/>
      <c r="UBS41" s="1091"/>
      <c r="UBT41" s="1091"/>
      <c r="UBU41" s="1091"/>
      <c r="UBV41" s="1091"/>
      <c r="UBW41" s="1091"/>
      <c r="UBX41" s="1091"/>
      <c r="UBY41" s="1091"/>
      <c r="UBZ41" s="1091"/>
      <c r="UCA41" s="1091"/>
      <c r="UCB41" s="1091"/>
      <c r="UCC41" s="1091"/>
      <c r="UCD41" s="1091"/>
      <c r="UCE41" s="1091"/>
      <c r="UCF41" s="1091"/>
      <c r="UCG41" s="1091"/>
      <c r="UCH41" s="1091"/>
      <c r="UCI41" s="1091"/>
      <c r="UCJ41" s="1091"/>
      <c r="UCK41" s="1091"/>
      <c r="UCL41" s="1091"/>
      <c r="UCM41" s="1091"/>
      <c r="UCN41" s="1091"/>
      <c r="UCO41" s="1091"/>
      <c r="UCP41" s="1091"/>
      <c r="UCQ41" s="1091"/>
      <c r="UCR41" s="1091"/>
      <c r="UCS41" s="1091"/>
      <c r="UCT41" s="1091"/>
      <c r="UCU41" s="1091"/>
      <c r="UCV41" s="1091"/>
      <c r="UCW41" s="1091"/>
      <c r="UCX41" s="1091"/>
      <c r="UCY41" s="1091"/>
      <c r="UCZ41" s="1091"/>
      <c r="UDA41" s="1091"/>
      <c r="UDB41" s="1091"/>
      <c r="UDC41" s="1091"/>
      <c r="UDD41" s="1091"/>
      <c r="UDE41" s="1091"/>
      <c r="UDF41" s="1091"/>
      <c r="UDG41" s="1091"/>
      <c r="UDH41" s="1091"/>
      <c r="UDI41" s="1091"/>
      <c r="UDJ41" s="1091"/>
      <c r="UDK41" s="1091"/>
      <c r="UDL41" s="1091"/>
      <c r="UDM41" s="1091"/>
      <c r="UDN41" s="1091"/>
      <c r="UDO41" s="1091"/>
      <c r="UDP41" s="1091"/>
      <c r="UDQ41" s="1091"/>
      <c r="UDR41" s="1091"/>
      <c r="UDS41" s="1091"/>
      <c r="UDT41" s="1091"/>
      <c r="UDU41" s="1091"/>
      <c r="UDV41" s="1091"/>
      <c r="UDW41" s="1091"/>
      <c r="UDX41" s="1091"/>
      <c r="UDY41" s="1091"/>
      <c r="UDZ41" s="1091"/>
      <c r="UEA41" s="1091"/>
      <c r="UEB41" s="1091"/>
      <c r="UEC41" s="1091"/>
      <c r="UED41" s="1091"/>
      <c r="UEE41" s="1091"/>
      <c r="UEF41" s="1091"/>
      <c r="UEG41" s="1091"/>
      <c r="UEH41" s="1091"/>
      <c r="UEI41" s="1091"/>
      <c r="UEJ41" s="1091"/>
      <c r="UEK41" s="1091"/>
      <c r="UEL41" s="1091"/>
      <c r="UEM41" s="1091"/>
      <c r="UEN41" s="1091"/>
      <c r="UEO41" s="1091"/>
      <c r="UEP41" s="1091"/>
      <c r="UEQ41" s="1091"/>
      <c r="UER41" s="1091"/>
      <c r="UES41" s="1091"/>
      <c r="UET41" s="1091"/>
      <c r="UEU41" s="1091"/>
      <c r="UEV41" s="1091"/>
      <c r="UEW41" s="1091"/>
      <c r="UEX41" s="1091"/>
      <c r="UEY41" s="1091"/>
      <c r="UEZ41" s="1091"/>
      <c r="UFA41" s="1091"/>
      <c r="UFB41" s="1091"/>
      <c r="UFC41" s="1091"/>
      <c r="UFD41" s="1091"/>
      <c r="UFE41" s="1091"/>
      <c r="UFF41" s="1091"/>
      <c r="UFG41" s="1091"/>
      <c r="UFH41" s="1091"/>
      <c r="UFI41" s="1091"/>
      <c r="UFJ41" s="1091"/>
      <c r="UFK41" s="1091"/>
      <c r="UFL41" s="1091"/>
      <c r="UFM41" s="1091"/>
      <c r="UFN41" s="1091"/>
      <c r="UFO41" s="1091"/>
      <c r="UFP41" s="1091"/>
      <c r="UFQ41" s="1091"/>
      <c r="UFR41" s="1091"/>
      <c r="UFS41" s="1091"/>
      <c r="UFT41" s="1091"/>
      <c r="UFU41" s="1091"/>
      <c r="UFV41" s="1091"/>
      <c r="UFW41" s="1091"/>
      <c r="UFX41" s="1091"/>
      <c r="UFY41" s="1091"/>
      <c r="UFZ41" s="1091"/>
      <c r="UGA41" s="1091"/>
      <c r="UGB41" s="1091"/>
      <c r="UGC41" s="1091"/>
      <c r="UGD41" s="1091"/>
      <c r="UGE41" s="1091"/>
      <c r="UGF41" s="1091"/>
      <c r="UGG41" s="1091"/>
      <c r="UGH41" s="1091"/>
      <c r="UGI41" s="1091"/>
      <c r="UGJ41" s="1091"/>
      <c r="UGK41" s="1091"/>
      <c r="UGL41" s="1091"/>
      <c r="UGM41" s="1091"/>
      <c r="UGN41" s="1091"/>
      <c r="UGO41" s="1091"/>
      <c r="UGP41" s="1091"/>
      <c r="UGQ41" s="1091"/>
      <c r="UGR41" s="1091"/>
      <c r="UGS41" s="1091"/>
      <c r="UGT41" s="1091"/>
      <c r="UGU41" s="1091"/>
      <c r="UGV41" s="1091"/>
      <c r="UGW41" s="1091"/>
      <c r="UGX41" s="1091"/>
      <c r="UGY41" s="1091"/>
      <c r="UGZ41" s="1091"/>
      <c r="UHA41" s="1091"/>
      <c r="UHB41" s="1091"/>
      <c r="UHC41" s="1091"/>
      <c r="UHD41" s="1091"/>
      <c r="UHE41" s="1091"/>
      <c r="UHF41" s="1091"/>
      <c r="UHG41" s="1091"/>
      <c r="UHH41" s="1091"/>
      <c r="UHI41" s="1091"/>
      <c r="UHJ41" s="1091"/>
      <c r="UHK41" s="1091"/>
      <c r="UHL41" s="1091"/>
      <c r="UHM41" s="1091"/>
      <c r="UHN41" s="1091"/>
      <c r="UHO41" s="1091"/>
      <c r="UHP41" s="1091"/>
      <c r="UHQ41" s="1091"/>
      <c r="UHR41" s="1091"/>
      <c r="UHS41" s="1091"/>
      <c r="UHT41" s="1091"/>
      <c r="UHU41" s="1091"/>
      <c r="UHV41" s="1091"/>
      <c r="UHW41" s="1091"/>
      <c r="UHX41" s="1091"/>
      <c r="UHY41" s="1091"/>
      <c r="UHZ41" s="1091"/>
      <c r="UIA41" s="1091"/>
      <c r="UIB41" s="1091"/>
      <c r="UIC41" s="1091"/>
      <c r="UID41" s="1091"/>
      <c r="UIE41" s="1091"/>
      <c r="UIF41" s="1091"/>
      <c r="UIG41" s="1091"/>
      <c r="UIH41" s="1091"/>
      <c r="UII41" s="1091"/>
      <c r="UIJ41" s="1091"/>
      <c r="UIK41" s="1091"/>
      <c r="UIL41" s="1091"/>
      <c r="UIM41" s="1091"/>
      <c r="UIN41" s="1091"/>
      <c r="UIO41" s="1091"/>
      <c r="UIP41" s="1091"/>
      <c r="UIQ41" s="1091"/>
      <c r="UIR41" s="1091"/>
      <c r="UIS41" s="1091"/>
      <c r="UIT41" s="1091"/>
      <c r="UIU41" s="1091"/>
      <c r="UIV41" s="1091"/>
      <c r="UIW41" s="1091"/>
      <c r="UIX41" s="1091"/>
      <c r="UIY41" s="1091"/>
      <c r="UIZ41" s="1091"/>
      <c r="UJA41" s="1091"/>
      <c r="UJB41" s="1091"/>
      <c r="UJC41" s="1091"/>
      <c r="UJD41" s="1091"/>
      <c r="UJE41" s="1091"/>
      <c r="UJF41" s="1091"/>
      <c r="UJG41" s="1091"/>
      <c r="UJH41" s="1091"/>
      <c r="UJI41" s="1091"/>
      <c r="UJJ41" s="1091"/>
      <c r="UJK41" s="1091"/>
      <c r="UJL41" s="1091"/>
      <c r="UJM41" s="1091"/>
      <c r="UJN41" s="1091"/>
      <c r="UJO41" s="1091"/>
      <c r="UJP41" s="1091"/>
      <c r="UJQ41" s="1091"/>
      <c r="UJR41" s="1091"/>
      <c r="UJS41" s="1091"/>
      <c r="UJT41" s="1091"/>
      <c r="UJU41" s="1091"/>
      <c r="UJV41" s="1091"/>
      <c r="UJW41" s="1091"/>
      <c r="UJX41" s="1091"/>
      <c r="UJY41" s="1091"/>
      <c r="UJZ41" s="1091"/>
      <c r="UKA41" s="1091"/>
      <c r="UKB41" s="1091"/>
      <c r="UKC41" s="1091"/>
      <c r="UKD41" s="1091"/>
      <c r="UKE41" s="1091"/>
      <c r="UKF41" s="1091"/>
      <c r="UKG41" s="1091"/>
      <c r="UKH41" s="1091"/>
      <c r="UKI41" s="1091"/>
      <c r="UKJ41" s="1091"/>
      <c r="UKK41" s="1091"/>
      <c r="UKL41" s="1091"/>
      <c r="UKM41" s="1091"/>
      <c r="UKN41" s="1091"/>
      <c r="UKO41" s="1091"/>
      <c r="UKP41" s="1091"/>
      <c r="UKQ41" s="1091"/>
      <c r="UKR41" s="1091"/>
      <c r="UKS41" s="1091"/>
      <c r="UKT41" s="1091"/>
      <c r="UKU41" s="1091"/>
      <c r="UKV41" s="1091"/>
      <c r="UKW41" s="1091"/>
      <c r="UKX41" s="1091"/>
      <c r="UKY41" s="1091"/>
      <c r="UKZ41" s="1091"/>
      <c r="ULA41" s="1091"/>
      <c r="ULB41" s="1091"/>
      <c r="ULC41" s="1091"/>
      <c r="ULD41" s="1091"/>
      <c r="ULE41" s="1091"/>
      <c r="ULF41" s="1091"/>
      <c r="ULG41" s="1091"/>
      <c r="ULH41" s="1091"/>
      <c r="ULI41" s="1091"/>
      <c r="ULJ41" s="1091"/>
      <c r="ULK41" s="1091"/>
      <c r="ULL41" s="1091"/>
      <c r="ULM41" s="1091"/>
      <c r="ULN41" s="1091"/>
      <c r="ULO41" s="1091"/>
      <c r="ULP41" s="1091"/>
      <c r="ULQ41" s="1091"/>
      <c r="ULR41" s="1091"/>
      <c r="ULS41" s="1091"/>
      <c r="ULT41" s="1091"/>
      <c r="ULU41" s="1091"/>
      <c r="ULV41" s="1091"/>
      <c r="ULW41" s="1091"/>
      <c r="ULX41" s="1091"/>
      <c r="ULY41" s="1091"/>
      <c r="ULZ41" s="1091"/>
      <c r="UMA41" s="1091"/>
      <c r="UMB41" s="1091"/>
      <c r="UMC41" s="1091"/>
      <c r="UMD41" s="1091"/>
      <c r="UME41" s="1091"/>
      <c r="UMF41" s="1091"/>
      <c r="UMG41" s="1091"/>
      <c r="UMH41" s="1091"/>
      <c r="UMI41" s="1091"/>
      <c r="UMJ41" s="1091"/>
      <c r="UMK41" s="1091"/>
      <c r="UML41" s="1091"/>
      <c r="UMM41" s="1091"/>
      <c r="UMN41" s="1091"/>
      <c r="UMO41" s="1091"/>
      <c r="UMP41" s="1091"/>
      <c r="UMQ41" s="1091"/>
      <c r="UMR41" s="1091"/>
      <c r="UMS41" s="1091"/>
      <c r="UMT41" s="1091"/>
      <c r="UMU41" s="1091"/>
      <c r="UMV41" s="1091"/>
      <c r="UMW41" s="1091"/>
      <c r="UMX41" s="1091"/>
      <c r="UMY41" s="1091"/>
      <c r="UMZ41" s="1091"/>
      <c r="UNA41" s="1091"/>
      <c r="UNB41" s="1091"/>
      <c r="UNC41" s="1091"/>
      <c r="UND41" s="1091"/>
      <c r="UNE41" s="1091"/>
      <c r="UNF41" s="1091"/>
      <c r="UNG41" s="1091"/>
      <c r="UNH41" s="1091"/>
      <c r="UNI41" s="1091"/>
      <c r="UNJ41" s="1091"/>
      <c r="UNK41" s="1091"/>
      <c r="UNL41" s="1091"/>
      <c r="UNM41" s="1091"/>
      <c r="UNN41" s="1091"/>
      <c r="UNO41" s="1091"/>
      <c r="UNP41" s="1091"/>
      <c r="UNQ41" s="1091"/>
      <c r="UNR41" s="1091"/>
      <c r="UNS41" s="1091"/>
      <c r="UNT41" s="1091"/>
      <c r="UNU41" s="1091"/>
      <c r="UNV41" s="1091"/>
      <c r="UNW41" s="1091"/>
      <c r="UNX41" s="1091"/>
      <c r="UNY41" s="1091"/>
      <c r="UNZ41" s="1091"/>
      <c r="UOA41" s="1091"/>
      <c r="UOB41" s="1091"/>
      <c r="UOC41" s="1091"/>
      <c r="UOD41" s="1091"/>
      <c r="UOE41" s="1091"/>
      <c r="UOF41" s="1091"/>
      <c r="UOG41" s="1091"/>
      <c r="UOH41" s="1091"/>
      <c r="UOI41" s="1091"/>
      <c r="UOJ41" s="1091"/>
      <c r="UOK41" s="1091"/>
      <c r="UOL41" s="1091"/>
      <c r="UOM41" s="1091"/>
      <c r="UON41" s="1091"/>
      <c r="UOO41" s="1091"/>
      <c r="UOP41" s="1091"/>
      <c r="UOQ41" s="1091"/>
      <c r="UOR41" s="1091"/>
      <c r="UOS41" s="1091"/>
      <c r="UOT41" s="1091"/>
      <c r="UOU41" s="1091"/>
      <c r="UOV41" s="1091"/>
      <c r="UOW41" s="1091"/>
      <c r="UOX41" s="1091"/>
      <c r="UOY41" s="1091"/>
      <c r="UOZ41" s="1091"/>
      <c r="UPA41" s="1091"/>
      <c r="UPB41" s="1091"/>
      <c r="UPC41" s="1091"/>
      <c r="UPD41" s="1091"/>
      <c r="UPE41" s="1091"/>
      <c r="UPF41" s="1091"/>
      <c r="UPG41" s="1091"/>
      <c r="UPH41" s="1091"/>
      <c r="UPI41" s="1091"/>
      <c r="UPJ41" s="1091"/>
      <c r="UPK41" s="1091"/>
      <c r="UPL41" s="1091"/>
      <c r="UPM41" s="1091"/>
      <c r="UPN41" s="1091"/>
      <c r="UPO41" s="1091"/>
      <c r="UPP41" s="1091"/>
      <c r="UPQ41" s="1091"/>
      <c r="UPR41" s="1091"/>
      <c r="UPS41" s="1091"/>
      <c r="UPT41" s="1091"/>
      <c r="UPU41" s="1091"/>
      <c r="UPV41" s="1091"/>
      <c r="UPW41" s="1091"/>
      <c r="UPX41" s="1091"/>
      <c r="UPY41" s="1091"/>
      <c r="UPZ41" s="1091"/>
      <c r="UQA41" s="1091"/>
      <c r="UQB41" s="1091"/>
      <c r="UQC41" s="1091"/>
      <c r="UQD41" s="1091"/>
      <c r="UQE41" s="1091"/>
      <c r="UQF41" s="1091"/>
      <c r="UQG41" s="1091"/>
      <c r="UQH41" s="1091"/>
      <c r="UQI41" s="1091"/>
      <c r="UQJ41" s="1091"/>
      <c r="UQK41" s="1091"/>
      <c r="UQL41" s="1091"/>
      <c r="UQM41" s="1091"/>
      <c r="UQN41" s="1091"/>
      <c r="UQO41" s="1091"/>
      <c r="UQP41" s="1091"/>
      <c r="UQQ41" s="1091"/>
      <c r="UQR41" s="1091"/>
      <c r="UQS41" s="1091"/>
      <c r="UQT41" s="1091"/>
      <c r="UQU41" s="1091"/>
      <c r="UQV41" s="1091"/>
      <c r="UQW41" s="1091"/>
      <c r="UQX41" s="1091"/>
      <c r="UQY41" s="1091"/>
      <c r="UQZ41" s="1091"/>
      <c r="URA41" s="1091"/>
      <c r="URB41" s="1091"/>
      <c r="URC41" s="1091"/>
      <c r="URD41" s="1091"/>
      <c r="URE41" s="1091"/>
      <c r="URF41" s="1091"/>
      <c r="URG41" s="1091"/>
      <c r="URH41" s="1091"/>
      <c r="URI41" s="1091"/>
      <c r="URJ41" s="1091"/>
      <c r="URK41" s="1091"/>
      <c r="URL41" s="1091"/>
      <c r="URM41" s="1091"/>
      <c r="URN41" s="1091"/>
      <c r="URO41" s="1091"/>
      <c r="URP41" s="1091"/>
      <c r="URQ41" s="1091"/>
      <c r="URR41" s="1091"/>
      <c r="URS41" s="1091"/>
      <c r="URT41" s="1091"/>
      <c r="URU41" s="1091"/>
      <c r="URV41" s="1091"/>
      <c r="URW41" s="1091"/>
      <c r="URX41" s="1091"/>
      <c r="URY41" s="1091"/>
      <c r="URZ41" s="1091"/>
      <c r="USA41" s="1091"/>
      <c r="USB41" s="1091"/>
      <c r="USC41" s="1091"/>
      <c r="USD41" s="1091"/>
      <c r="USE41" s="1091"/>
      <c r="USF41" s="1091"/>
      <c r="USG41" s="1091"/>
      <c r="USH41" s="1091"/>
      <c r="USI41" s="1091"/>
      <c r="USJ41" s="1091"/>
      <c r="USK41" s="1091"/>
      <c r="USL41" s="1091"/>
      <c r="USM41" s="1091"/>
      <c r="USN41" s="1091"/>
      <c r="USO41" s="1091"/>
      <c r="USP41" s="1091"/>
      <c r="USQ41" s="1091"/>
      <c r="USR41" s="1091"/>
      <c r="USS41" s="1091"/>
      <c r="UST41" s="1091"/>
      <c r="USU41" s="1091"/>
      <c r="USV41" s="1091"/>
      <c r="USW41" s="1091"/>
      <c r="USX41" s="1091"/>
      <c r="USY41" s="1091"/>
      <c r="USZ41" s="1091"/>
      <c r="UTA41" s="1091"/>
      <c r="UTB41" s="1091"/>
      <c r="UTC41" s="1091"/>
      <c r="UTD41" s="1091"/>
      <c r="UTE41" s="1091"/>
      <c r="UTF41" s="1091"/>
      <c r="UTG41" s="1091"/>
      <c r="UTH41" s="1091"/>
      <c r="UTI41" s="1091"/>
      <c r="UTJ41" s="1091"/>
      <c r="UTK41" s="1091"/>
      <c r="UTL41" s="1091"/>
      <c r="UTM41" s="1091"/>
      <c r="UTN41" s="1091"/>
      <c r="UTO41" s="1091"/>
      <c r="UTP41" s="1091"/>
      <c r="UTQ41" s="1091"/>
      <c r="UTR41" s="1091"/>
      <c r="UTS41" s="1091"/>
      <c r="UTT41" s="1091"/>
      <c r="UTU41" s="1091"/>
      <c r="UTV41" s="1091"/>
      <c r="UTW41" s="1091"/>
      <c r="UTX41" s="1091"/>
      <c r="UTY41" s="1091"/>
      <c r="UTZ41" s="1091"/>
      <c r="UUA41" s="1091"/>
      <c r="UUB41" s="1091"/>
      <c r="UUC41" s="1091"/>
      <c r="UUD41" s="1091"/>
      <c r="UUE41" s="1091"/>
      <c r="UUF41" s="1091"/>
      <c r="UUG41" s="1091"/>
      <c r="UUH41" s="1091"/>
      <c r="UUI41" s="1091"/>
      <c r="UUJ41" s="1091"/>
      <c r="UUK41" s="1091"/>
      <c r="UUL41" s="1091"/>
      <c r="UUM41" s="1091"/>
      <c r="UUN41" s="1091"/>
      <c r="UUO41" s="1091"/>
      <c r="UUP41" s="1091"/>
      <c r="UUQ41" s="1091"/>
      <c r="UUR41" s="1091"/>
      <c r="UUS41" s="1091"/>
      <c r="UUT41" s="1091"/>
      <c r="UUU41" s="1091"/>
      <c r="UUV41" s="1091"/>
      <c r="UUW41" s="1091"/>
      <c r="UUX41" s="1091"/>
      <c r="UUY41" s="1091"/>
      <c r="UUZ41" s="1091"/>
      <c r="UVA41" s="1091"/>
      <c r="UVB41" s="1091"/>
      <c r="UVC41" s="1091"/>
      <c r="UVD41" s="1091"/>
      <c r="UVE41" s="1091"/>
      <c r="UVF41" s="1091"/>
      <c r="UVG41" s="1091"/>
      <c r="UVH41" s="1091"/>
      <c r="UVI41" s="1091"/>
      <c r="UVJ41" s="1091"/>
      <c r="UVK41" s="1091"/>
      <c r="UVL41" s="1091"/>
      <c r="UVM41" s="1091"/>
      <c r="UVN41" s="1091"/>
      <c r="UVO41" s="1091"/>
      <c r="UVP41" s="1091"/>
      <c r="UVQ41" s="1091"/>
      <c r="UVR41" s="1091"/>
      <c r="UVS41" s="1091"/>
      <c r="UVT41" s="1091"/>
      <c r="UVU41" s="1091"/>
      <c r="UVV41" s="1091"/>
      <c r="UVW41" s="1091"/>
      <c r="UVX41" s="1091"/>
      <c r="UVY41" s="1091"/>
      <c r="UVZ41" s="1091"/>
      <c r="UWA41" s="1091"/>
      <c r="UWB41" s="1091"/>
      <c r="UWC41" s="1091"/>
      <c r="UWD41" s="1091"/>
      <c r="UWE41" s="1091"/>
      <c r="UWF41" s="1091"/>
      <c r="UWG41" s="1091"/>
      <c r="UWH41" s="1091"/>
      <c r="UWI41" s="1091"/>
      <c r="UWJ41" s="1091"/>
      <c r="UWK41" s="1091"/>
      <c r="UWL41" s="1091"/>
      <c r="UWM41" s="1091"/>
      <c r="UWN41" s="1091"/>
      <c r="UWO41" s="1091"/>
      <c r="UWP41" s="1091"/>
      <c r="UWQ41" s="1091"/>
      <c r="UWR41" s="1091"/>
      <c r="UWS41" s="1091"/>
      <c r="UWT41" s="1091"/>
      <c r="UWU41" s="1091"/>
      <c r="UWV41" s="1091"/>
      <c r="UWW41" s="1091"/>
      <c r="UWX41" s="1091"/>
      <c r="UWY41" s="1091"/>
      <c r="UWZ41" s="1091"/>
      <c r="UXA41" s="1091"/>
      <c r="UXB41" s="1091"/>
      <c r="UXC41" s="1091"/>
      <c r="UXD41" s="1091"/>
      <c r="UXE41" s="1091"/>
      <c r="UXF41" s="1091"/>
      <c r="UXG41" s="1091"/>
      <c r="UXH41" s="1091"/>
      <c r="UXI41" s="1091"/>
      <c r="UXJ41" s="1091"/>
      <c r="UXK41" s="1091"/>
      <c r="UXL41" s="1091"/>
      <c r="UXM41" s="1091"/>
      <c r="UXN41" s="1091"/>
      <c r="UXO41" s="1091"/>
      <c r="UXP41" s="1091"/>
      <c r="UXQ41" s="1091"/>
      <c r="UXR41" s="1091"/>
      <c r="UXS41" s="1091"/>
      <c r="UXT41" s="1091"/>
      <c r="UXU41" s="1091"/>
      <c r="UXV41" s="1091"/>
      <c r="UXW41" s="1091"/>
      <c r="UXX41" s="1091"/>
      <c r="UXY41" s="1091"/>
      <c r="UXZ41" s="1091"/>
      <c r="UYA41" s="1091"/>
      <c r="UYB41" s="1091"/>
      <c r="UYC41" s="1091"/>
      <c r="UYD41" s="1091"/>
      <c r="UYE41" s="1091"/>
      <c r="UYF41" s="1091"/>
      <c r="UYG41" s="1091"/>
      <c r="UYH41" s="1091"/>
      <c r="UYI41" s="1091"/>
      <c r="UYJ41" s="1091"/>
      <c r="UYK41" s="1091"/>
      <c r="UYL41" s="1091"/>
      <c r="UYM41" s="1091"/>
      <c r="UYN41" s="1091"/>
      <c r="UYO41" s="1091"/>
      <c r="UYP41" s="1091"/>
      <c r="UYQ41" s="1091"/>
      <c r="UYR41" s="1091"/>
      <c r="UYS41" s="1091"/>
      <c r="UYT41" s="1091"/>
      <c r="UYU41" s="1091"/>
      <c r="UYV41" s="1091"/>
      <c r="UYW41" s="1091"/>
      <c r="UYX41" s="1091"/>
      <c r="UYY41" s="1091"/>
      <c r="UYZ41" s="1091"/>
      <c r="UZA41" s="1091"/>
      <c r="UZB41" s="1091"/>
      <c r="UZC41" s="1091"/>
      <c r="UZD41" s="1091"/>
      <c r="UZE41" s="1091"/>
      <c r="UZF41" s="1091"/>
      <c r="UZG41" s="1091"/>
      <c r="UZH41" s="1091"/>
      <c r="UZI41" s="1091"/>
      <c r="UZJ41" s="1091"/>
      <c r="UZK41" s="1091"/>
      <c r="UZL41" s="1091"/>
      <c r="UZM41" s="1091"/>
      <c r="UZN41" s="1091"/>
      <c r="UZO41" s="1091"/>
      <c r="UZP41" s="1091"/>
      <c r="UZQ41" s="1091"/>
      <c r="UZR41" s="1091"/>
      <c r="UZS41" s="1091"/>
      <c r="UZT41" s="1091"/>
      <c r="UZU41" s="1091"/>
      <c r="UZV41" s="1091"/>
      <c r="UZW41" s="1091"/>
      <c r="UZX41" s="1091"/>
      <c r="UZY41" s="1091"/>
      <c r="UZZ41" s="1091"/>
      <c r="VAA41" s="1091"/>
      <c r="VAB41" s="1091"/>
      <c r="VAC41" s="1091"/>
      <c r="VAD41" s="1091"/>
      <c r="VAE41" s="1091"/>
      <c r="VAF41" s="1091"/>
      <c r="VAG41" s="1091"/>
      <c r="VAH41" s="1091"/>
      <c r="VAI41" s="1091"/>
      <c r="VAJ41" s="1091"/>
      <c r="VAK41" s="1091"/>
      <c r="VAL41" s="1091"/>
      <c r="VAM41" s="1091"/>
      <c r="VAN41" s="1091"/>
      <c r="VAO41" s="1091"/>
      <c r="VAP41" s="1091"/>
      <c r="VAQ41" s="1091"/>
      <c r="VAR41" s="1091"/>
      <c r="VAS41" s="1091"/>
      <c r="VAT41" s="1091"/>
      <c r="VAU41" s="1091"/>
      <c r="VAV41" s="1091"/>
      <c r="VAW41" s="1091"/>
      <c r="VAX41" s="1091"/>
      <c r="VAY41" s="1091"/>
      <c r="VAZ41" s="1091"/>
      <c r="VBA41" s="1091"/>
      <c r="VBB41" s="1091"/>
      <c r="VBC41" s="1091"/>
      <c r="VBD41" s="1091"/>
      <c r="VBE41" s="1091"/>
      <c r="VBF41" s="1091"/>
      <c r="VBG41" s="1091"/>
      <c r="VBH41" s="1091"/>
      <c r="VBI41" s="1091"/>
      <c r="VBJ41" s="1091"/>
      <c r="VBK41" s="1091"/>
      <c r="VBL41" s="1091"/>
      <c r="VBM41" s="1091"/>
      <c r="VBN41" s="1091"/>
      <c r="VBO41" s="1091"/>
      <c r="VBP41" s="1091"/>
      <c r="VBQ41" s="1091"/>
      <c r="VBR41" s="1091"/>
      <c r="VBS41" s="1091"/>
      <c r="VBT41" s="1091"/>
      <c r="VBU41" s="1091"/>
      <c r="VBV41" s="1091"/>
      <c r="VBW41" s="1091"/>
      <c r="VBX41" s="1091"/>
      <c r="VBY41" s="1091"/>
      <c r="VBZ41" s="1091"/>
      <c r="VCA41" s="1091"/>
      <c r="VCB41" s="1091"/>
      <c r="VCC41" s="1091"/>
      <c r="VCD41" s="1091"/>
      <c r="VCE41" s="1091"/>
      <c r="VCF41" s="1091"/>
      <c r="VCG41" s="1091"/>
      <c r="VCH41" s="1091"/>
      <c r="VCI41" s="1091"/>
      <c r="VCJ41" s="1091"/>
      <c r="VCK41" s="1091"/>
      <c r="VCL41" s="1091"/>
      <c r="VCM41" s="1091"/>
      <c r="VCN41" s="1091"/>
      <c r="VCO41" s="1091"/>
      <c r="VCP41" s="1091"/>
      <c r="VCQ41" s="1091"/>
      <c r="VCR41" s="1091"/>
      <c r="VCS41" s="1091"/>
      <c r="VCT41" s="1091"/>
      <c r="VCU41" s="1091"/>
      <c r="VCV41" s="1091"/>
      <c r="VCW41" s="1091"/>
      <c r="VCX41" s="1091"/>
      <c r="VCY41" s="1091"/>
      <c r="VCZ41" s="1091"/>
      <c r="VDA41" s="1091"/>
      <c r="VDB41" s="1091"/>
      <c r="VDC41" s="1091"/>
      <c r="VDD41" s="1091"/>
      <c r="VDE41" s="1091"/>
      <c r="VDF41" s="1091"/>
      <c r="VDG41" s="1091"/>
      <c r="VDH41" s="1091"/>
      <c r="VDI41" s="1091"/>
      <c r="VDJ41" s="1091"/>
      <c r="VDK41" s="1091"/>
      <c r="VDL41" s="1091"/>
      <c r="VDM41" s="1091"/>
      <c r="VDN41" s="1091"/>
      <c r="VDO41" s="1091"/>
      <c r="VDP41" s="1091"/>
      <c r="VDQ41" s="1091"/>
      <c r="VDR41" s="1091"/>
      <c r="VDS41" s="1091"/>
      <c r="VDT41" s="1091"/>
      <c r="VDU41" s="1091"/>
      <c r="VDV41" s="1091"/>
      <c r="VDW41" s="1091"/>
      <c r="VDX41" s="1091"/>
      <c r="VDY41" s="1091"/>
      <c r="VDZ41" s="1091"/>
      <c r="VEA41" s="1091"/>
      <c r="VEB41" s="1091"/>
      <c r="VEC41" s="1091"/>
      <c r="VED41" s="1091"/>
      <c r="VEE41" s="1091"/>
      <c r="VEF41" s="1091"/>
      <c r="VEG41" s="1091"/>
      <c r="VEH41" s="1091"/>
      <c r="VEI41" s="1091"/>
      <c r="VEJ41" s="1091"/>
      <c r="VEK41" s="1091"/>
      <c r="VEL41" s="1091"/>
      <c r="VEM41" s="1091"/>
      <c r="VEN41" s="1091"/>
      <c r="VEO41" s="1091"/>
      <c r="VEP41" s="1091"/>
      <c r="VEQ41" s="1091"/>
      <c r="VER41" s="1091"/>
      <c r="VES41" s="1091"/>
      <c r="VET41" s="1091"/>
      <c r="VEU41" s="1091"/>
      <c r="VEV41" s="1091"/>
      <c r="VEW41" s="1091"/>
      <c r="VEX41" s="1091"/>
      <c r="VEY41" s="1091"/>
      <c r="VEZ41" s="1091"/>
      <c r="VFA41" s="1091"/>
      <c r="VFB41" s="1091"/>
      <c r="VFC41" s="1091"/>
      <c r="VFD41" s="1091"/>
      <c r="VFE41" s="1091"/>
      <c r="VFF41" s="1091"/>
      <c r="VFG41" s="1091"/>
      <c r="VFH41" s="1091"/>
      <c r="VFI41" s="1091"/>
      <c r="VFJ41" s="1091"/>
      <c r="VFK41" s="1091"/>
      <c r="VFL41" s="1091"/>
      <c r="VFM41" s="1091"/>
      <c r="VFN41" s="1091"/>
      <c r="VFO41" s="1091"/>
      <c r="VFP41" s="1091"/>
      <c r="VFQ41" s="1091"/>
      <c r="VFR41" s="1091"/>
      <c r="VFS41" s="1091"/>
      <c r="VFT41" s="1091"/>
      <c r="VFU41" s="1091"/>
      <c r="VFV41" s="1091"/>
      <c r="VFW41" s="1091"/>
      <c r="VFX41" s="1091"/>
      <c r="VFY41" s="1091"/>
      <c r="VFZ41" s="1091"/>
      <c r="VGA41" s="1091"/>
      <c r="VGB41" s="1091"/>
      <c r="VGC41" s="1091"/>
      <c r="VGD41" s="1091"/>
      <c r="VGE41" s="1091"/>
      <c r="VGF41" s="1091"/>
      <c r="VGG41" s="1091"/>
      <c r="VGH41" s="1091"/>
      <c r="VGI41" s="1091"/>
      <c r="VGJ41" s="1091"/>
      <c r="VGK41" s="1091"/>
      <c r="VGL41" s="1091"/>
      <c r="VGM41" s="1091"/>
      <c r="VGN41" s="1091"/>
      <c r="VGO41" s="1091"/>
      <c r="VGP41" s="1091"/>
      <c r="VGQ41" s="1091"/>
      <c r="VGR41" s="1091"/>
      <c r="VGS41" s="1091"/>
      <c r="VGT41" s="1091"/>
      <c r="VGU41" s="1091"/>
      <c r="VGV41" s="1091"/>
      <c r="VGW41" s="1091"/>
      <c r="VGX41" s="1091"/>
      <c r="VGY41" s="1091"/>
      <c r="VGZ41" s="1091"/>
      <c r="VHA41" s="1091"/>
      <c r="VHB41" s="1091"/>
      <c r="VHC41" s="1091"/>
      <c r="VHD41" s="1091"/>
      <c r="VHE41" s="1091"/>
      <c r="VHF41" s="1091"/>
      <c r="VHG41" s="1091"/>
      <c r="VHH41" s="1091"/>
      <c r="VHI41" s="1091"/>
      <c r="VHJ41" s="1091"/>
      <c r="VHK41" s="1091"/>
      <c r="VHL41" s="1091"/>
      <c r="VHM41" s="1091"/>
      <c r="VHN41" s="1091"/>
      <c r="VHO41" s="1091"/>
      <c r="VHP41" s="1091"/>
      <c r="VHQ41" s="1091"/>
      <c r="VHR41" s="1091"/>
      <c r="VHS41" s="1091"/>
      <c r="VHT41" s="1091"/>
      <c r="VHU41" s="1091"/>
      <c r="VHV41" s="1091"/>
      <c r="VHW41" s="1091"/>
      <c r="VHX41" s="1091"/>
      <c r="VHY41" s="1091"/>
      <c r="VHZ41" s="1091"/>
      <c r="VIA41" s="1091"/>
      <c r="VIB41" s="1091"/>
      <c r="VIC41" s="1091"/>
      <c r="VID41" s="1091"/>
      <c r="VIE41" s="1091"/>
      <c r="VIF41" s="1091"/>
      <c r="VIG41" s="1091"/>
      <c r="VIH41" s="1091"/>
      <c r="VII41" s="1091"/>
      <c r="VIJ41" s="1091"/>
      <c r="VIK41" s="1091"/>
      <c r="VIL41" s="1091"/>
      <c r="VIM41" s="1091"/>
      <c r="VIN41" s="1091"/>
      <c r="VIO41" s="1091"/>
      <c r="VIP41" s="1091"/>
      <c r="VIQ41" s="1091"/>
      <c r="VIR41" s="1091"/>
      <c r="VIS41" s="1091"/>
      <c r="VIT41" s="1091"/>
      <c r="VIU41" s="1091"/>
      <c r="VIV41" s="1091"/>
      <c r="VIW41" s="1091"/>
      <c r="VIX41" s="1091"/>
      <c r="VIY41" s="1091"/>
      <c r="VIZ41" s="1091"/>
      <c r="VJA41" s="1091"/>
      <c r="VJB41" s="1091"/>
      <c r="VJC41" s="1091"/>
      <c r="VJD41" s="1091"/>
      <c r="VJE41" s="1091"/>
      <c r="VJF41" s="1091"/>
      <c r="VJG41" s="1091"/>
      <c r="VJH41" s="1091"/>
      <c r="VJI41" s="1091"/>
      <c r="VJJ41" s="1091"/>
      <c r="VJK41" s="1091"/>
      <c r="VJL41" s="1091"/>
      <c r="VJM41" s="1091"/>
      <c r="VJN41" s="1091"/>
      <c r="VJO41" s="1091"/>
      <c r="VJP41" s="1091"/>
      <c r="VJQ41" s="1091"/>
      <c r="VJR41" s="1091"/>
      <c r="VJS41" s="1091"/>
      <c r="VJT41" s="1091"/>
      <c r="VJU41" s="1091"/>
      <c r="VJV41" s="1091"/>
      <c r="VJW41" s="1091"/>
      <c r="VJX41" s="1091"/>
      <c r="VJY41" s="1091"/>
      <c r="VJZ41" s="1091"/>
      <c r="VKA41" s="1091"/>
      <c r="VKB41" s="1091"/>
      <c r="VKC41" s="1091"/>
      <c r="VKD41" s="1091"/>
      <c r="VKE41" s="1091"/>
      <c r="VKF41" s="1091"/>
      <c r="VKG41" s="1091"/>
      <c r="VKH41" s="1091"/>
      <c r="VKI41" s="1091"/>
      <c r="VKJ41" s="1091"/>
      <c r="VKK41" s="1091"/>
      <c r="VKL41" s="1091"/>
      <c r="VKM41" s="1091"/>
      <c r="VKN41" s="1091"/>
      <c r="VKO41" s="1091"/>
      <c r="VKP41" s="1091"/>
      <c r="VKQ41" s="1091"/>
      <c r="VKR41" s="1091"/>
      <c r="VKS41" s="1091"/>
      <c r="VKT41" s="1091"/>
      <c r="VKU41" s="1091"/>
      <c r="VKV41" s="1091"/>
      <c r="VKW41" s="1091"/>
      <c r="VKX41" s="1091"/>
      <c r="VKY41" s="1091"/>
      <c r="VKZ41" s="1091"/>
      <c r="VLA41" s="1091"/>
      <c r="VLB41" s="1091"/>
      <c r="VLC41" s="1091"/>
      <c r="VLD41" s="1091"/>
      <c r="VLE41" s="1091"/>
      <c r="VLF41" s="1091"/>
      <c r="VLG41" s="1091"/>
      <c r="VLH41" s="1091"/>
      <c r="VLI41" s="1091"/>
      <c r="VLJ41" s="1091"/>
      <c r="VLK41" s="1091"/>
      <c r="VLL41" s="1091"/>
      <c r="VLM41" s="1091"/>
      <c r="VLN41" s="1091"/>
      <c r="VLO41" s="1091"/>
      <c r="VLP41" s="1091"/>
      <c r="VLQ41" s="1091"/>
      <c r="VLR41" s="1091"/>
      <c r="VLS41" s="1091"/>
      <c r="VLT41" s="1091"/>
      <c r="VLU41" s="1091"/>
      <c r="VLV41" s="1091"/>
      <c r="VLW41" s="1091"/>
      <c r="VLX41" s="1091"/>
      <c r="VLY41" s="1091"/>
      <c r="VLZ41" s="1091"/>
      <c r="VMA41" s="1091"/>
      <c r="VMB41" s="1091"/>
      <c r="VMC41" s="1091"/>
      <c r="VMD41" s="1091"/>
      <c r="VME41" s="1091"/>
      <c r="VMF41" s="1091"/>
      <c r="VMG41" s="1091"/>
      <c r="VMH41" s="1091"/>
      <c r="VMI41" s="1091"/>
      <c r="VMJ41" s="1091"/>
      <c r="VMK41" s="1091"/>
      <c r="VML41" s="1091"/>
      <c r="VMM41" s="1091"/>
      <c r="VMN41" s="1091"/>
      <c r="VMO41" s="1091"/>
      <c r="VMP41" s="1091"/>
      <c r="VMQ41" s="1091"/>
      <c r="VMR41" s="1091"/>
      <c r="VMS41" s="1091"/>
      <c r="VMT41" s="1091"/>
      <c r="VMU41" s="1091"/>
      <c r="VMV41" s="1091"/>
      <c r="VMW41" s="1091"/>
      <c r="VMX41" s="1091"/>
      <c r="VMY41" s="1091"/>
      <c r="VMZ41" s="1091"/>
      <c r="VNA41" s="1091"/>
      <c r="VNB41" s="1091"/>
      <c r="VNC41" s="1091"/>
      <c r="VND41" s="1091"/>
      <c r="VNE41" s="1091"/>
      <c r="VNF41" s="1091"/>
      <c r="VNG41" s="1091"/>
      <c r="VNH41" s="1091"/>
      <c r="VNI41" s="1091"/>
      <c r="VNJ41" s="1091"/>
      <c r="VNK41" s="1091"/>
      <c r="VNL41" s="1091"/>
      <c r="VNM41" s="1091"/>
      <c r="VNN41" s="1091"/>
      <c r="VNO41" s="1091"/>
      <c r="VNP41" s="1091"/>
      <c r="VNQ41" s="1091"/>
      <c r="VNR41" s="1091"/>
      <c r="VNS41" s="1091"/>
      <c r="VNT41" s="1091"/>
      <c r="VNU41" s="1091"/>
      <c r="VNV41" s="1091"/>
      <c r="VNW41" s="1091"/>
      <c r="VNX41" s="1091"/>
      <c r="VNY41" s="1091"/>
      <c r="VNZ41" s="1091"/>
      <c r="VOA41" s="1091"/>
      <c r="VOB41" s="1091"/>
      <c r="VOC41" s="1091"/>
      <c r="VOD41" s="1091"/>
      <c r="VOE41" s="1091"/>
      <c r="VOF41" s="1091"/>
      <c r="VOG41" s="1091"/>
      <c r="VOH41" s="1091"/>
      <c r="VOI41" s="1091"/>
      <c r="VOJ41" s="1091"/>
      <c r="VOK41" s="1091"/>
      <c r="VOL41" s="1091"/>
      <c r="VOM41" s="1091"/>
      <c r="VON41" s="1091"/>
      <c r="VOO41" s="1091"/>
      <c r="VOP41" s="1091"/>
      <c r="VOQ41" s="1091"/>
      <c r="VOR41" s="1091"/>
      <c r="VOS41" s="1091"/>
      <c r="VOT41" s="1091"/>
      <c r="VOU41" s="1091"/>
      <c r="VOV41" s="1091"/>
      <c r="VOW41" s="1091"/>
      <c r="VOX41" s="1091"/>
      <c r="VOY41" s="1091"/>
      <c r="VOZ41" s="1091"/>
      <c r="VPA41" s="1091"/>
      <c r="VPB41" s="1091"/>
      <c r="VPC41" s="1091"/>
      <c r="VPD41" s="1091"/>
      <c r="VPE41" s="1091"/>
      <c r="VPF41" s="1091"/>
      <c r="VPG41" s="1091"/>
      <c r="VPH41" s="1091"/>
      <c r="VPI41" s="1091"/>
      <c r="VPJ41" s="1091"/>
      <c r="VPK41" s="1091"/>
      <c r="VPL41" s="1091"/>
      <c r="VPM41" s="1091"/>
      <c r="VPN41" s="1091"/>
      <c r="VPO41" s="1091"/>
      <c r="VPP41" s="1091"/>
      <c r="VPQ41" s="1091"/>
      <c r="VPR41" s="1091"/>
      <c r="VPS41" s="1091"/>
      <c r="VPT41" s="1091"/>
      <c r="VPU41" s="1091"/>
      <c r="VPV41" s="1091"/>
      <c r="VPW41" s="1091"/>
      <c r="VPX41" s="1091"/>
      <c r="VPY41" s="1091"/>
      <c r="VPZ41" s="1091"/>
      <c r="VQA41" s="1091"/>
      <c r="VQB41" s="1091"/>
      <c r="VQC41" s="1091"/>
      <c r="VQD41" s="1091"/>
      <c r="VQE41" s="1091"/>
      <c r="VQF41" s="1091"/>
      <c r="VQG41" s="1091"/>
      <c r="VQH41" s="1091"/>
      <c r="VQI41" s="1091"/>
      <c r="VQJ41" s="1091"/>
      <c r="VQK41" s="1091"/>
      <c r="VQL41" s="1091"/>
      <c r="VQM41" s="1091"/>
      <c r="VQN41" s="1091"/>
      <c r="VQO41" s="1091"/>
      <c r="VQP41" s="1091"/>
      <c r="VQQ41" s="1091"/>
      <c r="VQR41" s="1091"/>
      <c r="VQS41" s="1091"/>
      <c r="VQT41" s="1091"/>
      <c r="VQU41" s="1091"/>
      <c r="VQV41" s="1091"/>
      <c r="VQW41" s="1091"/>
      <c r="VQX41" s="1091"/>
      <c r="VQY41" s="1091"/>
      <c r="VQZ41" s="1091"/>
      <c r="VRA41" s="1091"/>
      <c r="VRB41" s="1091"/>
      <c r="VRC41" s="1091"/>
      <c r="VRD41" s="1091"/>
      <c r="VRE41" s="1091"/>
      <c r="VRF41" s="1091"/>
      <c r="VRG41" s="1091"/>
      <c r="VRH41" s="1091"/>
      <c r="VRI41" s="1091"/>
      <c r="VRJ41" s="1091"/>
      <c r="VRK41" s="1091"/>
      <c r="VRL41" s="1091"/>
      <c r="VRM41" s="1091"/>
      <c r="VRN41" s="1091"/>
      <c r="VRO41" s="1091"/>
      <c r="VRP41" s="1091"/>
      <c r="VRQ41" s="1091"/>
      <c r="VRR41" s="1091"/>
      <c r="VRS41" s="1091"/>
      <c r="VRT41" s="1091"/>
      <c r="VRU41" s="1091"/>
      <c r="VRV41" s="1091"/>
      <c r="VRW41" s="1091"/>
      <c r="VRX41" s="1091"/>
      <c r="VRY41" s="1091"/>
      <c r="VRZ41" s="1091"/>
      <c r="VSA41" s="1091"/>
      <c r="VSB41" s="1091"/>
      <c r="VSC41" s="1091"/>
      <c r="VSD41" s="1091"/>
      <c r="VSE41" s="1091"/>
      <c r="VSF41" s="1091"/>
      <c r="VSG41" s="1091"/>
      <c r="VSH41" s="1091"/>
      <c r="VSI41" s="1091"/>
      <c r="VSJ41" s="1091"/>
      <c r="VSK41" s="1091"/>
      <c r="VSL41" s="1091"/>
      <c r="VSM41" s="1091"/>
      <c r="VSN41" s="1091"/>
      <c r="VSO41" s="1091"/>
      <c r="VSP41" s="1091"/>
      <c r="VSQ41" s="1091"/>
      <c r="VSR41" s="1091"/>
      <c r="VSS41" s="1091"/>
      <c r="VST41" s="1091"/>
      <c r="VSU41" s="1091"/>
      <c r="VSV41" s="1091"/>
      <c r="VSW41" s="1091"/>
      <c r="VSX41" s="1091"/>
      <c r="VSY41" s="1091"/>
      <c r="VSZ41" s="1091"/>
      <c r="VTA41" s="1091"/>
      <c r="VTB41" s="1091"/>
      <c r="VTC41" s="1091"/>
      <c r="VTD41" s="1091"/>
      <c r="VTE41" s="1091"/>
      <c r="VTF41" s="1091"/>
      <c r="VTG41" s="1091"/>
      <c r="VTH41" s="1091"/>
      <c r="VTI41" s="1091"/>
      <c r="VTJ41" s="1091"/>
      <c r="VTK41" s="1091"/>
      <c r="VTL41" s="1091"/>
      <c r="VTM41" s="1091"/>
      <c r="VTN41" s="1091"/>
      <c r="VTO41" s="1091"/>
      <c r="VTP41" s="1091"/>
      <c r="VTQ41" s="1091"/>
      <c r="VTR41" s="1091"/>
      <c r="VTS41" s="1091"/>
      <c r="VTT41" s="1091"/>
      <c r="VTU41" s="1091"/>
      <c r="VTV41" s="1091"/>
      <c r="VTW41" s="1091"/>
      <c r="VTX41" s="1091"/>
      <c r="VTY41" s="1091"/>
      <c r="VTZ41" s="1091"/>
      <c r="VUA41" s="1091"/>
      <c r="VUB41" s="1091"/>
      <c r="VUC41" s="1091"/>
      <c r="VUD41" s="1091"/>
      <c r="VUE41" s="1091"/>
      <c r="VUF41" s="1091"/>
      <c r="VUG41" s="1091"/>
      <c r="VUH41" s="1091"/>
      <c r="VUI41" s="1091"/>
      <c r="VUJ41" s="1091"/>
      <c r="VUK41" s="1091"/>
      <c r="VUL41" s="1091"/>
      <c r="VUM41" s="1091"/>
      <c r="VUN41" s="1091"/>
      <c r="VUO41" s="1091"/>
      <c r="VUP41" s="1091"/>
      <c r="VUQ41" s="1091"/>
      <c r="VUR41" s="1091"/>
      <c r="VUS41" s="1091"/>
      <c r="VUT41" s="1091"/>
      <c r="VUU41" s="1091"/>
      <c r="VUV41" s="1091"/>
      <c r="VUW41" s="1091"/>
      <c r="VUX41" s="1091"/>
      <c r="VUY41" s="1091"/>
      <c r="VUZ41" s="1091"/>
      <c r="VVA41" s="1091"/>
      <c r="VVB41" s="1091"/>
      <c r="VVC41" s="1091"/>
      <c r="VVD41" s="1091"/>
      <c r="VVE41" s="1091"/>
      <c r="VVF41" s="1091"/>
      <c r="VVG41" s="1091"/>
      <c r="VVH41" s="1091"/>
      <c r="VVI41" s="1091"/>
      <c r="VVJ41" s="1091"/>
      <c r="VVK41" s="1091"/>
      <c r="VVL41" s="1091"/>
      <c r="VVM41" s="1091"/>
      <c r="VVN41" s="1091"/>
      <c r="VVO41" s="1091"/>
      <c r="VVP41" s="1091"/>
      <c r="VVQ41" s="1091"/>
      <c r="VVR41" s="1091"/>
      <c r="VVS41" s="1091"/>
      <c r="VVT41" s="1091"/>
      <c r="VVU41" s="1091"/>
      <c r="VVV41" s="1091"/>
      <c r="VVW41" s="1091"/>
      <c r="VVX41" s="1091"/>
      <c r="VVY41" s="1091"/>
      <c r="VVZ41" s="1091"/>
      <c r="VWA41" s="1091"/>
      <c r="VWB41" s="1091"/>
      <c r="VWC41" s="1091"/>
      <c r="VWD41" s="1091"/>
      <c r="VWE41" s="1091"/>
      <c r="VWF41" s="1091"/>
      <c r="VWG41" s="1091"/>
      <c r="VWH41" s="1091"/>
      <c r="VWI41" s="1091"/>
      <c r="VWJ41" s="1091"/>
      <c r="VWK41" s="1091"/>
      <c r="VWL41" s="1091"/>
      <c r="VWM41" s="1091"/>
      <c r="VWN41" s="1091"/>
      <c r="VWO41" s="1091"/>
      <c r="VWP41" s="1091"/>
      <c r="VWQ41" s="1091"/>
      <c r="VWR41" s="1091"/>
      <c r="VWS41" s="1091"/>
      <c r="VWT41" s="1091"/>
      <c r="VWU41" s="1091"/>
      <c r="VWV41" s="1091"/>
      <c r="VWW41" s="1091"/>
      <c r="VWX41" s="1091"/>
      <c r="VWY41" s="1091"/>
      <c r="VWZ41" s="1091"/>
      <c r="VXA41" s="1091"/>
      <c r="VXB41" s="1091"/>
      <c r="VXC41" s="1091"/>
      <c r="VXD41" s="1091"/>
      <c r="VXE41" s="1091"/>
      <c r="VXF41" s="1091"/>
      <c r="VXG41" s="1091"/>
      <c r="VXH41" s="1091"/>
      <c r="VXI41" s="1091"/>
      <c r="VXJ41" s="1091"/>
      <c r="VXK41" s="1091"/>
      <c r="VXL41" s="1091"/>
      <c r="VXM41" s="1091"/>
      <c r="VXN41" s="1091"/>
      <c r="VXO41" s="1091"/>
      <c r="VXP41" s="1091"/>
      <c r="VXQ41" s="1091"/>
      <c r="VXR41" s="1091"/>
      <c r="VXS41" s="1091"/>
      <c r="VXT41" s="1091"/>
      <c r="VXU41" s="1091"/>
      <c r="VXV41" s="1091"/>
      <c r="VXW41" s="1091"/>
      <c r="VXX41" s="1091"/>
      <c r="VXY41" s="1091"/>
      <c r="VXZ41" s="1091"/>
      <c r="VYA41" s="1091"/>
      <c r="VYB41" s="1091"/>
      <c r="VYC41" s="1091"/>
      <c r="VYD41" s="1091"/>
      <c r="VYE41" s="1091"/>
      <c r="VYF41" s="1091"/>
      <c r="VYG41" s="1091"/>
      <c r="VYH41" s="1091"/>
      <c r="VYI41" s="1091"/>
      <c r="VYJ41" s="1091"/>
      <c r="VYK41" s="1091"/>
      <c r="VYL41" s="1091"/>
      <c r="VYM41" s="1091"/>
      <c r="VYN41" s="1091"/>
      <c r="VYO41" s="1091"/>
      <c r="VYP41" s="1091"/>
      <c r="VYQ41" s="1091"/>
      <c r="VYR41" s="1091"/>
      <c r="VYS41" s="1091"/>
      <c r="VYT41" s="1091"/>
      <c r="VYU41" s="1091"/>
      <c r="VYV41" s="1091"/>
      <c r="VYW41" s="1091"/>
      <c r="VYX41" s="1091"/>
      <c r="VYY41" s="1091"/>
      <c r="VYZ41" s="1091"/>
      <c r="VZA41" s="1091"/>
      <c r="VZB41" s="1091"/>
      <c r="VZC41" s="1091"/>
      <c r="VZD41" s="1091"/>
      <c r="VZE41" s="1091"/>
      <c r="VZF41" s="1091"/>
      <c r="VZG41" s="1091"/>
      <c r="VZH41" s="1091"/>
      <c r="VZI41" s="1091"/>
      <c r="VZJ41" s="1091"/>
      <c r="VZK41" s="1091"/>
      <c r="VZL41" s="1091"/>
      <c r="VZM41" s="1091"/>
      <c r="VZN41" s="1091"/>
      <c r="VZO41" s="1091"/>
      <c r="VZP41" s="1091"/>
      <c r="VZQ41" s="1091"/>
      <c r="VZR41" s="1091"/>
      <c r="VZS41" s="1091"/>
      <c r="VZT41" s="1091"/>
      <c r="VZU41" s="1091"/>
      <c r="VZV41" s="1091"/>
      <c r="VZW41" s="1091"/>
      <c r="VZX41" s="1091"/>
      <c r="VZY41" s="1091"/>
      <c r="VZZ41" s="1091"/>
      <c r="WAA41" s="1091"/>
      <c r="WAB41" s="1091"/>
      <c r="WAC41" s="1091"/>
      <c r="WAD41" s="1091"/>
      <c r="WAE41" s="1091"/>
      <c r="WAF41" s="1091"/>
      <c r="WAG41" s="1091"/>
      <c r="WAH41" s="1091"/>
      <c r="WAI41" s="1091"/>
      <c r="WAJ41" s="1091"/>
      <c r="WAK41" s="1091"/>
      <c r="WAL41" s="1091"/>
      <c r="WAM41" s="1091"/>
      <c r="WAN41" s="1091"/>
      <c r="WAO41" s="1091"/>
      <c r="WAP41" s="1091"/>
      <c r="WAQ41" s="1091"/>
      <c r="WAR41" s="1091"/>
      <c r="WAS41" s="1091"/>
      <c r="WAT41" s="1091"/>
      <c r="WAU41" s="1091"/>
      <c r="WAV41" s="1091"/>
      <c r="WAW41" s="1091"/>
      <c r="WAX41" s="1091"/>
      <c r="WAY41" s="1091"/>
      <c r="WAZ41" s="1091"/>
      <c r="WBA41" s="1091"/>
      <c r="WBB41" s="1091"/>
      <c r="WBC41" s="1091"/>
      <c r="WBD41" s="1091"/>
      <c r="WBE41" s="1091"/>
      <c r="WBF41" s="1091"/>
      <c r="WBG41" s="1091"/>
      <c r="WBH41" s="1091"/>
      <c r="WBI41" s="1091"/>
      <c r="WBJ41" s="1091"/>
      <c r="WBK41" s="1091"/>
      <c r="WBL41" s="1091"/>
      <c r="WBM41" s="1091"/>
      <c r="WBN41" s="1091"/>
      <c r="WBO41" s="1091"/>
      <c r="WBP41" s="1091"/>
      <c r="WBQ41" s="1091"/>
      <c r="WBR41" s="1091"/>
      <c r="WBS41" s="1091"/>
      <c r="WBT41" s="1091"/>
      <c r="WBU41" s="1091"/>
      <c r="WBV41" s="1091"/>
      <c r="WBW41" s="1091"/>
      <c r="WBX41" s="1091"/>
      <c r="WBY41" s="1091"/>
      <c r="WBZ41" s="1091"/>
      <c r="WCA41" s="1091"/>
      <c r="WCB41" s="1091"/>
      <c r="WCC41" s="1091"/>
      <c r="WCD41" s="1091"/>
      <c r="WCE41" s="1091"/>
      <c r="WCF41" s="1091"/>
      <c r="WCG41" s="1091"/>
      <c r="WCH41" s="1091"/>
      <c r="WCI41" s="1091"/>
      <c r="WCJ41" s="1091"/>
      <c r="WCK41" s="1091"/>
      <c r="WCL41" s="1091"/>
      <c r="WCM41" s="1091"/>
      <c r="WCN41" s="1091"/>
      <c r="WCO41" s="1091"/>
      <c r="WCP41" s="1091"/>
      <c r="WCQ41" s="1091"/>
      <c r="WCR41" s="1091"/>
      <c r="WCS41" s="1091"/>
      <c r="WCT41" s="1091"/>
      <c r="WCU41" s="1091"/>
      <c r="WCV41" s="1091"/>
      <c r="WCW41" s="1091"/>
      <c r="WCX41" s="1091"/>
      <c r="WCY41" s="1091"/>
      <c r="WCZ41" s="1091"/>
      <c r="WDA41" s="1091"/>
      <c r="WDB41" s="1091"/>
      <c r="WDC41" s="1091"/>
      <c r="WDD41" s="1091"/>
      <c r="WDE41" s="1091"/>
      <c r="WDF41" s="1091"/>
      <c r="WDG41" s="1091"/>
      <c r="WDH41" s="1091"/>
      <c r="WDI41" s="1091"/>
      <c r="WDJ41" s="1091"/>
      <c r="WDK41" s="1091"/>
      <c r="WDL41" s="1091"/>
      <c r="WDM41" s="1091"/>
      <c r="WDN41" s="1091"/>
      <c r="WDO41" s="1091"/>
      <c r="WDP41" s="1091"/>
      <c r="WDQ41" s="1091"/>
      <c r="WDR41" s="1091"/>
      <c r="WDS41" s="1091"/>
      <c r="WDT41" s="1091"/>
      <c r="WDU41" s="1091"/>
      <c r="WDV41" s="1091"/>
      <c r="WDW41" s="1091"/>
      <c r="WDX41" s="1091"/>
      <c r="WDY41" s="1091"/>
      <c r="WDZ41" s="1091"/>
      <c r="WEA41" s="1091"/>
      <c r="WEB41" s="1091"/>
      <c r="WEC41" s="1091"/>
      <c r="WED41" s="1091"/>
      <c r="WEE41" s="1091"/>
      <c r="WEF41" s="1091"/>
      <c r="WEG41" s="1091"/>
      <c r="WEH41" s="1091"/>
      <c r="WEI41" s="1091"/>
      <c r="WEJ41" s="1091"/>
      <c r="WEK41" s="1091"/>
      <c r="WEL41" s="1091"/>
      <c r="WEM41" s="1091"/>
      <c r="WEN41" s="1091"/>
      <c r="WEO41" s="1091"/>
      <c r="WEP41" s="1091"/>
      <c r="WEQ41" s="1091"/>
      <c r="WER41" s="1091"/>
      <c r="WES41" s="1091"/>
      <c r="WET41" s="1091"/>
      <c r="WEU41" s="1091"/>
      <c r="WEV41" s="1091"/>
      <c r="WEW41" s="1091"/>
      <c r="WEX41" s="1091"/>
      <c r="WEY41" s="1091"/>
      <c r="WEZ41" s="1091"/>
      <c r="WFA41" s="1091"/>
      <c r="WFB41" s="1091"/>
      <c r="WFC41" s="1091"/>
      <c r="WFD41" s="1091"/>
      <c r="WFE41" s="1091"/>
      <c r="WFF41" s="1091"/>
      <c r="WFG41" s="1091"/>
      <c r="WFH41" s="1091"/>
      <c r="WFI41" s="1091"/>
      <c r="WFJ41" s="1091"/>
      <c r="WFK41" s="1091"/>
      <c r="WFL41" s="1091"/>
      <c r="WFM41" s="1091"/>
      <c r="WFN41" s="1091"/>
      <c r="WFO41" s="1091"/>
      <c r="WFP41" s="1091"/>
      <c r="WFQ41" s="1091"/>
      <c r="WFR41" s="1091"/>
      <c r="WFS41" s="1091"/>
      <c r="WFT41" s="1091"/>
      <c r="WFU41" s="1091"/>
      <c r="WFV41" s="1091"/>
      <c r="WFW41" s="1091"/>
      <c r="WFX41" s="1091"/>
      <c r="WFY41" s="1091"/>
      <c r="WFZ41" s="1091"/>
      <c r="WGA41" s="1091"/>
      <c r="WGB41" s="1091"/>
      <c r="WGC41" s="1091"/>
      <c r="WGD41" s="1091"/>
      <c r="WGE41" s="1091"/>
      <c r="WGF41" s="1091"/>
      <c r="WGG41" s="1091"/>
      <c r="WGH41" s="1091"/>
      <c r="WGI41" s="1091"/>
      <c r="WGJ41" s="1091"/>
      <c r="WGK41" s="1091"/>
      <c r="WGL41" s="1091"/>
      <c r="WGM41" s="1091"/>
      <c r="WGN41" s="1091"/>
      <c r="WGO41" s="1091"/>
      <c r="WGP41" s="1091"/>
      <c r="WGQ41" s="1091"/>
      <c r="WGR41" s="1091"/>
      <c r="WGS41" s="1091"/>
      <c r="WGT41" s="1091"/>
      <c r="WGU41" s="1091"/>
      <c r="WGV41" s="1091"/>
      <c r="WGW41" s="1091"/>
      <c r="WGX41" s="1091"/>
      <c r="WGY41" s="1091"/>
      <c r="WGZ41" s="1091"/>
      <c r="WHA41" s="1091"/>
      <c r="WHB41" s="1091"/>
      <c r="WHC41" s="1091"/>
      <c r="WHD41" s="1091"/>
      <c r="WHE41" s="1091"/>
      <c r="WHF41" s="1091"/>
      <c r="WHG41" s="1091"/>
      <c r="WHH41" s="1091"/>
      <c r="WHI41" s="1091"/>
      <c r="WHJ41" s="1091"/>
      <c r="WHK41" s="1091"/>
      <c r="WHL41" s="1091"/>
      <c r="WHM41" s="1091"/>
      <c r="WHN41" s="1091"/>
      <c r="WHO41" s="1091"/>
      <c r="WHP41" s="1091"/>
      <c r="WHQ41" s="1091"/>
      <c r="WHR41" s="1091"/>
      <c r="WHS41" s="1091"/>
      <c r="WHT41" s="1091"/>
      <c r="WHU41" s="1091"/>
      <c r="WHV41" s="1091"/>
      <c r="WHW41" s="1091"/>
      <c r="WHX41" s="1091"/>
      <c r="WHY41" s="1091"/>
      <c r="WHZ41" s="1091"/>
      <c r="WIA41" s="1091"/>
      <c r="WIB41" s="1091"/>
      <c r="WIC41" s="1091"/>
      <c r="WID41" s="1091"/>
      <c r="WIE41" s="1091"/>
      <c r="WIF41" s="1091"/>
      <c r="WIG41" s="1091"/>
      <c r="WIH41" s="1091"/>
      <c r="WII41" s="1091"/>
      <c r="WIJ41" s="1091"/>
      <c r="WIK41" s="1091"/>
      <c r="WIL41" s="1091"/>
      <c r="WIM41" s="1091"/>
      <c r="WIN41" s="1091"/>
      <c r="WIO41" s="1091"/>
      <c r="WIP41" s="1091"/>
      <c r="WIQ41" s="1091"/>
      <c r="WIR41" s="1091"/>
      <c r="WIS41" s="1091"/>
      <c r="WIT41" s="1091"/>
      <c r="WIU41" s="1091"/>
      <c r="WIV41" s="1091"/>
      <c r="WIW41" s="1091"/>
      <c r="WIX41" s="1091"/>
      <c r="WIY41" s="1091"/>
      <c r="WIZ41" s="1091"/>
      <c r="WJA41" s="1091"/>
      <c r="WJB41" s="1091"/>
      <c r="WJC41" s="1091"/>
      <c r="WJD41" s="1091"/>
      <c r="WJE41" s="1091"/>
      <c r="WJF41" s="1091"/>
      <c r="WJG41" s="1091"/>
      <c r="WJH41" s="1091"/>
      <c r="WJI41" s="1091"/>
      <c r="WJJ41" s="1091"/>
      <c r="WJK41" s="1091"/>
      <c r="WJL41" s="1091"/>
      <c r="WJM41" s="1091"/>
      <c r="WJN41" s="1091"/>
      <c r="WJO41" s="1091"/>
      <c r="WJP41" s="1091"/>
      <c r="WJQ41" s="1091"/>
      <c r="WJR41" s="1091"/>
      <c r="WJS41" s="1091"/>
      <c r="WJT41" s="1091"/>
      <c r="WJU41" s="1091"/>
      <c r="WJV41" s="1091"/>
      <c r="WJW41" s="1091"/>
      <c r="WJX41" s="1091"/>
      <c r="WJY41" s="1091"/>
      <c r="WJZ41" s="1091"/>
      <c r="WKA41" s="1091"/>
      <c r="WKB41" s="1091"/>
      <c r="WKC41" s="1091"/>
      <c r="WKD41" s="1091"/>
      <c r="WKE41" s="1091"/>
      <c r="WKF41" s="1091"/>
      <c r="WKG41" s="1091"/>
      <c r="WKH41" s="1091"/>
      <c r="WKI41" s="1091"/>
      <c r="WKJ41" s="1091"/>
      <c r="WKK41" s="1091"/>
      <c r="WKL41" s="1091"/>
      <c r="WKM41" s="1091"/>
      <c r="WKN41" s="1091"/>
      <c r="WKO41" s="1091"/>
      <c r="WKP41" s="1091"/>
      <c r="WKQ41" s="1091"/>
      <c r="WKR41" s="1091"/>
      <c r="WKS41" s="1091"/>
      <c r="WKT41" s="1091"/>
      <c r="WKU41" s="1091"/>
      <c r="WKV41" s="1091"/>
      <c r="WKW41" s="1091"/>
      <c r="WKX41" s="1091"/>
      <c r="WKY41" s="1091"/>
      <c r="WKZ41" s="1091"/>
      <c r="WLA41" s="1091"/>
      <c r="WLB41" s="1091"/>
      <c r="WLC41" s="1091"/>
      <c r="WLD41" s="1091"/>
      <c r="WLE41" s="1091"/>
      <c r="WLF41" s="1091"/>
      <c r="WLG41" s="1091"/>
      <c r="WLH41" s="1091"/>
      <c r="WLI41" s="1091"/>
      <c r="WLJ41" s="1091"/>
      <c r="WLK41" s="1091"/>
      <c r="WLL41" s="1091"/>
      <c r="WLM41" s="1091"/>
      <c r="WLN41" s="1091"/>
      <c r="WLO41" s="1091"/>
      <c r="WLP41" s="1091"/>
      <c r="WLQ41" s="1091"/>
      <c r="WLR41" s="1091"/>
      <c r="WLS41" s="1091"/>
      <c r="WLT41" s="1091"/>
      <c r="WLU41" s="1091"/>
      <c r="WLV41" s="1091"/>
      <c r="WLW41" s="1091"/>
      <c r="WLX41" s="1091"/>
      <c r="WLY41" s="1091"/>
      <c r="WLZ41" s="1091"/>
      <c r="WMA41" s="1091"/>
      <c r="WMB41" s="1091"/>
      <c r="WMC41" s="1091"/>
      <c r="WMD41" s="1091"/>
      <c r="WME41" s="1091"/>
      <c r="WMF41" s="1091"/>
      <c r="WMG41" s="1091"/>
      <c r="WMH41" s="1091"/>
      <c r="WMI41" s="1091"/>
      <c r="WMJ41" s="1091"/>
      <c r="WMK41" s="1091"/>
      <c r="WML41" s="1091"/>
      <c r="WMM41" s="1091"/>
      <c r="WMN41" s="1091"/>
      <c r="WMO41" s="1091"/>
      <c r="WMP41" s="1091"/>
      <c r="WMQ41" s="1091"/>
      <c r="WMR41" s="1091"/>
      <c r="WMS41" s="1091"/>
      <c r="WMT41" s="1091"/>
      <c r="WMU41" s="1091"/>
      <c r="WMV41" s="1091"/>
      <c r="WMW41" s="1091"/>
      <c r="WMX41" s="1091"/>
      <c r="WMY41" s="1091"/>
      <c r="WMZ41" s="1091"/>
      <c r="WNA41" s="1091"/>
      <c r="WNB41" s="1091"/>
      <c r="WNC41" s="1091"/>
      <c r="WND41" s="1091"/>
      <c r="WNE41" s="1091"/>
      <c r="WNF41" s="1091"/>
      <c r="WNG41" s="1091"/>
      <c r="WNH41" s="1091"/>
      <c r="WNI41" s="1091"/>
      <c r="WNJ41" s="1091"/>
      <c r="WNK41" s="1091"/>
      <c r="WNL41" s="1091"/>
      <c r="WNM41" s="1091"/>
      <c r="WNN41" s="1091"/>
      <c r="WNO41" s="1091"/>
      <c r="WNP41" s="1091"/>
      <c r="WNQ41" s="1091"/>
      <c r="WNR41" s="1091"/>
      <c r="WNS41" s="1091"/>
      <c r="WNT41" s="1091"/>
      <c r="WNU41" s="1091"/>
      <c r="WNV41" s="1091"/>
      <c r="WNW41" s="1091"/>
      <c r="WNX41" s="1091"/>
      <c r="WNY41" s="1091"/>
      <c r="WNZ41" s="1091"/>
      <c r="WOA41" s="1091"/>
      <c r="WOB41" s="1091"/>
      <c r="WOC41" s="1091"/>
      <c r="WOD41" s="1091"/>
      <c r="WOE41" s="1091"/>
      <c r="WOF41" s="1091"/>
      <c r="WOG41" s="1091"/>
      <c r="WOH41" s="1091"/>
      <c r="WOI41" s="1091"/>
      <c r="WOJ41" s="1091"/>
      <c r="WOK41" s="1091"/>
      <c r="WOL41" s="1091"/>
      <c r="WOM41" s="1091"/>
      <c r="WON41" s="1091"/>
      <c r="WOO41" s="1091"/>
      <c r="WOP41" s="1091"/>
      <c r="WOQ41" s="1091"/>
      <c r="WOR41" s="1091"/>
      <c r="WOS41" s="1091"/>
      <c r="WOT41" s="1091"/>
      <c r="WOU41" s="1091"/>
      <c r="WOV41" s="1091"/>
      <c r="WOW41" s="1091"/>
      <c r="WOX41" s="1091"/>
      <c r="WOY41" s="1091"/>
      <c r="WOZ41" s="1091"/>
      <c r="WPA41" s="1091"/>
      <c r="WPB41" s="1091"/>
      <c r="WPC41" s="1091"/>
      <c r="WPD41" s="1091"/>
      <c r="WPE41" s="1091"/>
      <c r="WPF41" s="1091"/>
      <c r="WPG41" s="1091"/>
      <c r="WPH41" s="1091"/>
      <c r="WPI41" s="1091"/>
      <c r="WPJ41" s="1091"/>
      <c r="WPK41" s="1091"/>
      <c r="WPL41" s="1091"/>
      <c r="WPM41" s="1091"/>
      <c r="WPN41" s="1091"/>
      <c r="WPO41" s="1091"/>
      <c r="WPP41" s="1091"/>
      <c r="WPQ41" s="1091"/>
      <c r="WPR41" s="1091"/>
      <c r="WPS41" s="1091"/>
      <c r="WPT41" s="1091"/>
      <c r="WPU41" s="1091"/>
      <c r="WPV41" s="1091"/>
      <c r="WPW41" s="1091"/>
      <c r="WPX41" s="1091"/>
      <c r="WPY41" s="1091"/>
      <c r="WPZ41" s="1091"/>
      <c r="WQA41" s="1091"/>
      <c r="WQB41" s="1091"/>
      <c r="WQC41" s="1091"/>
      <c r="WQD41" s="1091"/>
      <c r="WQE41" s="1091"/>
      <c r="WQF41" s="1091"/>
      <c r="WQG41" s="1091"/>
      <c r="WQH41" s="1091"/>
      <c r="WQI41" s="1091"/>
      <c r="WQJ41" s="1091"/>
      <c r="WQK41" s="1091"/>
      <c r="WQL41" s="1091"/>
      <c r="WQM41" s="1091"/>
      <c r="WQN41" s="1091"/>
      <c r="WQO41" s="1091"/>
      <c r="WQP41" s="1091"/>
      <c r="WQQ41" s="1091"/>
      <c r="WQR41" s="1091"/>
      <c r="WQS41" s="1091"/>
      <c r="WQT41" s="1091"/>
      <c r="WQU41" s="1091"/>
      <c r="WQV41" s="1091"/>
      <c r="WQW41" s="1091"/>
      <c r="WQX41" s="1091"/>
      <c r="WQY41" s="1091"/>
      <c r="WQZ41" s="1091"/>
      <c r="WRA41" s="1091"/>
      <c r="WRB41" s="1091"/>
      <c r="WRC41" s="1091"/>
      <c r="WRD41" s="1091"/>
      <c r="WRE41" s="1091"/>
      <c r="WRF41" s="1091"/>
      <c r="WRG41" s="1091"/>
      <c r="WRH41" s="1091"/>
      <c r="WRI41" s="1091"/>
      <c r="WRJ41" s="1091"/>
      <c r="WRK41" s="1091"/>
      <c r="WRL41" s="1091"/>
      <c r="WRM41" s="1091"/>
      <c r="WRN41" s="1091"/>
      <c r="WRO41" s="1091"/>
      <c r="WRP41" s="1091"/>
      <c r="WRQ41" s="1091"/>
      <c r="WRR41" s="1091"/>
      <c r="WRS41" s="1091"/>
      <c r="WRT41" s="1091"/>
      <c r="WRU41" s="1091"/>
      <c r="WRV41" s="1091"/>
      <c r="WRW41" s="1091"/>
      <c r="WRX41" s="1091"/>
      <c r="WRY41" s="1091"/>
      <c r="WRZ41" s="1091"/>
      <c r="WSA41" s="1091"/>
      <c r="WSB41" s="1091"/>
      <c r="WSC41" s="1091"/>
      <c r="WSD41" s="1091"/>
      <c r="WSE41" s="1091"/>
      <c r="WSF41" s="1091"/>
      <c r="WSG41" s="1091"/>
      <c r="WSH41" s="1091"/>
      <c r="WSI41" s="1091"/>
      <c r="WSJ41" s="1091"/>
      <c r="WSK41" s="1091"/>
      <c r="WSL41" s="1091"/>
      <c r="WSM41" s="1091"/>
      <c r="WSN41" s="1091"/>
      <c r="WSO41" s="1091"/>
      <c r="WSP41" s="1091"/>
      <c r="WSQ41" s="1091"/>
      <c r="WSR41" s="1091"/>
      <c r="WSS41" s="1091"/>
      <c r="WST41" s="1091"/>
      <c r="WSU41" s="1091"/>
      <c r="WSV41" s="1091"/>
      <c r="WSW41" s="1091"/>
      <c r="WSX41" s="1091"/>
      <c r="WSY41" s="1091"/>
      <c r="WSZ41" s="1091"/>
      <c r="WTA41" s="1091"/>
      <c r="WTB41" s="1091"/>
      <c r="WTC41" s="1091"/>
      <c r="WTD41" s="1091"/>
      <c r="WTE41" s="1091"/>
      <c r="WTF41" s="1091"/>
      <c r="WTG41" s="1091"/>
      <c r="WTH41" s="1091"/>
      <c r="WTI41" s="1091"/>
      <c r="WTJ41" s="1091"/>
      <c r="WTK41" s="1091"/>
      <c r="WTL41" s="1091"/>
      <c r="WTM41" s="1091"/>
      <c r="WTN41" s="1091"/>
      <c r="WTO41" s="1091"/>
      <c r="WTP41" s="1091"/>
      <c r="WTQ41" s="1091"/>
      <c r="WTR41" s="1091"/>
      <c r="WTS41" s="1091"/>
      <c r="WTT41" s="1091"/>
      <c r="WTU41" s="1091"/>
      <c r="WTV41" s="1091"/>
      <c r="WTW41" s="1091"/>
      <c r="WTX41" s="1091"/>
      <c r="WTY41" s="1091"/>
      <c r="WTZ41" s="1091"/>
      <c r="WUA41" s="1091"/>
      <c r="WUB41" s="1091"/>
      <c r="WUC41" s="1091"/>
      <c r="WUD41" s="1091"/>
      <c r="WUE41" s="1091"/>
      <c r="WUF41" s="1091"/>
      <c r="WUG41" s="1091"/>
      <c r="WUH41" s="1091"/>
      <c r="WUI41" s="1091"/>
      <c r="WUJ41" s="1091"/>
      <c r="WUK41" s="1091"/>
      <c r="WUL41" s="1091"/>
      <c r="WUM41" s="1091"/>
      <c r="WUN41" s="1091"/>
      <c r="WUO41" s="1091"/>
      <c r="WUP41" s="1091"/>
      <c r="WUQ41" s="1091"/>
      <c r="WUR41" s="1091"/>
      <c r="WUS41" s="1091"/>
      <c r="WUT41" s="1091"/>
      <c r="WUU41" s="1091"/>
      <c r="WUV41" s="1091"/>
      <c r="WUW41" s="1091"/>
      <c r="WUX41" s="1091"/>
      <c r="WUY41" s="1091"/>
      <c r="WUZ41" s="1091"/>
      <c r="WVA41" s="1091"/>
      <c r="WVB41" s="1091"/>
      <c r="WVC41" s="1091"/>
      <c r="WVD41" s="1091"/>
      <c r="WVE41" s="1091"/>
      <c r="WVF41" s="1091"/>
      <c r="WVG41" s="1091"/>
      <c r="WVH41" s="1091"/>
      <c r="WVI41" s="1091"/>
      <c r="WVJ41" s="1091"/>
      <c r="WVK41" s="1091"/>
      <c r="WVL41" s="1091"/>
      <c r="WVM41" s="1091"/>
      <c r="WVN41" s="1091"/>
      <c r="WVO41" s="1091"/>
      <c r="WVP41" s="1091"/>
      <c r="WVQ41" s="1091"/>
      <c r="WVR41" s="1091"/>
      <c r="WVS41" s="1091"/>
      <c r="WVT41" s="1091"/>
      <c r="WVU41" s="1091"/>
      <c r="WVV41" s="1091"/>
      <c r="WVW41" s="1091"/>
      <c r="WVX41" s="1091"/>
      <c r="WVY41" s="1091"/>
      <c r="WVZ41" s="1091"/>
      <c r="WWA41" s="1091"/>
      <c r="WWB41" s="1091"/>
      <c r="WWC41" s="1091"/>
      <c r="WWD41" s="1091"/>
      <c r="WWE41" s="1091"/>
      <c r="WWF41" s="1091"/>
      <c r="WWG41" s="1091"/>
      <c r="WWH41" s="1091"/>
      <c r="WWI41" s="1091"/>
      <c r="WWJ41" s="1091"/>
      <c r="WWK41" s="1091"/>
      <c r="WWL41" s="1091"/>
      <c r="WWM41" s="1091"/>
      <c r="WWN41" s="1091"/>
      <c r="WWO41" s="1091"/>
      <c r="WWP41" s="1091"/>
      <c r="WWQ41" s="1091"/>
      <c r="WWR41" s="1091"/>
      <c r="WWS41" s="1091"/>
      <c r="WWT41" s="1091"/>
      <c r="WWU41" s="1091"/>
      <c r="WWV41" s="1091"/>
      <c r="WWW41" s="1091"/>
      <c r="WWX41" s="1091"/>
      <c r="WWY41" s="1091"/>
      <c r="WWZ41" s="1091"/>
      <c r="WXA41" s="1091"/>
      <c r="WXB41" s="1091"/>
      <c r="WXC41" s="1091"/>
      <c r="WXD41" s="1091"/>
      <c r="WXE41" s="1091"/>
      <c r="WXF41" s="1091"/>
      <c r="WXG41" s="1091"/>
      <c r="WXH41" s="1091"/>
      <c r="WXI41" s="1091"/>
      <c r="WXJ41" s="1091"/>
      <c r="WXK41" s="1091"/>
      <c r="WXL41" s="1091"/>
      <c r="WXM41" s="1091"/>
      <c r="WXN41" s="1091"/>
      <c r="WXO41" s="1091"/>
      <c r="WXP41" s="1091"/>
      <c r="WXQ41" s="1091"/>
      <c r="WXR41" s="1091"/>
      <c r="WXS41" s="1091"/>
      <c r="WXT41" s="1091"/>
      <c r="WXU41" s="1091"/>
      <c r="WXV41" s="1091"/>
      <c r="WXW41" s="1091"/>
      <c r="WXX41" s="1091"/>
      <c r="WXY41" s="1091"/>
      <c r="WXZ41" s="1091"/>
      <c r="WYA41" s="1091"/>
      <c r="WYB41" s="1091"/>
      <c r="WYC41" s="1091"/>
      <c r="WYD41" s="1091"/>
      <c r="WYE41" s="1091"/>
      <c r="WYF41" s="1091"/>
      <c r="WYG41" s="1091"/>
      <c r="WYH41" s="1091"/>
      <c r="WYI41" s="1091"/>
      <c r="WYJ41" s="1091"/>
      <c r="WYK41" s="1091"/>
      <c r="WYL41" s="1091"/>
      <c r="WYM41" s="1091"/>
      <c r="WYN41" s="1091"/>
      <c r="WYO41" s="1091"/>
      <c r="WYP41" s="1091"/>
      <c r="WYQ41" s="1091"/>
      <c r="WYR41" s="1091"/>
      <c r="WYS41" s="1091"/>
      <c r="WYT41" s="1091"/>
      <c r="WYU41" s="1091"/>
      <c r="WYV41" s="1091"/>
      <c r="WYW41" s="1091"/>
      <c r="WYX41" s="1091"/>
      <c r="WYY41" s="1091"/>
      <c r="WYZ41" s="1091"/>
      <c r="WZA41" s="1091"/>
      <c r="WZB41" s="1091"/>
      <c r="WZC41" s="1091"/>
      <c r="WZD41" s="1091"/>
      <c r="WZE41" s="1091"/>
      <c r="WZF41" s="1091"/>
      <c r="WZG41" s="1091"/>
      <c r="WZH41" s="1091"/>
      <c r="WZI41" s="1091"/>
      <c r="WZJ41" s="1091"/>
      <c r="WZK41" s="1091"/>
      <c r="WZL41" s="1091"/>
      <c r="WZM41" s="1091"/>
      <c r="WZN41" s="1091"/>
      <c r="WZO41" s="1091"/>
      <c r="WZP41" s="1091"/>
      <c r="WZQ41" s="1091"/>
      <c r="WZR41" s="1091"/>
      <c r="WZS41" s="1091"/>
      <c r="WZT41" s="1091"/>
      <c r="WZU41" s="1091"/>
      <c r="WZV41" s="1091"/>
      <c r="WZW41" s="1091"/>
      <c r="WZX41" s="1091"/>
      <c r="WZY41" s="1091"/>
      <c r="WZZ41" s="1091"/>
      <c r="XAA41" s="1091"/>
      <c r="XAB41" s="1091"/>
      <c r="XAC41" s="1091"/>
      <c r="XAD41" s="1091"/>
      <c r="XAE41" s="1091"/>
      <c r="XAF41" s="1091"/>
      <c r="XAG41" s="1091"/>
      <c r="XAH41" s="1091"/>
      <c r="XAI41" s="1091"/>
      <c r="XAJ41" s="1091"/>
      <c r="XAK41" s="1091"/>
      <c r="XAL41" s="1091"/>
      <c r="XAM41" s="1091"/>
      <c r="XAN41" s="1091"/>
      <c r="XAO41" s="1091"/>
      <c r="XAP41" s="1091"/>
      <c r="XAQ41" s="1091"/>
      <c r="XAR41" s="1091"/>
      <c r="XAS41" s="1091"/>
      <c r="XAT41" s="1091"/>
      <c r="XAU41" s="1091"/>
      <c r="XAV41" s="1091"/>
      <c r="XAW41" s="1091"/>
      <c r="XAX41" s="1091"/>
      <c r="XAY41" s="1091"/>
      <c r="XAZ41" s="1091"/>
      <c r="XBA41" s="1091"/>
      <c r="XBB41" s="1091"/>
      <c r="XBC41" s="1091"/>
      <c r="XBD41" s="1091"/>
      <c r="XBE41" s="1091"/>
      <c r="XBF41" s="1091"/>
      <c r="XBG41" s="1091"/>
      <c r="XBH41" s="1091"/>
      <c r="XBI41" s="1091"/>
      <c r="XBJ41" s="1091"/>
      <c r="XBK41" s="1091"/>
      <c r="XBL41" s="1091"/>
      <c r="XBM41" s="1091"/>
      <c r="XBN41" s="1091"/>
      <c r="XBO41" s="1091"/>
      <c r="XBP41" s="1091"/>
      <c r="XBQ41" s="1091"/>
      <c r="XBR41" s="1091"/>
      <c r="XBS41" s="1091"/>
      <c r="XBT41" s="1091"/>
      <c r="XBU41" s="1091"/>
      <c r="XBV41" s="1091"/>
      <c r="XBW41" s="1091"/>
      <c r="XBX41" s="1091"/>
      <c r="XBY41" s="1091"/>
      <c r="XBZ41" s="1091"/>
      <c r="XCA41" s="1091"/>
      <c r="XCB41" s="1091"/>
      <c r="XCC41" s="1091"/>
      <c r="XCD41" s="1091"/>
      <c r="XCE41" s="1091"/>
      <c r="XCF41" s="1091"/>
      <c r="XCG41" s="1091"/>
      <c r="XCH41" s="1091"/>
      <c r="XCI41" s="1091"/>
      <c r="XCJ41" s="1091"/>
      <c r="XCK41" s="1091"/>
      <c r="XCL41" s="1091"/>
      <c r="XCM41" s="1091"/>
      <c r="XCN41" s="1091"/>
      <c r="XCO41" s="1091"/>
      <c r="XCP41" s="1091"/>
      <c r="XCQ41" s="1091"/>
      <c r="XCR41" s="1091"/>
      <c r="XCS41" s="1091"/>
      <c r="XCT41" s="1091"/>
      <c r="XCU41" s="1091"/>
      <c r="XCV41" s="1091"/>
      <c r="XCW41" s="1091"/>
      <c r="XCX41" s="1091"/>
      <c r="XCY41" s="1091"/>
      <c r="XCZ41" s="1091"/>
      <c r="XDA41" s="1091"/>
      <c r="XDB41" s="1091"/>
      <c r="XDC41" s="1091"/>
      <c r="XDD41" s="1091"/>
      <c r="XDE41" s="1091"/>
      <c r="XDF41" s="1091"/>
      <c r="XDG41" s="1091"/>
      <c r="XDH41" s="1091"/>
      <c r="XDI41" s="1091"/>
      <c r="XDJ41" s="1091"/>
      <c r="XDK41" s="1091"/>
      <c r="XDL41" s="1091"/>
      <c r="XDM41" s="1091"/>
      <c r="XDN41" s="1091"/>
      <c r="XDO41" s="1091"/>
      <c r="XDP41" s="1091"/>
      <c r="XDQ41" s="1091"/>
      <c r="XDR41" s="1091"/>
      <c r="XDS41" s="1091"/>
      <c r="XDT41" s="1091"/>
      <c r="XDU41" s="1091"/>
      <c r="XDV41" s="1091"/>
      <c r="XDW41" s="1091"/>
      <c r="XDX41" s="1091"/>
      <c r="XDY41" s="1091"/>
      <c r="XDZ41" s="1091"/>
      <c r="XEA41" s="1091"/>
      <c r="XEB41" s="1091"/>
      <c r="XEC41" s="1091"/>
      <c r="XED41" s="1091"/>
      <c r="XEE41" s="1091"/>
      <c r="XEF41" s="1091"/>
      <c r="XEG41" s="1091"/>
      <c r="XEH41" s="1091"/>
      <c r="XEI41" s="1091"/>
      <c r="XEJ41" s="1091"/>
      <c r="XEK41" s="1091"/>
      <c r="XEL41" s="1091"/>
      <c r="XEM41" s="1091"/>
      <c r="XEN41" s="1091"/>
      <c r="XEO41" s="1091"/>
      <c r="XEP41" s="1091"/>
      <c r="XEQ41" s="1091"/>
      <c r="XER41" s="1091"/>
      <c r="XES41" s="1091"/>
      <c r="XET41" s="1091"/>
      <c r="XEU41" s="1091"/>
      <c r="XEV41" s="1091"/>
      <c r="XEW41" s="1091"/>
      <c r="XEX41" s="1091"/>
      <c r="XEY41" s="1091"/>
      <c r="XEZ41" s="1091"/>
      <c r="XFA41" s="1091"/>
    </row>
    <row r="42" spans="1:16381" ht="15" customHeight="1" x14ac:dyDescent="0.25">
      <c r="A42" s="5" t="str">
        <f>'T1'!A21</f>
        <v>2016-17</v>
      </c>
      <c r="B42" s="17">
        <f>'T1'!B21</f>
        <v>3644</v>
      </c>
      <c r="C42" s="17">
        <f>'T1'!C21</f>
        <v>2546</v>
      </c>
      <c r="D42" s="368">
        <f>'T1'!D21</f>
        <v>0</v>
      </c>
      <c r="E42" s="17">
        <f>'T1'!E21</f>
        <v>160</v>
      </c>
      <c r="F42" s="17">
        <f>'T1'!F21</f>
        <v>745</v>
      </c>
      <c r="G42" s="882">
        <f t="shared" si="7"/>
        <v>7095</v>
      </c>
      <c r="I42" s="369"/>
      <c r="J42" s="369"/>
      <c r="K42" s="7"/>
      <c r="U42" s="580"/>
    </row>
    <row r="43" spans="1:16381" ht="15" customHeight="1" x14ac:dyDescent="0.25">
      <c r="A43" s="5" t="str">
        <f>'T1'!A22</f>
        <v>2017-18</v>
      </c>
      <c r="B43" s="17">
        <f>'T1'!B22</f>
        <v>3544</v>
      </c>
      <c r="C43" s="17">
        <f>'T1'!C22</f>
        <v>2545</v>
      </c>
      <c r="D43" s="368">
        <f>'T1'!D22</f>
        <v>0</v>
      </c>
      <c r="E43" s="17">
        <f>'T1'!E22</f>
        <v>184</v>
      </c>
      <c r="F43" s="17">
        <f>'T1'!F22</f>
        <v>759</v>
      </c>
      <c r="G43" s="882">
        <f t="shared" si="7"/>
        <v>7032</v>
      </c>
      <c r="I43" s="369"/>
      <c r="J43" s="369"/>
      <c r="K43" s="18"/>
      <c r="U43" s="580"/>
    </row>
    <row r="44" spans="1:16381" ht="15" customHeight="1" x14ac:dyDescent="0.25">
      <c r="A44" s="5" t="str">
        <f>'T1'!A23</f>
        <v>2018-19</v>
      </c>
      <c r="B44" s="17">
        <f>'T1'!B23</f>
        <v>3636</v>
      </c>
      <c r="C44" s="17">
        <f>'T1'!C23</f>
        <v>2584</v>
      </c>
      <c r="D44" s="17">
        <f>'T1'!D23</f>
        <v>18</v>
      </c>
      <c r="E44" s="17">
        <f>'T1'!E23</f>
        <v>202</v>
      </c>
      <c r="F44" s="17">
        <f>'T1'!F23</f>
        <v>746</v>
      </c>
      <c r="G44" s="882">
        <f>B44+C44+E44+D44+F44</f>
        <v>7186</v>
      </c>
      <c r="I44" s="369"/>
      <c r="J44" s="369"/>
      <c r="K44" s="18"/>
      <c r="U44" s="580"/>
    </row>
    <row r="45" spans="1:16381" ht="15" customHeight="1" thickBot="1" x14ac:dyDescent="0.3">
      <c r="A45" s="538" t="str">
        <f>'T1'!A24</f>
        <v>2019-20</v>
      </c>
      <c r="B45" s="884">
        <f>'T1'!B24</f>
        <v>3634</v>
      </c>
      <c r="C45" s="884">
        <f>'T1'!C24</f>
        <v>2552</v>
      </c>
      <c r="D45" s="884">
        <f>'T1'!D24</f>
        <v>36</v>
      </c>
      <c r="E45" s="884">
        <f>'T1'!E24</f>
        <v>184</v>
      </c>
      <c r="F45" s="884">
        <f>'T1'!F24</f>
        <v>765</v>
      </c>
      <c r="G45" s="883">
        <f>B45+C45+E45+D45+F45</f>
        <v>7171</v>
      </c>
      <c r="I45" s="375"/>
      <c r="J45" s="369"/>
      <c r="K45" s="18"/>
      <c r="U45" s="580"/>
    </row>
    <row r="46" spans="1:16381" ht="15" customHeight="1" x14ac:dyDescent="0.25">
      <c r="A46" s="6"/>
      <c r="B46" s="20"/>
      <c r="C46" s="20"/>
      <c r="D46" s="20"/>
      <c r="E46" s="20"/>
      <c r="F46" s="20"/>
      <c r="G46" s="22"/>
      <c r="I46" s="23"/>
      <c r="J46" s="16"/>
      <c r="K46" s="7"/>
      <c r="U46" s="580"/>
    </row>
    <row r="47" spans="1:16381" ht="15" customHeight="1" x14ac:dyDescent="0.25">
      <c r="A47" s="1090" t="str">
        <f>"One Year Change "&amp;A44&amp;" to " &amp; A45</f>
        <v>One Year Change 2018-19 to 2019-20</v>
      </c>
      <c r="B47" s="1090"/>
      <c r="C47" s="1090"/>
      <c r="D47" s="954"/>
      <c r="E47" s="24"/>
      <c r="F47" s="24"/>
      <c r="G47" s="24"/>
      <c r="I47" s="16"/>
      <c r="J47" s="16"/>
      <c r="K47" s="21"/>
      <c r="U47" s="580"/>
    </row>
    <row r="48" spans="1:16381" ht="15" customHeight="1" x14ac:dyDescent="0.25">
      <c r="A48" s="25" t="s">
        <v>6</v>
      </c>
      <c r="B48" s="9">
        <f>B45-B44</f>
        <v>-2</v>
      </c>
      <c r="C48" s="9">
        <f t="shared" ref="C48:G48" si="8">C45-C44</f>
        <v>-32</v>
      </c>
      <c r="D48" s="9">
        <f t="shared" si="8"/>
        <v>18</v>
      </c>
      <c r="E48" s="9">
        <f t="shared" si="8"/>
        <v>-18</v>
      </c>
      <c r="F48" s="9">
        <f t="shared" si="8"/>
        <v>19</v>
      </c>
      <c r="G48" s="9">
        <f t="shared" si="8"/>
        <v>-15</v>
      </c>
      <c r="I48" s="26"/>
      <c r="J48" s="26"/>
      <c r="K48" s="21"/>
      <c r="U48" s="580"/>
    </row>
    <row r="49" spans="1:21" ht="15" customHeight="1" thickBot="1" x14ac:dyDescent="0.3">
      <c r="A49" s="11" t="s">
        <v>7</v>
      </c>
      <c r="B49" s="376">
        <f>B48/B44</f>
        <v>-5.5005500550055003E-4</v>
      </c>
      <c r="C49" s="376">
        <f t="shared" ref="C49:G49" si="9">C48/C44</f>
        <v>-1.238390092879257E-2</v>
      </c>
      <c r="D49" s="376">
        <f t="shared" si="9"/>
        <v>1</v>
      </c>
      <c r="E49" s="376">
        <f t="shared" si="9"/>
        <v>-8.9108910891089105E-2</v>
      </c>
      <c r="F49" s="376">
        <f t="shared" si="9"/>
        <v>2.5469168900804289E-2</v>
      </c>
      <c r="G49" s="376">
        <f t="shared" si="9"/>
        <v>-2.0873921514055105E-3</v>
      </c>
      <c r="I49" s="377"/>
      <c r="J49" s="377"/>
      <c r="K49" s="18"/>
      <c r="U49" s="580"/>
    </row>
    <row r="50" spans="1:21" ht="15" customHeight="1" x14ac:dyDescent="0.25">
      <c r="A50" s="27"/>
      <c r="B50" s="16"/>
      <c r="C50" s="16"/>
      <c r="D50" s="16"/>
      <c r="E50" s="16"/>
      <c r="F50" s="16"/>
      <c r="G50" s="16"/>
      <c r="I50" s="16"/>
      <c r="J50" s="29"/>
      <c r="K50" s="18"/>
      <c r="U50" s="580"/>
    </row>
    <row r="51" spans="1:21" ht="15" customHeight="1" x14ac:dyDescent="0.25">
      <c r="A51" s="1090" t="str">
        <f>"Three Year Change "&amp;A40&amp;" to " &amp; A45</f>
        <v>Three Year Change 2014-15 to 2019-20</v>
      </c>
      <c r="B51" s="1090"/>
      <c r="C51" s="1090"/>
      <c r="D51" s="954"/>
      <c r="E51" s="24"/>
      <c r="F51" s="24"/>
      <c r="G51" s="24"/>
      <c r="I51" s="16"/>
      <c r="J51" s="29"/>
      <c r="K51" s="7"/>
      <c r="U51" s="580"/>
    </row>
    <row r="52" spans="1:21" ht="15" customHeight="1" x14ac:dyDescent="0.25">
      <c r="A52" s="25" t="s">
        <v>6</v>
      </c>
      <c r="B52" s="9">
        <f>B45-B40</f>
        <v>-222</v>
      </c>
      <c r="C52" s="9">
        <f t="shared" ref="C52:G52" si="10">C45-C40</f>
        <v>-117</v>
      </c>
      <c r="D52" s="9">
        <f t="shared" si="10"/>
        <v>36</v>
      </c>
      <c r="E52" s="9">
        <f t="shared" si="10"/>
        <v>-37</v>
      </c>
      <c r="F52" s="9">
        <f t="shared" si="10"/>
        <v>21</v>
      </c>
      <c r="G52" s="9">
        <f t="shared" si="10"/>
        <v>-319</v>
      </c>
      <c r="I52" s="16"/>
      <c r="J52" s="29"/>
      <c r="K52" s="16"/>
      <c r="U52" s="580"/>
    </row>
    <row r="53" spans="1:21" ht="15" customHeight="1" thickBot="1" x14ac:dyDescent="0.3">
      <c r="A53" s="11" t="s">
        <v>7</v>
      </c>
      <c r="B53" s="376">
        <f>B52/B40</f>
        <v>-5.7572614107883814E-2</v>
      </c>
      <c r="C53" s="376">
        <f t="shared" ref="C53:G53" si="11">C52/C40</f>
        <v>-4.3836642937429747E-2</v>
      </c>
      <c r="D53" s="376"/>
      <c r="E53" s="376">
        <f t="shared" si="11"/>
        <v>-0.167420814479638</v>
      </c>
      <c r="F53" s="376">
        <f t="shared" si="11"/>
        <v>2.8225806451612902E-2</v>
      </c>
      <c r="G53" s="376">
        <f t="shared" si="11"/>
        <v>-4.2590120160213615E-2</v>
      </c>
      <c r="I53" s="16"/>
      <c r="J53" s="29"/>
      <c r="K53" s="16"/>
      <c r="U53" s="580"/>
    </row>
    <row r="54" spans="1:21" ht="15" customHeight="1" x14ac:dyDescent="0.25">
      <c r="A54" s="27"/>
      <c r="B54" s="16"/>
      <c r="C54" s="16"/>
      <c r="D54" s="16"/>
      <c r="E54" s="16"/>
      <c r="F54" s="16"/>
      <c r="G54" s="18"/>
      <c r="H54" s="16"/>
      <c r="I54" s="16"/>
      <c r="J54" s="29"/>
      <c r="K54" s="16"/>
      <c r="U54" s="580"/>
    </row>
    <row r="55" spans="1:21" ht="15" customHeight="1" x14ac:dyDescent="0.25">
      <c r="A55" s="437" t="s">
        <v>8</v>
      </c>
      <c r="K55" s="29"/>
      <c r="U55" s="580"/>
    </row>
    <row r="56" spans="1:21" ht="15" customHeight="1" x14ac:dyDescent="0.25">
      <c r="A56" s="1075" t="s">
        <v>226</v>
      </c>
      <c r="B56" s="1075"/>
      <c r="C56" s="1075"/>
      <c r="D56" s="1075"/>
      <c r="E56" s="1075"/>
      <c r="F56" s="1075"/>
      <c r="G56" s="1075"/>
      <c r="H56" s="1075"/>
      <c r="I56" s="1075"/>
      <c r="J56" s="1075"/>
      <c r="K56" s="29"/>
      <c r="U56" s="580"/>
    </row>
    <row r="57" spans="1:21" ht="15" customHeight="1" x14ac:dyDescent="0.25">
      <c r="A57" t="s">
        <v>225</v>
      </c>
      <c r="K57" s="29"/>
      <c r="U57" s="580"/>
    </row>
    <row r="58" spans="1:21" ht="15" customHeight="1" x14ac:dyDescent="0.25">
      <c r="A58" s="544" t="s">
        <v>506</v>
      </c>
      <c r="E58" s="544"/>
      <c r="K58" s="29"/>
      <c r="U58" s="580"/>
    </row>
    <row r="59" spans="1:21" ht="30.75" customHeight="1" x14ac:dyDescent="0.25">
      <c r="A59" s="1089" t="s">
        <v>955</v>
      </c>
      <c r="B59" s="1089"/>
      <c r="C59" s="1089"/>
      <c r="D59" s="1089"/>
      <c r="E59" s="1089"/>
      <c r="F59" s="1089"/>
      <c r="G59" s="1089"/>
      <c r="H59" s="1089"/>
      <c r="I59" s="1089"/>
      <c r="J59" s="1089"/>
      <c r="K59" s="29"/>
      <c r="U59" s="580"/>
    </row>
    <row r="60" spans="1:21" ht="15" customHeight="1" x14ac:dyDescent="0.25">
      <c r="K60" s="29"/>
      <c r="L60" s="580"/>
      <c r="M60" s="580"/>
      <c r="N60" s="580"/>
      <c r="O60" s="580"/>
      <c r="P60" s="580"/>
      <c r="Q60" s="580"/>
      <c r="R60" s="580"/>
      <c r="S60" s="580"/>
      <c r="T60" s="580"/>
      <c r="U60" s="580"/>
    </row>
    <row r="61" spans="1:21" ht="15" customHeight="1" x14ac:dyDescent="0.25">
      <c r="K61" s="29"/>
      <c r="L61" s="580"/>
      <c r="M61" s="580"/>
      <c r="N61" s="580"/>
      <c r="O61" s="580"/>
      <c r="P61" s="580"/>
      <c r="Q61" s="580"/>
      <c r="R61" s="580"/>
      <c r="S61" s="580"/>
      <c r="T61" s="580"/>
      <c r="U61" s="580"/>
    </row>
    <row r="62" spans="1:21" ht="15" customHeight="1" x14ac:dyDescent="0.25">
      <c r="K62" s="16"/>
      <c r="L62" s="580"/>
      <c r="M62" s="580"/>
      <c r="N62" s="580"/>
      <c r="O62" s="580"/>
      <c r="P62" s="580"/>
      <c r="Q62" s="580"/>
      <c r="R62" s="580"/>
      <c r="S62" s="580"/>
      <c r="T62" s="580"/>
      <c r="U62" s="580"/>
    </row>
    <row r="63" spans="1:21" x14ac:dyDescent="0.25">
      <c r="K63" s="16"/>
      <c r="L63" s="580"/>
      <c r="M63" s="580"/>
      <c r="N63" s="580"/>
      <c r="O63" s="580"/>
      <c r="P63" s="580"/>
      <c r="Q63" s="580"/>
      <c r="R63" s="580"/>
      <c r="S63" s="580"/>
      <c r="T63" s="580"/>
      <c r="U63" s="580"/>
    </row>
    <row r="64" spans="1:21" x14ac:dyDescent="0.25">
      <c r="K64" s="29"/>
      <c r="L64" s="580"/>
      <c r="M64" s="580"/>
      <c r="N64" s="580"/>
      <c r="O64" s="580"/>
      <c r="P64" s="580"/>
      <c r="Q64" s="580"/>
      <c r="R64" s="580"/>
      <c r="S64" s="580"/>
      <c r="T64" s="580"/>
      <c r="U64" s="580"/>
    </row>
    <row r="65" spans="11:21" ht="14.1" customHeight="1" x14ac:dyDescent="0.25">
      <c r="K65" s="29"/>
      <c r="L65" s="580"/>
      <c r="M65" s="580"/>
      <c r="N65" s="580"/>
      <c r="O65" s="580"/>
      <c r="P65" s="580"/>
      <c r="Q65" s="580"/>
      <c r="R65" s="580"/>
      <c r="S65" s="580"/>
      <c r="T65" s="580"/>
      <c r="U65" s="580"/>
    </row>
    <row r="66" spans="11:21" ht="15.75" customHeight="1" x14ac:dyDescent="0.25">
      <c r="K66" s="16"/>
      <c r="L66" s="580"/>
      <c r="M66" s="580"/>
      <c r="N66" s="580"/>
      <c r="O66" s="580"/>
      <c r="P66" s="580"/>
      <c r="Q66" s="580"/>
      <c r="R66" s="580"/>
      <c r="S66" s="580"/>
      <c r="T66" s="580"/>
      <c r="U66" s="580"/>
    </row>
    <row r="67" spans="11:21" x14ac:dyDescent="0.25">
      <c r="K67" s="16"/>
      <c r="L67" s="580"/>
      <c r="M67" s="580"/>
      <c r="N67" s="580"/>
      <c r="O67" s="580"/>
      <c r="P67" s="580"/>
      <c r="Q67" s="580"/>
      <c r="R67" s="580"/>
      <c r="S67" s="580"/>
      <c r="T67" s="580"/>
      <c r="U67" s="580"/>
    </row>
    <row r="68" spans="11:21" x14ac:dyDescent="0.25">
      <c r="L68" s="580"/>
      <c r="M68" s="580"/>
      <c r="N68" s="580"/>
      <c r="O68" s="580"/>
      <c r="P68" s="580"/>
      <c r="Q68" s="580"/>
      <c r="R68" s="580"/>
      <c r="S68" s="580"/>
      <c r="T68" s="580"/>
      <c r="U68" s="580"/>
    </row>
    <row r="69" spans="11:21" x14ac:dyDescent="0.25">
      <c r="L69" s="580"/>
      <c r="M69" s="580"/>
      <c r="N69" s="580"/>
      <c r="O69" s="580"/>
      <c r="P69" s="580"/>
      <c r="Q69" s="580"/>
      <c r="R69" s="580"/>
      <c r="S69" s="580"/>
      <c r="T69" s="580"/>
      <c r="U69" s="580"/>
    </row>
    <row r="70" spans="11:21" x14ac:dyDescent="0.25">
      <c r="L70" s="580"/>
      <c r="M70" s="580"/>
      <c r="N70" s="580"/>
      <c r="O70" s="580"/>
      <c r="P70" s="580"/>
      <c r="Q70" s="580"/>
      <c r="R70" s="580"/>
      <c r="S70" s="580"/>
      <c r="T70" s="580"/>
      <c r="U70" s="580"/>
    </row>
    <row r="71" spans="11:21" x14ac:dyDescent="0.25">
      <c r="L71" s="580"/>
      <c r="M71" s="580"/>
      <c r="N71" s="580"/>
      <c r="O71" s="580"/>
      <c r="P71" s="580"/>
      <c r="Q71" s="580"/>
      <c r="R71" s="580"/>
      <c r="S71" s="580"/>
      <c r="T71" s="580"/>
      <c r="U71" s="580"/>
    </row>
    <row r="72" spans="11:21" x14ac:dyDescent="0.25">
      <c r="L72" s="580"/>
      <c r="M72" s="580"/>
      <c r="N72" s="580"/>
      <c r="O72" s="580"/>
      <c r="P72" s="580"/>
      <c r="Q72" s="580"/>
      <c r="R72" s="580"/>
      <c r="S72" s="580"/>
      <c r="T72" s="580"/>
      <c r="U72" s="580"/>
    </row>
  </sheetData>
  <sheetProtection algorithmName="SHA-512" hashValue="10VDY7JHwLCgoH/xrGRJcKfVqJ2iwwBaDGXSmZxhqJ7kcJsX2rOvuWwBKs8ilxhlhKDqbZ9BvaCiPGx97Xs75A==" saltValue="fLXhcd2O9Beh/Xe1xKM8Fg==" spinCount="100000" sheet="1" scenarios="1" formatCells="0" formatColumns="0" formatRows="0" sort="0" autoFilter="0" pivotTables="0"/>
  <mergeCells count="1827">
    <mergeCell ref="XDI41:XDQ41"/>
    <mergeCell ref="XDR41:XDZ41"/>
    <mergeCell ref="XEA41:XEI41"/>
    <mergeCell ref="XEJ41:XER41"/>
    <mergeCell ref="XES41:XFA41"/>
    <mergeCell ref="XBP41:XBX41"/>
    <mergeCell ref="XBY41:XCG41"/>
    <mergeCell ref="XCH41:XCP41"/>
    <mergeCell ref="XCQ41:XCY41"/>
    <mergeCell ref="XCZ41:XDH41"/>
    <mergeCell ref="WZW41:XAE41"/>
    <mergeCell ref="XAF41:XAN41"/>
    <mergeCell ref="XAO41:XAW41"/>
    <mergeCell ref="XAX41:XBF41"/>
    <mergeCell ref="XBG41:XBO41"/>
    <mergeCell ref="WYD41:WYL41"/>
    <mergeCell ref="WYM41:WYU41"/>
    <mergeCell ref="WYV41:WZD41"/>
    <mergeCell ref="WZE41:WZM41"/>
    <mergeCell ref="WZN41:WZV41"/>
    <mergeCell ref="WWK41:WWS41"/>
    <mergeCell ref="WWT41:WXB41"/>
    <mergeCell ref="WXC41:WXK41"/>
    <mergeCell ref="WXL41:WXT41"/>
    <mergeCell ref="WXU41:WYC41"/>
    <mergeCell ref="WUR41:WUZ41"/>
    <mergeCell ref="WVA41:WVI41"/>
    <mergeCell ref="WVJ41:WVR41"/>
    <mergeCell ref="WVS41:WWA41"/>
    <mergeCell ref="WWB41:WWJ41"/>
    <mergeCell ref="WSY41:WTG41"/>
    <mergeCell ref="WTH41:WTP41"/>
    <mergeCell ref="WTQ41:WTY41"/>
    <mergeCell ref="WTZ41:WUH41"/>
    <mergeCell ref="WUI41:WUQ41"/>
    <mergeCell ref="WRF41:WRN41"/>
    <mergeCell ref="WRO41:WRW41"/>
    <mergeCell ref="WRX41:WSF41"/>
    <mergeCell ref="WSG41:WSO41"/>
    <mergeCell ref="WSP41:WSX41"/>
    <mergeCell ref="WPM41:WPU41"/>
    <mergeCell ref="WPV41:WQD41"/>
    <mergeCell ref="WQE41:WQM41"/>
    <mergeCell ref="WQN41:WQV41"/>
    <mergeCell ref="WQW41:WRE41"/>
    <mergeCell ref="WNT41:WOB41"/>
    <mergeCell ref="WOC41:WOK41"/>
    <mergeCell ref="WOL41:WOT41"/>
    <mergeCell ref="WOU41:WPC41"/>
    <mergeCell ref="WPD41:WPL41"/>
    <mergeCell ref="WMA41:WMI41"/>
    <mergeCell ref="WMJ41:WMR41"/>
    <mergeCell ref="WMS41:WNA41"/>
    <mergeCell ref="WNB41:WNJ41"/>
    <mergeCell ref="WNK41:WNS41"/>
    <mergeCell ref="WKH41:WKP41"/>
    <mergeCell ref="WKQ41:WKY41"/>
    <mergeCell ref="WKZ41:WLH41"/>
    <mergeCell ref="WLI41:WLQ41"/>
    <mergeCell ref="WLR41:WLZ41"/>
    <mergeCell ref="WIO41:WIW41"/>
    <mergeCell ref="WIX41:WJF41"/>
    <mergeCell ref="WJG41:WJO41"/>
    <mergeCell ref="WJP41:WJX41"/>
    <mergeCell ref="WJY41:WKG41"/>
    <mergeCell ref="WGV41:WHD41"/>
    <mergeCell ref="WHE41:WHM41"/>
    <mergeCell ref="WHN41:WHV41"/>
    <mergeCell ref="WHW41:WIE41"/>
    <mergeCell ref="WIF41:WIN41"/>
    <mergeCell ref="WFC41:WFK41"/>
    <mergeCell ref="WFL41:WFT41"/>
    <mergeCell ref="WFU41:WGC41"/>
    <mergeCell ref="WGD41:WGL41"/>
    <mergeCell ref="WGM41:WGU41"/>
    <mergeCell ref="WDJ41:WDR41"/>
    <mergeCell ref="WDS41:WEA41"/>
    <mergeCell ref="WEB41:WEJ41"/>
    <mergeCell ref="WEK41:WES41"/>
    <mergeCell ref="WET41:WFB41"/>
    <mergeCell ref="WBQ41:WBY41"/>
    <mergeCell ref="WBZ41:WCH41"/>
    <mergeCell ref="WCI41:WCQ41"/>
    <mergeCell ref="WCR41:WCZ41"/>
    <mergeCell ref="WDA41:WDI41"/>
    <mergeCell ref="VZX41:WAF41"/>
    <mergeCell ref="WAG41:WAO41"/>
    <mergeCell ref="WAP41:WAX41"/>
    <mergeCell ref="WAY41:WBG41"/>
    <mergeCell ref="WBH41:WBP41"/>
    <mergeCell ref="VYE41:VYM41"/>
    <mergeCell ref="VYN41:VYV41"/>
    <mergeCell ref="VYW41:VZE41"/>
    <mergeCell ref="VZF41:VZN41"/>
    <mergeCell ref="VZO41:VZW41"/>
    <mergeCell ref="VWL41:VWT41"/>
    <mergeCell ref="VWU41:VXC41"/>
    <mergeCell ref="VXD41:VXL41"/>
    <mergeCell ref="VXM41:VXU41"/>
    <mergeCell ref="VXV41:VYD41"/>
    <mergeCell ref="VUS41:VVA41"/>
    <mergeCell ref="VVB41:VVJ41"/>
    <mergeCell ref="VVK41:VVS41"/>
    <mergeCell ref="VVT41:VWB41"/>
    <mergeCell ref="VWC41:VWK41"/>
    <mergeCell ref="VSZ41:VTH41"/>
    <mergeCell ref="VTI41:VTQ41"/>
    <mergeCell ref="VTR41:VTZ41"/>
    <mergeCell ref="VUA41:VUI41"/>
    <mergeCell ref="VUJ41:VUR41"/>
    <mergeCell ref="VRG41:VRO41"/>
    <mergeCell ref="VRP41:VRX41"/>
    <mergeCell ref="VRY41:VSG41"/>
    <mergeCell ref="VSH41:VSP41"/>
    <mergeCell ref="VSQ41:VSY41"/>
    <mergeCell ref="VPN41:VPV41"/>
    <mergeCell ref="VPW41:VQE41"/>
    <mergeCell ref="VQF41:VQN41"/>
    <mergeCell ref="VQO41:VQW41"/>
    <mergeCell ref="VQX41:VRF41"/>
    <mergeCell ref="VNU41:VOC41"/>
    <mergeCell ref="VOD41:VOL41"/>
    <mergeCell ref="VOM41:VOU41"/>
    <mergeCell ref="VOV41:VPD41"/>
    <mergeCell ref="VPE41:VPM41"/>
    <mergeCell ref="VMB41:VMJ41"/>
    <mergeCell ref="VMK41:VMS41"/>
    <mergeCell ref="VMT41:VNB41"/>
    <mergeCell ref="VNC41:VNK41"/>
    <mergeCell ref="VNL41:VNT41"/>
    <mergeCell ref="VKI41:VKQ41"/>
    <mergeCell ref="VKR41:VKZ41"/>
    <mergeCell ref="VLA41:VLI41"/>
    <mergeCell ref="VLJ41:VLR41"/>
    <mergeCell ref="VLS41:VMA41"/>
    <mergeCell ref="VIP41:VIX41"/>
    <mergeCell ref="VIY41:VJG41"/>
    <mergeCell ref="VJH41:VJP41"/>
    <mergeCell ref="VJQ41:VJY41"/>
    <mergeCell ref="VJZ41:VKH41"/>
    <mergeCell ref="VGW41:VHE41"/>
    <mergeCell ref="VHF41:VHN41"/>
    <mergeCell ref="VHO41:VHW41"/>
    <mergeCell ref="VHX41:VIF41"/>
    <mergeCell ref="VIG41:VIO41"/>
    <mergeCell ref="VFD41:VFL41"/>
    <mergeCell ref="VFM41:VFU41"/>
    <mergeCell ref="VFV41:VGD41"/>
    <mergeCell ref="VGE41:VGM41"/>
    <mergeCell ref="VGN41:VGV41"/>
    <mergeCell ref="VDK41:VDS41"/>
    <mergeCell ref="VDT41:VEB41"/>
    <mergeCell ref="VEC41:VEK41"/>
    <mergeCell ref="VEL41:VET41"/>
    <mergeCell ref="VEU41:VFC41"/>
    <mergeCell ref="VBR41:VBZ41"/>
    <mergeCell ref="VCA41:VCI41"/>
    <mergeCell ref="VCJ41:VCR41"/>
    <mergeCell ref="VCS41:VDA41"/>
    <mergeCell ref="VDB41:VDJ41"/>
    <mergeCell ref="UZY41:VAG41"/>
    <mergeCell ref="VAH41:VAP41"/>
    <mergeCell ref="VAQ41:VAY41"/>
    <mergeCell ref="VAZ41:VBH41"/>
    <mergeCell ref="VBI41:VBQ41"/>
    <mergeCell ref="UYF41:UYN41"/>
    <mergeCell ref="UYO41:UYW41"/>
    <mergeCell ref="UYX41:UZF41"/>
    <mergeCell ref="UZG41:UZO41"/>
    <mergeCell ref="UZP41:UZX41"/>
    <mergeCell ref="UWM41:UWU41"/>
    <mergeCell ref="UWV41:UXD41"/>
    <mergeCell ref="UXE41:UXM41"/>
    <mergeCell ref="UXN41:UXV41"/>
    <mergeCell ref="UXW41:UYE41"/>
    <mergeCell ref="UUT41:UVB41"/>
    <mergeCell ref="UVC41:UVK41"/>
    <mergeCell ref="UVL41:UVT41"/>
    <mergeCell ref="UVU41:UWC41"/>
    <mergeCell ref="UWD41:UWL41"/>
    <mergeCell ref="UTA41:UTI41"/>
    <mergeCell ref="UTJ41:UTR41"/>
    <mergeCell ref="UTS41:UUA41"/>
    <mergeCell ref="UUB41:UUJ41"/>
    <mergeCell ref="UUK41:UUS41"/>
    <mergeCell ref="URH41:URP41"/>
    <mergeCell ref="URQ41:URY41"/>
    <mergeCell ref="URZ41:USH41"/>
    <mergeCell ref="USI41:USQ41"/>
    <mergeCell ref="USR41:USZ41"/>
    <mergeCell ref="UPO41:UPW41"/>
    <mergeCell ref="UPX41:UQF41"/>
    <mergeCell ref="UQG41:UQO41"/>
    <mergeCell ref="UQP41:UQX41"/>
    <mergeCell ref="UQY41:URG41"/>
    <mergeCell ref="UNV41:UOD41"/>
    <mergeCell ref="UOE41:UOM41"/>
    <mergeCell ref="UON41:UOV41"/>
    <mergeCell ref="UOW41:UPE41"/>
    <mergeCell ref="UPF41:UPN41"/>
    <mergeCell ref="UMC41:UMK41"/>
    <mergeCell ref="UML41:UMT41"/>
    <mergeCell ref="UMU41:UNC41"/>
    <mergeCell ref="UND41:UNL41"/>
    <mergeCell ref="UNM41:UNU41"/>
    <mergeCell ref="UKJ41:UKR41"/>
    <mergeCell ref="UKS41:ULA41"/>
    <mergeCell ref="ULB41:ULJ41"/>
    <mergeCell ref="ULK41:ULS41"/>
    <mergeCell ref="ULT41:UMB41"/>
    <mergeCell ref="UIQ41:UIY41"/>
    <mergeCell ref="UIZ41:UJH41"/>
    <mergeCell ref="UJI41:UJQ41"/>
    <mergeCell ref="UJR41:UJZ41"/>
    <mergeCell ref="UKA41:UKI41"/>
    <mergeCell ref="UGX41:UHF41"/>
    <mergeCell ref="UHG41:UHO41"/>
    <mergeCell ref="UHP41:UHX41"/>
    <mergeCell ref="UHY41:UIG41"/>
    <mergeCell ref="UIH41:UIP41"/>
    <mergeCell ref="UFE41:UFM41"/>
    <mergeCell ref="UFN41:UFV41"/>
    <mergeCell ref="UFW41:UGE41"/>
    <mergeCell ref="UGF41:UGN41"/>
    <mergeCell ref="UGO41:UGW41"/>
    <mergeCell ref="UDL41:UDT41"/>
    <mergeCell ref="UDU41:UEC41"/>
    <mergeCell ref="UED41:UEL41"/>
    <mergeCell ref="UEM41:UEU41"/>
    <mergeCell ref="UEV41:UFD41"/>
    <mergeCell ref="UBS41:UCA41"/>
    <mergeCell ref="UCB41:UCJ41"/>
    <mergeCell ref="UCK41:UCS41"/>
    <mergeCell ref="UCT41:UDB41"/>
    <mergeCell ref="UDC41:UDK41"/>
    <mergeCell ref="TZZ41:UAH41"/>
    <mergeCell ref="UAI41:UAQ41"/>
    <mergeCell ref="UAR41:UAZ41"/>
    <mergeCell ref="UBA41:UBI41"/>
    <mergeCell ref="UBJ41:UBR41"/>
    <mergeCell ref="TYG41:TYO41"/>
    <mergeCell ref="TYP41:TYX41"/>
    <mergeCell ref="TYY41:TZG41"/>
    <mergeCell ref="TZH41:TZP41"/>
    <mergeCell ref="TZQ41:TZY41"/>
    <mergeCell ref="TWN41:TWV41"/>
    <mergeCell ref="TWW41:TXE41"/>
    <mergeCell ref="TXF41:TXN41"/>
    <mergeCell ref="TXO41:TXW41"/>
    <mergeCell ref="TXX41:TYF41"/>
    <mergeCell ref="TUU41:TVC41"/>
    <mergeCell ref="TVD41:TVL41"/>
    <mergeCell ref="TVM41:TVU41"/>
    <mergeCell ref="TVV41:TWD41"/>
    <mergeCell ref="TWE41:TWM41"/>
    <mergeCell ref="TTB41:TTJ41"/>
    <mergeCell ref="TTK41:TTS41"/>
    <mergeCell ref="TTT41:TUB41"/>
    <mergeCell ref="TUC41:TUK41"/>
    <mergeCell ref="TUL41:TUT41"/>
    <mergeCell ref="TRI41:TRQ41"/>
    <mergeCell ref="TRR41:TRZ41"/>
    <mergeCell ref="TSA41:TSI41"/>
    <mergeCell ref="TSJ41:TSR41"/>
    <mergeCell ref="TSS41:TTA41"/>
    <mergeCell ref="TPP41:TPX41"/>
    <mergeCell ref="TPY41:TQG41"/>
    <mergeCell ref="TQH41:TQP41"/>
    <mergeCell ref="TQQ41:TQY41"/>
    <mergeCell ref="TQZ41:TRH41"/>
    <mergeCell ref="TNW41:TOE41"/>
    <mergeCell ref="TOF41:TON41"/>
    <mergeCell ref="TOO41:TOW41"/>
    <mergeCell ref="TOX41:TPF41"/>
    <mergeCell ref="TPG41:TPO41"/>
    <mergeCell ref="TMD41:TML41"/>
    <mergeCell ref="TMM41:TMU41"/>
    <mergeCell ref="TMV41:TND41"/>
    <mergeCell ref="TNE41:TNM41"/>
    <mergeCell ref="TNN41:TNV41"/>
    <mergeCell ref="TKK41:TKS41"/>
    <mergeCell ref="TKT41:TLB41"/>
    <mergeCell ref="TLC41:TLK41"/>
    <mergeCell ref="TLL41:TLT41"/>
    <mergeCell ref="TLU41:TMC41"/>
    <mergeCell ref="TIR41:TIZ41"/>
    <mergeCell ref="TJA41:TJI41"/>
    <mergeCell ref="TJJ41:TJR41"/>
    <mergeCell ref="TJS41:TKA41"/>
    <mergeCell ref="TKB41:TKJ41"/>
    <mergeCell ref="TGY41:THG41"/>
    <mergeCell ref="THH41:THP41"/>
    <mergeCell ref="THQ41:THY41"/>
    <mergeCell ref="THZ41:TIH41"/>
    <mergeCell ref="TII41:TIQ41"/>
    <mergeCell ref="TFF41:TFN41"/>
    <mergeCell ref="TFO41:TFW41"/>
    <mergeCell ref="TFX41:TGF41"/>
    <mergeCell ref="TGG41:TGO41"/>
    <mergeCell ref="TGP41:TGX41"/>
    <mergeCell ref="TDM41:TDU41"/>
    <mergeCell ref="TDV41:TED41"/>
    <mergeCell ref="TEE41:TEM41"/>
    <mergeCell ref="TEN41:TEV41"/>
    <mergeCell ref="TEW41:TFE41"/>
    <mergeCell ref="TBT41:TCB41"/>
    <mergeCell ref="TCC41:TCK41"/>
    <mergeCell ref="TCL41:TCT41"/>
    <mergeCell ref="TCU41:TDC41"/>
    <mergeCell ref="TDD41:TDL41"/>
    <mergeCell ref="TAA41:TAI41"/>
    <mergeCell ref="TAJ41:TAR41"/>
    <mergeCell ref="TAS41:TBA41"/>
    <mergeCell ref="TBB41:TBJ41"/>
    <mergeCell ref="TBK41:TBS41"/>
    <mergeCell ref="SYH41:SYP41"/>
    <mergeCell ref="SYQ41:SYY41"/>
    <mergeCell ref="SYZ41:SZH41"/>
    <mergeCell ref="SZI41:SZQ41"/>
    <mergeCell ref="SZR41:SZZ41"/>
    <mergeCell ref="SWO41:SWW41"/>
    <mergeCell ref="SWX41:SXF41"/>
    <mergeCell ref="SXG41:SXO41"/>
    <mergeCell ref="SXP41:SXX41"/>
    <mergeCell ref="SXY41:SYG41"/>
    <mergeCell ref="SUV41:SVD41"/>
    <mergeCell ref="SVE41:SVM41"/>
    <mergeCell ref="SVN41:SVV41"/>
    <mergeCell ref="SVW41:SWE41"/>
    <mergeCell ref="SWF41:SWN41"/>
    <mergeCell ref="STC41:STK41"/>
    <mergeCell ref="STL41:STT41"/>
    <mergeCell ref="STU41:SUC41"/>
    <mergeCell ref="SUD41:SUL41"/>
    <mergeCell ref="SUM41:SUU41"/>
    <mergeCell ref="SRJ41:SRR41"/>
    <mergeCell ref="SRS41:SSA41"/>
    <mergeCell ref="SSB41:SSJ41"/>
    <mergeCell ref="SSK41:SSS41"/>
    <mergeCell ref="SST41:STB41"/>
    <mergeCell ref="SPQ41:SPY41"/>
    <mergeCell ref="SPZ41:SQH41"/>
    <mergeCell ref="SQI41:SQQ41"/>
    <mergeCell ref="SQR41:SQZ41"/>
    <mergeCell ref="SRA41:SRI41"/>
    <mergeCell ref="SNX41:SOF41"/>
    <mergeCell ref="SOG41:SOO41"/>
    <mergeCell ref="SOP41:SOX41"/>
    <mergeCell ref="SOY41:SPG41"/>
    <mergeCell ref="SPH41:SPP41"/>
    <mergeCell ref="SME41:SMM41"/>
    <mergeCell ref="SMN41:SMV41"/>
    <mergeCell ref="SMW41:SNE41"/>
    <mergeCell ref="SNF41:SNN41"/>
    <mergeCell ref="SNO41:SNW41"/>
    <mergeCell ref="SKL41:SKT41"/>
    <mergeCell ref="SKU41:SLC41"/>
    <mergeCell ref="SLD41:SLL41"/>
    <mergeCell ref="SLM41:SLU41"/>
    <mergeCell ref="SLV41:SMD41"/>
    <mergeCell ref="SIS41:SJA41"/>
    <mergeCell ref="SJB41:SJJ41"/>
    <mergeCell ref="SJK41:SJS41"/>
    <mergeCell ref="SJT41:SKB41"/>
    <mergeCell ref="SKC41:SKK41"/>
    <mergeCell ref="SGZ41:SHH41"/>
    <mergeCell ref="SHI41:SHQ41"/>
    <mergeCell ref="SHR41:SHZ41"/>
    <mergeCell ref="SIA41:SII41"/>
    <mergeCell ref="SIJ41:SIR41"/>
    <mergeCell ref="SFG41:SFO41"/>
    <mergeCell ref="SFP41:SFX41"/>
    <mergeCell ref="SFY41:SGG41"/>
    <mergeCell ref="SGH41:SGP41"/>
    <mergeCell ref="SGQ41:SGY41"/>
    <mergeCell ref="SDN41:SDV41"/>
    <mergeCell ref="SDW41:SEE41"/>
    <mergeCell ref="SEF41:SEN41"/>
    <mergeCell ref="SEO41:SEW41"/>
    <mergeCell ref="SEX41:SFF41"/>
    <mergeCell ref="SBU41:SCC41"/>
    <mergeCell ref="SCD41:SCL41"/>
    <mergeCell ref="SCM41:SCU41"/>
    <mergeCell ref="SCV41:SDD41"/>
    <mergeCell ref="SDE41:SDM41"/>
    <mergeCell ref="SAB41:SAJ41"/>
    <mergeCell ref="SAK41:SAS41"/>
    <mergeCell ref="SAT41:SBB41"/>
    <mergeCell ref="SBC41:SBK41"/>
    <mergeCell ref="SBL41:SBT41"/>
    <mergeCell ref="RYI41:RYQ41"/>
    <mergeCell ref="RYR41:RYZ41"/>
    <mergeCell ref="RZA41:RZI41"/>
    <mergeCell ref="RZJ41:RZR41"/>
    <mergeCell ref="RZS41:SAA41"/>
    <mergeCell ref="RWP41:RWX41"/>
    <mergeCell ref="RWY41:RXG41"/>
    <mergeCell ref="RXH41:RXP41"/>
    <mergeCell ref="RXQ41:RXY41"/>
    <mergeCell ref="RXZ41:RYH41"/>
    <mergeCell ref="RUW41:RVE41"/>
    <mergeCell ref="RVF41:RVN41"/>
    <mergeCell ref="RVO41:RVW41"/>
    <mergeCell ref="RVX41:RWF41"/>
    <mergeCell ref="RWG41:RWO41"/>
    <mergeCell ref="RTD41:RTL41"/>
    <mergeCell ref="RTM41:RTU41"/>
    <mergeCell ref="RTV41:RUD41"/>
    <mergeCell ref="RUE41:RUM41"/>
    <mergeCell ref="RUN41:RUV41"/>
    <mergeCell ref="RRK41:RRS41"/>
    <mergeCell ref="RRT41:RSB41"/>
    <mergeCell ref="RSC41:RSK41"/>
    <mergeCell ref="RSL41:RST41"/>
    <mergeCell ref="RSU41:RTC41"/>
    <mergeCell ref="RPR41:RPZ41"/>
    <mergeCell ref="RQA41:RQI41"/>
    <mergeCell ref="RQJ41:RQR41"/>
    <mergeCell ref="RQS41:RRA41"/>
    <mergeCell ref="RRB41:RRJ41"/>
    <mergeCell ref="RNY41:ROG41"/>
    <mergeCell ref="ROH41:ROP41"/>
    <mergeCell ref="ROQ41:ROY41"/>
    <mergeCell ref="ROZ41:RPH41"/>
    <mergeCell ref="RPI41:RPQ41"/>
    <mergeCell ref="RMF41:RMN41"/>
    <mergeCell ref="RMO41:RMW41"/>
    <mergeCell ref="RMX41:RNF41"/>
    <mergeCell ref="RNG41:RNO41"/>
    <mergeCell ref="RNP41:RNX41"/>
    <mergeCell ref="RKM41:RKU41"/>
    <mergeCell ref="RKV41:RLD41"/>
    <mergeCell ref="RLE41:RLM41"/>
    <mergeCell ref="RLN41:RLV41"/>
    <mergeCell ref="RLW41:RME41"/>
    <mergeCell ref="RIT41:RJB41"/>
    <mergeCell ref="RJC41:RJK41"/>
    <mergeCell ref="RJL41:RJT41"/>
    <mergeCell ref="RJU41:RKC41"/>
    <mergeCell ref="RKD41:RKL41"/>
    <mergeCell ref="RHA41:RHI41"/>
    <mergeCell ref="RHJ41:RHR41"/>
    <mergeCell ref="RHS41:RIA41"/>
    <mergeCell ref="RIB41:RIJ41"/>
    <mergeCell ref="RIK41:RIS41"/>
    <mergeCell ref="RFH41:RFP41"/>
    <mergeCell ref="RFQ41:RFY41"/>
    <mergeCell ref="RFZ41:RGH41"/>
    <mergeCell ref="RGI41:RGQ41"/>
    <mergeCell ref="RGR41:RGZ41"/>
    <mergeCell ref="RDO41:RDW41"/>
    <mergeCell ref="RDX41:REF41"/>
    <mergeCell ref="REG41:REO41"/>
    <mergeCell ref="REP41:REX41"/>
    <mergeCell ref="REY41:RFG41"/>
    <mergeCell ref="RBV41:RCD41"/>
    <mergeCell ref="RCE41:RCM41"/>
    <mergeCell ref="RCN41:RCV41"/>
    <mergeCell ref="RCW41:RDE41"/>
    <mergeCell ref="RDF41:RDN41"/>
    <mergeCell ref="RAC41:RAK41"/>
    <mergeCell ref="RAL41:RAT41"/>
    <mergeCell ref="RAU41:RBC41"/>
    <mergeCell ref="RBD41:RBL41"/>
    <mergeCell ref="RBM41:RBU41"/>
    <mergeCell ref="QYJ41:QYR41"/>
    <mergeCell ref="QYS41:QZA41"/>
    <mergeCell ref="QZB41:QZJ41"/>
    <mergeCell ref="QZK41:QZS41"/>
    <mergeCell ref="QZT41:RAB41"/>
    <mergeCell ref="QWQ41:QWY41"/>
    <mergeCell ref="QWZ41:QXH41"/>
    <mergeCell ref="QXI41:QXQ41"/>
    <mergeCell ref="QXR41:QXZ41"/>
    <mergeCell ref="QYA41:QYI41"/>
    <mergeCell ref="QUX41:QVF41"/>
    <mergeCell ref="QVG41:QVO41"/>
    <mergeCell ref="QVP41:QVX41"/>
    <mergeCell ref="QVY41:QWG41"/>
    <mergeCell ref="QWH41:QWP41"/>
    <mergeCell ref="QTE41:QTM41"/>
    <mergeCell ref="QTN41:QTV41"/>
    <mergeCell ref="QTW41:QUE41"/>
    <mergeCell ref="QUF41:QUN41"/>
    <mergeCell ref="QUO41:QUW41"/>
    <mergeCell ref="QRL41:QRT41"/>
    <mergeCell ref="QRU41:QSC41"/>
    <mergeCell ref="QSD41:QSL41"/>
    <mergeCell ref="QSM41:QSU41"/>
    <mergeCell ref="QSV41:QTD41"/>
    <mergeCell ref="QPS41:QQA41"/>
    <mergeCell ref="QQB41:QQJ41"/>
    <mergeCell ref="QQK41:QQS41"/>
    <mergeCell ref="QQT41:QRB41"/>
    <mergeCell ref="QRC41:QRK41"/>
    <mergeCell ref="QNZ41:QOH41"/>
    <mergeCell ref="QOI41:QOQ41"/>
    <mergeCell ref="QOR41:QOZ41"/>
    <mergeCell ref="QPA41:QPI41"/>
    <mergeCell ref="QPJ41:QPR41"/>
    <mergeCell ref="QMG41:QMO41"/>
    <mergeCell ref="QMP41:QMX41"/>
    <mergeCell ref="QMY41:QNG41"/>
    <mergeCell ref="QNH41:QNP41"/>
    <mergeCell ref="QNQ41:QNY41"/>
    <mergeCell ref="QKN41:QKV41"/>
    <mergeCell ref="QKW41:QLE41"/>
    <mergeCell ref="QLF41:QLN41"/>
    <mergeCell ref="QLO41:QLW41"/>
    <mergeCell ref="QLX41:QMF41"/>
    <mergeCell ref="QIU41:QJC41"/>
    <mergeCell ref="QJD41:QJL41"/>
    <mergeCell ref="QJM41:QJU41"/>
    <mergeCell ref="QJV41:QKD41"/>
    <mergeCell ref="QKE41:QKM41"/>
    <mergeCell ref="QHB41:QHJ41"/>
    <mergeCell ref="QHK41:QHS41"/>
    <mergeCell ref="QHT41:QIB41"/>
    <mergeCell ref="QIC41:QIK41"/>
    <mergeCell ref="QIL41:QIT41"/>
    <mergeCell ref="QFI41:QFQ41"/>
    <mergeCell ref="QFR41:QFZ41"/>
    <mergeCell ref="QGA41:QGI41"/>
    <mergeCell ref="QGJ41:QGR41"/>
    <mergeCell ref="QGS41:QHA41"/>
    <mergeCell ref="QDP41:QDX41"/>
    <mergeCell ref="QDY41:QEG41"/>
    <mergeCell ref="QEH41:QEP41"/>
    <mergeCell ref="QEQ41:QEY41"/>
    <mergeCell ref="QEZ41:QFH41"/>
    <mergeCell ref="QBW41:QCE41"/>
    <mergeCell ref="QCF41:QCN41"/>
    <mergeCell ref="QCO41:QCW41"/>
    <mergeCell ref="QCX41:QDF41"/>
    <mergeCell ref="QDG41:QDO41"/>
    <mergeCell ref="QAD41:QAL41"/>
    <mergeCell ref="QAM41:QAU41"/>
    <mergeCell ref="QAV41:QBD41"/>
    <mergeCell ref="QBE41:QBM41"/>
    <mergeCell ref="QBN41:QBV41"/>
    <mergeCell ref="PYK41:PYS41"/>
    <mergeCell ref="PYT41:PZB41"/>
    <mergeCell ref="PZC41:PZK41"/>
    <mergeCell ref="PZL41:PZT41"/>
    <mergeCell ref="PZU41:QAC41"/>
    <mergeCell ref="PWR41:PWZ41"/>
    <mergeCell ref="PXA41:PXI41"/>
    <mergeCell ref="PXJ41:PXR41"/>
    <mergeCell ref="PXS41:PYA41"/>
    <mergeCell ref="PYB41:PYJ41"/>
    <mergeCell ref="PUY41:PVG41"/>
    <mergeCell ref="PVH41:PVP41"/>
    <mergeCell ref="PVQ41:PVY41"/>
    <mergeCell ref="PVZ41:PWH41"/>
    <mergeCell ref="PWI41:PWQ41"/>
    <mergeCell ref="PTF41:PTN41"/>
    <mergeCell ref="PTO41:PTW41"/>
    <mergeCell ref="PTX41:PUF41"/>
    <mergeCell ref="PUG41:PUO41"/>
    <mergeCell ref="PUP41:PUX41"/>
    <mergeCell ref="PRM41:PRU41"/>
    <mergeCell ref="PRV41:PSD41"/>
    <mergeCell ref="PSE41:PSM41"/>
    <mergeCell ref="PSN41:PSV41"/>
    <mergeCell ref="PSW41:PTE41"/>
    <mergeCell ref="PPT41:PQB41"/>
    <mergeCell ref="PQC41:PQK41"/>
    <mergeCell ref="PQL41:PQT41"/>
    <mergeCell ref="PQU41:PRC41"/>
    <mergeCell ref="PRD41:PRL41"/>
    <mergeCell ref="POA41:POI41"/>
    <mergeCell ref="POJ41:POR41"/>
    <mergeCell ref="POS41:PPA41"/>
    <mergeCell ref="PPB41:PPJ41"/>
    <mergeCell ref="PPK41:PPS41"/>
    <mergeCell ref="PMH41:PMP41"/>
    <mergeCell ref="PMQ41:PMY41"/>
    <mergeCell ref="PMZ41:PNH41"/>
    <mergeCell ref="PNI41:PNQ41"/>
    <mergeCell ref="PNR41:PNZ41"/>
    <mergeCell ref="PKO41:PKW41"/>
    <mergeCell ref="PKX41:PLF41"/>
    <mergeCell ref="PLG41:PLO41"/>
    <mergeCell ref="PLP41:PLX41"/>
    <mergeCell ref="PLY41:PMG41"/>
    <mergeCell ref="PIV41:PJD41"/>
    <mergeCell ref="PJE41:PJM41"/>
    <mergeCell ref="PJN41:PJV41"/>
    <mergeCell ref="PJW41:PKE41"/>
    <mergeCell ref="PKF41:PKN41"/>
    <mergeCell ref="PHC41:PHK41"/>
    <mergeCell ref="PHL41:PHT41"/>
    <mergeCell ref="PHU41:PIC41"/>
    <mergeCell ref="PID41:PIL41"/>
    <mergeCell ref="PIM41:PIU41"/>
    <mergeCell ref="PFJ41:PFR41"/>
    <mergeCell ref="PFS41:PGA41"/>
    <mergeCell ref="PGB41:PGJ41"/>
    <mergeCell ref="PGK41:PGS41"/>
    <mergeCell ref="PGT41:PHB41"/>
    <mergeCell ref="PDQ41:PDY41"/>
    <mergeCell ref="PDZ41:PEH41"/>
    <mergeCell ref="PEI41:PEQ41"/>
    <mergeCell ref="PER41:PEZ41"/>
    <mergeCell ref="PFA41:PFI41"/>
    <mergeCell ref="PBX41:PCF41"/>
    <mergeCell ref="PCG41:PCO41"/>
    <mergeCell ref="PCP41:PCX41"/>
    <mergeCell ref="PCY41:PDG41"/>
    <mergeCell ref="PDH41:PDP41"/>
    <mergeCell ref="PAE41:PAM41"/>
    <mergeCell ref="PAN41:PAV41"/>
    <mergeCell ref="PAW41:PBE41"/>
    <mergeCell ref="PBF41:PBN41"/>
    <mergeCell ref="PBO41:PBW41"/>
    <mergeCell ref="OYL41:OYT41"/>
    <mergeCell ref="OYU41:OZC41"/>
    <mergeCell ref="OZD41:OZL41"/>
    <mergeCell ref="OZM41:OZU41"/>
    <mergeCell ref="OZV41:PAD41"/>
    <mergeCell ref="OWS41:OXA41"/>
    <mergeCell ref="OXB41:OXJ41"/>
    <mergeCell ref="OXK41:OXS41"/>
    <mergeCell ref="OXT41:OYB41"/>
    <mergeCell ref="OYC41:OYK41"/>
    <mergeCell ref="OUZ41:OVH41"/>
    <mergeCell ref="OVI41:OVQ41"/>
    <mergeCell ref="OVR41:OVZ41"/>
    <mergeCell ref="OWA41:OWI41"/>
    <mergeCell ref="OWJ41:OWR41"/>
    <mergeCell ref="OTG41:OTO41"/>
    <mergeCell ref="OTP41:OTX41"/>
    <mergeCell ref="OTY41:OUG41"/>
    <mergeCell ref="OUH41:OUP41"/>
    <mergeCell ref="OUQ41:OUY41"/>
    <mergeCell ref="ORN41:ORV41"/>
    <mergeCell ref="ORW41:OSE41"/>
    <mergeCell ref="OSF41:OSN41"/>
    <mergeCell ref="OSO41:OSW41"/>
    <mergeCell ref="OSX41:OTF41"/>
    <mergeCell ref="OPU41:OQC41"/>
    <mergeCell ref="OQD41:OQL41"/>
    <mergeCell ref="OQM41:OQU41"/>
    <mergeCell ref="OQV41:ORD41"/>
    <mergeCell ref="ORE41:ORM41"/>
    <mergeCell ref="OOB41:OOJ41"/>
    <mergeCell ref="OOK41:OOS41"/>
    <mergeCell ref="OOT41:OPB41"/>
    <mergeCell ref="OPC41:OPK41"/>
    <mergeCell ref="OPL41:OPT41"/>
    <mergeCell ref="OMI41:OMQ41"/>
    <mergeCell ref="OMR41:OMZ41"/>
    <mergeCell ref="ONA41:ONI41"/>
    <mergeCell ref="ONJ41:ONR41"/>
    <mergeCell ref="ONS41:OOA41"/>
    <mergeCell ref="OKP41:OKX41"/>
    <mergeCell ref="OKY41:OLG41"/>
    <mergeCell ref="OLH41:OLP41"/>
    <mergeCell ref="OLQ41:OLY41"/>
    <mergeCell ref="OLZ41:OMH41"/>
    <mergeCell ref="OIW41:OJE41"/>
    <mergeCell ref="OJF41:OJN41"/>
    <mergeCell ref="OJO41:OJW41"/>
    <mergeCell ref="OJX41:OKF41"/>
    <mergeCell ref="OKG41:OKO41"/>
    <mergeCell ref="OHD41:OHL41"/>
    <mergeCell ref="OHM41:OHU41"/>
    <mergeCell ref="OHV41:OID41"/>
    <mergeCell ref="OIE41:OIM41"/>
    <mergeCell ref="OIN41:OIV41"/>
    <mergeCell ref="OFK41:OFS41"/>
    <mergeCell ref="OFT41:OGB41"/>
    <mergeCell ref="OGC41:OGK41"/>
    <mergeCell ref="OGL41:OGT41"/>
    <mergeCell ref="OGU41:OHC41"/>
    <mergeCell ref="ODR41:ODZ41"/>
    <mergeCell ref="OEA41:OEI41"/>
    <mergeCell ref="OEJ41:OER41"/>
    <mergeCell ref="OES41:OFA41"/>
    <mergeCell ref="OFB41:OFJ41"/>
    <mergeCell ref="OBY41:OCG41"/>
    <mergeCell ref="OCH41:OCP41"/>
    <mergeCell ref="OCQ41:OCY41"/>
    <mergeCell ref="OCZ41:ODH41"/>
    <mergeCell ref="ODI41:ODQ41"/>
    <mergeCell ref="OAF41:OAN41"/>
    <mergeCell ref="OAO41:OAW41"/>
    <mergeCell ref="OAX41:OBF41"/>
    <mergeCell ref="OBG41:OBO41"/>
    <mergeCell ref="OBP41:OBX41"/>
    <mergeCell ref="NYM41:NYU41"/>
    <mergeCell ref="NYV41:NZD41"/>
    <mergeCell ref="NZE41:NZM41"/>
    <mergeCell ref="NZN41:NZV41"/>
    <mergeCell ref="NZW41:OAE41"/>
    <mergeCell ref="NWT41:NXB41"/>
    <mergeCell ref="NXC41:NXK41"/>
    <mergeCell ref="NXL41:NXT41"/>
    <mergeCell ref="NXU41:NYC41"/>
    <mergeCell ref="NYD41:NYL41"/>
    <mergeCell ref="NVA41:NVI41"/>
    <mergeCell ref="NVJ41:NVR41"/>
    <mergeCell ref="NVS41:NWA41"/>
    <mergeCell ref="NWB41:NWJ41"/>
    <mergeCell ref="NWK41:NWS41"/>
    <mergeCell ref="NTH41:NTP41"/>
    <mergeCell ref="NTQ41:NTY41"/>
    <mergeCell ref="NTZ41:NUH41"/>
    <mergeCell ref="NUI41:NUQ41"/>
    <mergeCell ref="NUR41:NUZ41"/>
    <mergeCell ref="NRO41:NRW41"/>
    <mergeCell ref="NRX41:NSF41"/>
    <mergeCell ref="NSG41:NSO41"/>
    <mergeCell ref="NSP41:NSX41"/>
    <mergeCell ref="NSY41:NTG41"/>
    <mergeCell ref="NPV41:NQD41"/>
    <mergeCell ref="NQE41:NQM41"/>
    <mergeCell ref="NQN41:NQV41"/>
    <mergeCell ref="NQW41:NRE41"/>
    <mergeCell ref="NRF41:NRN41"/>
    <mergeCell ref="NOC41:NOK41"/>
    <mergeCell ref="NOL41:NOT41"/>
    <mergeCell ref="NOU41:NPC41"/>
    <mergeCell ref="NPD41:NPL41"/>
    <mergeCell ref="NPM41:NPU41"/>
    <mergeCell ref="NMJ41:NMR41"/>
    <mergeCell ref="NMS41:NNA41"/>
    <mergeCell ref="NNB41:NNJ41"/>
    <mergeCell ref="NNK41:NNS41"/>
    <mergeCell ref="NNT41:NOB41"/>
    <mergeCell ref="NKQ41:NKY41"/>
    <mergeCell ref="NKZ41:NLH41"/>
    <mergeCell ref="NLI41:NLQ41"/>
    <mergeCell ref="NLR41:NLZ41"/>
    <mergeCell ref="NMA41:NMI41"/>
    <mergeCell ref="NIX41:NJF41"/>
    <mergeCell ref="NJG41:NJO41"/>
    <mergeCell ref="NJP41:NJX41"/>
    <mergeCell ref="NJY41:NKG41"/>
    <mergeCell ref="NKH41:NKP41"/>
    <mergeCell ref="NHE41:NHM41"/>
    <mergeCell ref="NHN41:NHV41"/>
    <mergeCell ref="NHW41:NIE41"/>
    <mergeCell ref="NIF41:NIN41"/>
    <mergeCell ref="NIO41:NIW41"/>
    <mergeCell ref="NFL41:NFT41"/>
    <mergeCell ref="NFU41:NGC41"/>
    <mergeCell ref="NGD41:NGL41"/>
    <mergeCell ref="NGM41:NGU41"/>
    <mergeCell ref="NGV41:NHD41"/>
    <mergeCell ref="NDS41:NEA41"/>
    <mergeCell ref="NEB41:NEJ41"/>
    <mergeCell ref="NEK41:NES41"/>
    <mergeCell ref="NET41:NFB41"/>
    <mergeCell ref="NFC41:NFK41"/>
    <mergeCell ref="NBZ41:NCH41"/>
    <mergeCell ref="NCI41:NCQ41"/>
    <mergeCell ref="NCR41:NCZ41"/>
    <mergeCell ref="NDA41:NDI41"/>
    <mergeCell ref="NDJ41:NDR41"/>
    <mergeCell ref="NAG41:NAO41"/>
    <mergeCell ref="NAP41:NAX41"/>
    <mergeCell ref="NAY41:NBG41"/>
    <mergeCell ref="NBH41:NBP41"/>
    <mergeCell ref="NBQ41:NBY41"/>
    <mergeCell ref="MYN41:MYV41"/>
    <mergeCell ref="MYW41:MZE41"/>
    <mergeCell ref="MZF41:MZN41"/>
    <mergeCell ref="MZO41:MZW41"/>
    <mergeCell ref="MZX41:NAF41"/>
    <mergeCell ref="MWU41:MXC41"/>
    <mergeCell ref="MXD41:MXL41"/>
    <mergeCell ref="MXM41:MXU41"/>
    <mergeCell ref="MXV41:MYD41"/>
    <mergeCell ref="MYE41:MYM41"/>
    <mergeCell ref="MVB41:MVJ41"/>
    <mergeCell ref="MVK41:MVS41"/>
    <mergeCell ref="MVT41:MWB41"/>
    <mergeCell ref="MWC41:MWK41"/>
    <mergeCell ref="MWL41:MWT41"/>
    <mergeCell ref="MTI41:MTQ41"/>
    <mergeCell ref="MTR41:MTZ41"/>
    <mergeCell ref="MUA41:MUI41"/>
    <mergeCell ref="MUJ41:MUR41"/>
    <mergeCell ref="MUS41:MVA41"/>
    <mergeCell ref="MRP41:MRX41"/>
    <mergeCell ref="MRY41:MSG41"/>
    <mergeCell ref="MSH41:MSP41"/>
    <mergeCell ref="MSQ41:MSY41"/>
    <mergeCell ref="MSZ41:MTH41"/>
    <mergeCell ref="MPW41:MQE41"/>
    <mergeCell ref="MQF41:MQN41"/>
    <mergeCell ref="MQO41:MQW41"/>
    <mergeCell ref="MQX41:MRF41"/>
    <mergeCell ref="MRG41:MRO41"/>
    <mergeCell ref="MOD41:MOL41"/>
    <mergeCell ref="MOM41:MOU41"/>
    <mergeCell ref="MOV41:MPD41"/>
    <mergeCell ref="MPE41:MPM41"/>
    <mergeCell ref="MPN41:MPV41"/>
    <mergeCell ref="MMK41:MMS41"/>
    <mergeCell ref="MMT41:MNB41"/>
    <mergeCell ref="MNC41:MNK41"/>
    <mergeCell ref="MNL41:MNT41"/>
    <mergeCell ref="MNU41:MOC41"/>
    <mergeCell ref="MKR41:MKZ41"/>
    <mergeCell ref="MLA41:MLI41"/>
    <mergeCell ref="MLJ41:MLR41"/>
    <mergeCell ref="MLS41:MMA41"/>
    <mergeCell ref="MMB41:MMJ41"/>
    <mergeCell ref="MIY41:MJG41"/>
    <mergeCell ref="MJH41:MJP41"/>
    <mergeCell ref="MJQ41:MJY41"/>
    <mergeCell ref="MJZ41:MKH41"/>
    <mergeCell ref="MKI41:MKQ41"/>
    <mergeCell ref="MHF41:MHN41"/>
    <mergeCell ref="MHO41:MHW41"/>
    <mergeCell ref="MHX41:MIF41"/>
    <mergeCell ref="MIG41:MIO41"/>
    <mergeCell ref="MIP41:MIX41"/>
    <mergeCell ref="MFM41:MFU41"/>
    <mergeCell ref="MFV41:MGD41"/>
    <mergeCell ref="MGE41:MGM41"/>
    <mergeCell ref="MGN41:MGV41"/>
    <mergeCell ref="MGW41:MHE41"/>
    <mergeCell ref="MDT41:MEB41"/>
    <mergeCell ref="MEC41:MEK41"/>
    <mergeCell ref="MEL41:MET41"/>
    <mergeCell ref="MEU41:MFC41"/>
    <mergeCell ref="MFD41:MFL41"/>
    <mergeCell ref="MCA41:MCI41"/>
    <mergeCell ref="MCJ41:MCR41"/>
    <mergeCell ref="MCS41:MDA41"/>
    <mergeCell ref="MDB41:MDJ41"/>
    <mergeCell ref="MDK41:MDS41"/>
    <mergeCell ref="MAH41:MAP41"/>
    <mergeCell ref="MAQ41:MAY41"/>
    <mergeCell ref="MAZ41:MBH41"/>
    <mergeCell ref="MBI41:MBQ41"/>
    <mergeCell ref="MBR41:MBZ41"/>
    <mergeCell ref="LYO41:LYW41"/>
    <mergeCell ref="LYX41:LZF41"/>
    <mergeCell ref="LZG41:LZO41"/>
    <mergeCell ref="LZP41:LZX41"/>
    <mergeCell ref="LZY41:MAG41"/>
    <mergeCell ref="LWV41:LXD41"/>
    <mergeCell ref="LXE41:LXM41"/>
    <mergeCell ref="LXN41:LXV41"/>
    <mergeCell ref="LXW41:LYE41"/>
    <mergeCell ref="LYF41:LYN41"/>
    <mergeCell ref="LVC41:LVK41"/>
    <mergeCell ref="LVL41:LVT41"/>
    <mergeCell ref="LVU41:LWC41"/>
    <mergeCell ref="LWD41:LWL41"/>
    <mergeCell ref="LWM41:LWU41"/>
    <mergeCell ref="LTJ41:LTR41"/>
    <mergeCell ref="LTS41:LUA41"/>
    <mergeCell ref="LUB41:LUJ41"/>
    <mergeCell ref="LUK41:LUS41"/>
    <mergeCell ref="LUT41:LVB41"/>
    <mergeCell ref="LRQ41:LRY41"/>
    <mergeCell ref="LRZ41:LSH41"/>
    <mergeCell ref="LSI41:LSQ41"/>
    <mergeCell ref="LSR41:LSZ41"/>
    <mergeCell ref="LTA41:LTI41"/>
    <mergeCell ref="LPX41:LQF41"/>
    <mergeCell ref="LQG41:LQO41"/>
    <mergeCell ref="LQP41:LQX41"/>
    <mergeCell ref="LQY41:LRG41"/>
    <mergeCell ref="LRH41:LRP41"/>
    <mergeCell ref="LOE41:LOM41"/>
    <mergeCell ref="LON41:LOV41"/>
    <mergeCell ref="LOW41:LPE41"/>
    <mergeCell ref="LPF41:LPN41"/>
    <mergeCell ref="LPO41:LPW41"/>
    <mergeCell ref="LML41:LMT41"/>
    <mergeCell ref="LMU41:LNC41"/>
    <mergeCell ref="LND41:LNL41"/>
    <mergeCell ref="LNM41:LNU41"/>
    <mergeCell ref="LNV41:LOD41"/>
    <mergeCell ref="LKS41:LLA41"/>
    <mergeCell ref="LLB41:LLJ41"/>
    <mergeCell ref="LLK41:LLS41"/>
    <mergeCell ref="LLT41:LMB41"/>
    <mergeCell ref="LMC41:LMK41"/>
    <mergeCell ref="LIZ41:LJH41"/>
    <mergeCell ref="LJI41:LJQ41"/>
    <mergeCell ref="LJR41:LJZ41"/>
    <mergeCell ref="LKA41:LKI41"/>
    <mergeCell ref="LKJ41:LKR41"/>
    <mergeCell ref="LHG41:LHO41"/>
    <mergeCell ref="LHP41:LHX41"/>
    <mergeCell ref="LHY41:LIG41"/>
    <mergeCell ref="LIH41:LIP41"/>
    <mergeCell ref="LIQ41:LIY41"/>
    <mergeCell ref="LFN41:LFV41"/>
    <mergeCell ref="LFW41:LGE41"/>
    <mergeCell ref="LGF41:LGN41"/>
    <mergeCell ref="LGO41:LGW41"/>
    <mergeCell ref="LGX41:LHF41"/>
    <mergeCell ref="LDU41:LEC41"/>
    <mergeCell ref="LED41:LEL41"/>
    <mergeCell ref="LEM41:LEU41"/>
    <mergeCell ref="LEV41:LFD41"/>
    <mergeCell ref="LFE41:LFM41"/>
    <mergeCell ref="LCB41:LCJ41"/>
    <mergeCell ref="LCK41:LCS41"/>
    <mergeCell ref="LCT41:LDB41"/>
    <mergeCell ref="LDC41:LDK41"/>
    <mergeCell ref="LDL41:LDT41"/>
    <mergeCell ref="LAI41:LAQ41"/>
    <mergeCell ref="LAR41:LAZ41"/>
    <mergeCell ref="LBA41:LBI41"/>
    <mergeCell ref="LBJ41:LBR41"/>
    <mergeCell ref="LBS41:LCA41"/>
    <mergeCell ref="KYP41:KYX41"/>
    <mergeCell ref="KYY41:KZG41"/>
    <mergeCell ref="KZH41:KZP41"/>
    <mergeCell ref="KZQ41:KZY41"/>
    <mergeCell ref="KZZ41:LAH41"/>
    <mergeCell ref="KWW41:KXE41"/>
    <mergeCell ref="KXF41:KXN41"/>
    <mergeCell ref="KXO41:KXW41"/>
    <mergeCell ref="KXX41:KYF41"/>
    <mergeCell ref="KYG41:KYO41"/>
    <mergeCell ref="KVD41:KVL41"/>
    <mergeCell ref="KVM41:KVU41"/>
    <mergeCell ref="KVV41:KWD41"/>
    <mergeCell ref="KWE41:KWM41"/>
    <mergeCell ref="KWN41:KWV41"/>
    <mergeCell ref="KTK41:KTS41"/>
    <mergeCell ref="KTT41:KUB41"/>
    <mergeCell ref="KUC41:KUK41"/>
    <mergeCell ref="KUL41:KUT41"/>
    <mergeCell ref="KUU41:KVC41"/>
    <mergeCell ref="KRR41:KRZ41"/>
    <mergeCell ref="KSA41:KSI41"/>
    <mergeCell ref="KSJ41:KSR41"/>
    <mergeCell ref="KSS41:KTA41"/>
    <mergeCell ref="KTB41:KTJ41"/>
    <mergeCell ref="KPY41:KQG41"/>
    <mergeCell ref="KQH41:KQP41"/>
    <mergeCell ref="KQQ41:KQY41"/>
    <mergeCell ref="KQZ41:KRH41"/>
    <mergeCell ref="KRI41:KRQ41"/>
    <mergeCell ref="KOF41:KON41"/>
    <mergeCell ref="KOO41:KOW41"/>
    <mergeCell ref="KOX41:KPF41"/>
    <mergeCell ref="KPG41:KPO41"/>
    <mergeCell ref="KPP41:KPX41"/>
    <mergeCell ref="KMM41:KMU41"/>
    <mergeCell ref="KMV41:KND41"/>
    <mergeCell ref="KNE41:KNM41"/>
    <mergeCell ref="KNN41:KNV41"/>
    <mergeCell ref="KNW41:KOE41"/>
    <mergeCell ref="KKT41:KLB41"/>
    <mergeCell ref="KLC41:KLK41"/>
    <mergeCell ref="KLL41:KLT41"/>
    <mergeCell ref="KLU41:KMC41"/>
    <mergeCell ref="KMD41:KML41"/>
    <mergeCell ref="KJA41:KJI41"/>
    <mergeCell ref="KJJ41:KJR41"/>
    <mergeCell ref="KJS41:KKA41"/>
    <mergeCell ref="KKB41:KKJ41"/>
    <mergeCell ref="KKK41:KKS41"/>
    <mergeCell ref="KHH41:KHP41"/>
    <mergeCell ref="KHQ41:KHY41"/>
    <mergeCell ref="KHZ41:KIH41"/>
    <mergeCell ref="KII41:KIQ41"/>
    <mergeCell ref="KIR41:KIZ41"/>
    <mergeCell ref="KFO41:KFW41"/>
    <mergeCell ref="KFX41:KGF41"/>
    <mergeCell ref="KGG41:KGO41"/>
    <mergeCell ref="KGP41:KGX41"/>
    <mergeCell ref="KGY41:KHG41"/>
    <mergeCell ref="KDV41:KED41"/>
    <mergeCell ref="KEE41:KEM41"/>
    <mergeCell ref="KEN41:KEV41"/>
    <mergeCell ref="KEW41:KFE41"/>
    <mergeCell ref="KFF41:KFN41"/>
    <mergeCell ref="KCC41:KCK41"/>
    <mergeCell ref="KCL41:KCT41"/>
    <mergeCell ref="KCU41:KDC41"/>
    <mergeCell ref="KDD41:KDL41"/>
    <mergeCell ref="KDM41:KDU41"/>
    <mergeCell ref="KAJ41:KAR41"/>
    <mergeCell ref="KAS41:KBA41"/>
    <mergeCell ref="KBB41:KBJ41"/>
    <mergeCell ref="KBK41:KBS41"/>
    <mergeCell ref="KBT41:KCB41"/>
    <mergeCell ref="JYQ41:JYY41"/>
    <mergeCell ref="JYZ41:JZH41"/>
    <mergeCell ref="JZI41:JZQ41"/>
    <mergeCell ref="JZR41:JZZ41"/>
    <mergeCell ref="KAA41:KAI41"/>
    <mergeCell ref="JWX41:JXF41"/>
    <mergeCell ref="JXG41:JXO41"/>
    <mergeCell ref="JXP41:JXX41"/>
    <mergeCell ref="JXY41:JYG41"/>
    <mergeCell ref="JYH41:JYP41"/>
    <mergeCell ref="JVE41:JVM41"/>
    <mergeCell ref="JVN41:JVV41"/>
    <mergeCell ref="JVW41:JWE41"/>
    <mergeCell ref="JWF41:JWN41"/>
    <mergeCell ref="JWO41:JWW41"/>
    <mergeCell ref="JTL41:JTT41"/>
    <mergeCell ref="JTU41:JUC41"/>
    <mergeCell ref="JUD41:JUL41"/>
    <mergeCell ref="JUM41:JUU41"/>
    <mergeCell ref="JUV41:JVD41"/>
    <mergeCell ref="JRS41:JSA41"/>
    <mergeCell ref="JSB41:JSJ41"/>
    <mergeCell ref="JSK41:JSS41"/>
    <mergeCell ref="JST41:JTB41"/>
    <mergeCell ref="JTC41:JTK41"/>
    <mergeCell ref="JPZ41:JQH41"/>
    <mergeCell ref="JQI41:JQQ41"/>
    <mergeCell ref="JQR41:JQZ41"/>
    <mergeCell ref="JRA41:JRI41"/>
    <mergeCell ref="JRJ41:JRR41"/>
    <mergeCell ref="JOG41:JOO41"/>
    <mergeCell ref="JOP41:JOX41"/>
    <mergeCell ref="JOY41:JPG41"/>
    <mergeCell ref="JPH41:JPP41"/>
    <mergeCell ref="JPQ41:JPY41"/>
    <mergeCell ref="JMN41:JMV41"/>
    <mergeCell ref="JMW41:JNE41"/>
    <mergeCell ref="JNF41:JNN41"/>
    <mergeCell ref="JNO41:JNW41"/>
    <mergeCell ref="JNX41:JOF41"/>
    <mergeCell ref="JKU41:JLC41"/>
    <mergeCell ref="JLD41:JLL41"/>
    <mergeCell ref="JLM41:JLU41"/>
    <mergeCell ref="JLV41:JMD41"/>
    <mergeCell ref="JME41:JMM41"/>
    <mergeCell ref="JJB41:JJJ41"/>
    <mergeCell ref="JJK41:JJS41"/>
    <mergeCell ref="JJT41:JKB41"/>
    <mergeCell ref="JKC41:JKK41"/>
    <mergeCell ref="JKL41:JKT41"/>
    <mergeCell ref="JHI41:JHQ41"/>
    <mergeCell ref="JHR41:JHZ41"/>
    <mergeCell ref="JIA41:JII41"/>
    <mergeCell ref="JIJ41:JIR41"/>
    <mergeCell ref="JIS41:JJA41"/>
    <mergeCell ref="JFP41:JFX41"/>
    <mergeCell ref="JFY41:JGG41"/>
    <mergeCell ref="JGH41:JGP41"/>
    <mergeCell ref="JGQ41:JGY41"/>
    <mergeCell ref="JGZ41:JHH41"/>
    <mergeCell ref="JDW41:JEE41"/>
    <mergeCell ref="JEF41:JEN41"/>
    <mergeCell ref="JEO41:JEW41"/>
    <mergeCell ref="JEX41:JFF41"/>
    <mergeCell ref="JFG41:JFO41"/>
    <mergeCell ref="JCD41:JCL41"/>
    <mergeCell ref="JCM41:JCU41"/>
    <mergeCell ref="JCV41:JDD41"/>
    <mergeCell ref="JDE41:JDM41"/>
    <mergeCell ref="JDN41:JDV41"/>
    <mergeCell ref="JAK41:JAS41"/>
    <mergeCell ref="JAT41:JBB41"/>
    <mergeCell ref="JBC41:JBK41"/>
    <mergeCell ref="JBL41:JBT41"/>
    <mergeCell ref="JBU41:JCC41"/>
    <mergeCell ref="IYR41:IYZ41"/>
    <mergeCell ref="IZA41:IZI41"/>
    <mergeCell ref="IZJ41:IZR41"/>
    <mergeCell ref="IZS41:JAA41"/>
    <mergeCell ref="JAB41:JAJ41"/>
    <mergeCell ref="IWY41:IXG41"/>
    <mergeCell ref="IXH41:IXP41"/>
    <mergeCell ref="IXQ41:IXY41"/>
    <mergeCell ref="IXZ41:IYH41"/>
    <mergeCell ref="IYI41:IYQ41"/>
    <mergeCell ref="IVF41:IVN41"/>
    <mergeCell ref="IVO41:IVW41"/>
    <mergeCell ref="IVX41:IWF41"/>
    <mergeCell ref="IWG41:IWO41"/>
    <mergeCell ref="IWP41:IWX41"/>
    <mergeCell ref="ITM41:ITU41"/>
    <mergeCell ref="ITV41:IUD41"/>
    <mergeCell ref="IUE41:IUM41"/>
    <mergeCell ref="IUN41:IUV41"/>
    <mergeCell ref="IUW41:IVE41"/>
    <mergeCell ref="IRT41:ISB41"/>
    <mergeCell ref="ISC41:ISK41"/>
    <mergeCell ref="ISL41:IST41"/>
    <mergeCell ref="ISU41:ITC41"/>
    <mergeCell ref="ITD41:ITL41"/>
    <mergeCell ref="IQA41:IQI41"/>
    <mergeCell ref="IQJ41:IQR41"/>
    <mergeCell ref="IQS41:IRA41"/>
    <mergeCell ref="IRB41:IRJ41"/>
    <mergeCell ref="IRK41:IRS41"/>
    <mergeCell ref="IOH41:IOP41"/>
    <mergeCell ref="IOQ41:IOY41"/>
    <mergeCell ref="IOZ41:IPH41"/>
    <mergeCell ref="IPI41:IPQ41"/>
    <mergeCell ref="IPR41:IPZ41"/>
    <mergeCell ref="IMO41:IMW41"/>
    <mergeCell ref="IMX41:INF41"/>
    <mergeCell ref="ING41:INO41"/>
    <mergeCell ref="INP41:INX41"/>
    <mergeCell ref="INY41:IOG41"/>
    <mergeCell ref="IKV41:ILD41"/>
    <mergeCell ref="ILE41:ILM41"/>
    <mergeCell ref="ILN41:ILV41"/>
    <mergeCell ref="ILW41:IME41"/>
    <mergeCell ref="IMF41:IMN41"/>
    <mergeCell ref="IJC41:IJK41"/>
    <mergeCell ref="IJL41:IJT41"/>
    <mergeCell ref="IJU41:IKC41"/>
    <mergeCell ref="IKD41:IKL41"/>
    <mergeCell ref="IKM41:IKU41"/>
    <mergeCell ref="IHJ41:IHR41"/>
    <mergeCell ref="IHS41:IIA41"/>
    <mergeCell ref="IIB41:IIJ41"/>
    <mergeCell ref="IIK41:IIS41"/>
    <mergeCell ref="IIT41:IJB41"/>
    <mergeCell ref="IFQ41:IFY41"/>
    <mergeCell ref="IFZ41:IGH41"/>
    <mergeCell ref="IGI41:IGQ41"/>
    <mergeCell ref="IGR41:IGZ41"/>
    <mergeCell ref="IHA41:IHI41"/>
    <mergeCell ref="IDX41:IEF41"/>
    <mergeCell ref="IEG41:IEO41"/>
    <mergeCell ref="IEP41:IEX41"/>
    <mergeCell ref="IEY41:IFG41"/>
    <mergeCell ref="IFH41:IFP41"/>
    <mergeCell ref="ICE41:ICM41"/>
    <mergeCell ref="ICN41:ICV41"/>
    <mergeCell ref="ICW41:IDE41"/>
    <mergeCell ref="IDF41:IDN41"/>
    <mergeCell ref="IDO41:IDW41"/>
    <mergeCell ref="IAL41:IAT41"/>
    <mergeCell ref="IAU41:IBC41"/>
    <mergeCell ref="IBD41:IBL41"/>
    <mergeCell ref="IBM41:IBU41"/>
    <mergeCell ref="IBV41:ICD41"/>
    <mergeCell ref="HYS41:HZA41"/>
    <mergeCell ref="HZB41:HZJ41"/>
    <mergeCell ref="HZK41:HZS41"/>
    <mergeCell ref="HZT41:IAB41"/>
    <mergeCell ref="IAC41:IAK41"/>
    <mergeCell ref="HWZ41:HXH41"/>
    <mergeCell ref="HXI41:HXQ41"/>
    <mergeCell ref="HXR41:HXZ41"/>
    <mergeCell ref="HYA41:HYI41"/>
    <mergeCell ref="HYJ41:HYR41"/>
    <mergeCell ref="HVG41:HVO41"/>
    <mergeCell ref="HVP41:HVX41"/>
    <mergeCell ref="HVY41:HWG41"/>
    <mergeCell ref="HWH41:HWP41"/>
    <mergeCell ref="HWQ41:HWY41"/>
    <mergeCell ref="HTN41:HTV41"/>
    <mergeCell ref="HTW41:HUE41"/>
    <mergeCell ref="HUF41:HUN41"/>
    <mergeCell ref="HUO41:HUW41"/>
    <mergeCell ref="HUX41:HVF41"/>
    <mergeCell ref="HRU41:HSC41"/>
    <mergeCell ref="HSD41:HSL41"/>
    <mergeCell ref="HSM41:HSU41"/>
    <mergeCell ref="HSV41:HTD41"/>
    <mergeCell ref="HTE41:HTM41"/>
    <mergeCell ref="HQB41:HQJ41"/>
    <mergeCell ref="HQK41:HQS41"/>
    <mergeCell ref="HQT41:HRB41"/>
    <mergeCell ref="HRC41:HRK41"/>
    <mergeCell ref="HRL41:HRT41"/>
    <mergeCell ref="HOI41:HOQ41"/>
    <mergeCell ref="HOR41:HOZ41"/>
    <mergeCell ref="HPA41:HPI41"/>
    <mergeCell ref="HPJ41:HPR41"/>
    <mergeCell ref="HPS41:HQA41"/>
    <mergeCell ref="HMP41:HMX41"/>
    <mergeCell ref="HMY41:HNG41"/>
    <mergeCell ref="HNH41:HNP41"/>
    <mergeCell ref="HNQ41:HNY41"/>
    <mergeCell ref="HNZ41:HOH41"/>
    <mergeCell ref="HKW41:HLE41"/>
    <mergeCell ref="HLF41:HLN41"/>
    <mergeCell ref="HLO41:HLW41"/>
    <mergeCell ref="HLX41:HMF41"/>
    <mergeCell ref="HMG41:HMO41"/>
    <mergeCell ref="HJD41:HJL41"/>
    <mergeCell ref="HJM41:HJU41"/>
    <mergeCell ref="HJV41:HKD41"/>
    <mergeCell ref="HKE41:HKM41"/>
    <mergeCell ref="HKN41:HKV41"/>
    <mergeCell ref="HHK41:HHS41"/>
    <mergeCell ref="HHT41:HIB41"/>
    <mergeCell ref="HIC41:HIK41"/>
    <mergeCell ref="HIL41:HIT41"/>
    <mergeCell ref="HIU41:HJC41"/>
    <mergeCell ref="HFR41:HFZ41"/>
    <mergeCell ref="HGA41:HGI41"/>
    <mergeCell ref="HGJ41:HGR41"/>
    <mergeCell ref="HGS41:HHA41"/>
    <mergeCell ref="HHB41:HHJ41"/>
    <mergeCell ref="HDY41:HEG41"/>
    <mergeCell ref="HEH41:HEP41"/>
    <mergeCell ref="HEQ41:HEY41"/>
    <mergeCell ref="HEZ41:HFH41"/>
    <mergeCell ref="HFI41:HFQ41"/>
    <mergeCell ref="HCF41:HCN41"/>
    <mergeCell ref="HCO41:HCW41"/>
    <mergeCell ref="HCX41:HDF41"/>
    <mergeCell ref="HDG41:HDO41"/>
    <mergeCell ref="HDP41:HDX41"/>
    <mergeCell ref="HAM41:HAU41"/>
    <mergeCell ref="HAV41:HBD41"/>
    <mergeCell ref="HBE41:HBM41"/>
    <mergeCell ref="HBN41:HBV41"/>
    <mergeCell ref="HBW41:HCE41"/>
    <mergeCell ref="GYT41:GZB41"/>
    <mergeCell ref="GZC41:GZK41"/>
    <mergeCell ref="GZL41:GZT41"/>
    <mergeCell ref="GZU41:HAC41"/>
    <mergeCell ref="HAD41:HAL41"/>
    <mergeCell ref="GXA41:GXI41"/>
    <mergeCell ref="GXJ41:GXR41"/>
    <mergeCell ref="GXS41:GYA41"/>
    <mergeCell ref="GYB41:GYJ41"/>
    <mergeCell ref="GYK41:GYS41"/>
    <mergeCell ref="GVH41:GVP41"/>
    <mergeCell ref="GVQ41:GVY41"/>
    <mergeCell ref="GVZ41:GWH41"/>
    <mergeCell ref="GWI41:GWQ41"/>
    <mergeCell ref="GWR41:GWZ41"/>
    <mergeCell ref="GTO41:GTW41"/>
    <mergeCell ref="GTX41:GUF41"/>
    <mergeCell ref="GUG41:GUO41"/>
    <mergeCell ref="GUP41:GUX41"/>
    <mergeCell ref="GUY41:GVG41"/>
    <mergeCell ref="GRV41:GSD41"/>
    <mergeCell ref="GSE41:GSM41"/>
    <mergeCell ref="GSN41:GSV41"/>
    <mergeCell ref="GSW41:GTE41"/>
    <mergeCell ref="GTF41:GTN41"/>
    <mergeCell ref="GQC41:GQK41"/>
    <mergeCell ref="GQL41:GQT41"/>
    <mergeCell ref="GQU41:GRC41"/>
    <mergeCell ref="GRD41:GRL41"/>
    <mergeCell ref="GRM41:GRU41"/>
    <mergeCell ref="GOJ41:GOR41"/>
    <mergeCell ref="GOS41:GPA41"/>
    <mergeCell ref="GPB41:GPJ41"/>
    <mergeCell ref="GPK41:GPS41"/>
    <mergeCell ref="GPT41:GQB41"/>
    <mergeCell ref="GMQ41:GMY41"/>
    <mergeCell ref="GMZ41:GNH41"/>
    <mergeCell ref="GNI41:GNQ41"/>
    <mergeCell ref="GNR41:GNZ41"/>
    <mergeCell ref="GOA41:GOI41"/>
    <mergeCell ref="GKX41:GLF41"/>
    <mergeCell ref="GLG41:GLO41"/>
    <mergeCell ref="GLP41:GLX41"/>
    <mergeCell ref="GLY41:GMG41"/>
    <mergeCell ref="GMH41:GMP41"/>
    <mergeCell ref="GJE41:GJM41"/>
    <mergeCell ref="GJN41:GJV41"/>
    <mergeCell ref="GJW41:GKE41"/>
    <mergeCell ref="GKF41:GKN41"/>
    <mergeCell ref="GKO41:GKW41"/>
    <mergeCell ref="GHL41:GHT41"/>
    <mergeCell ref="GHU41:GIC41"/>
    <mergeCell ref="GID41:GIL41"/>
    <mergeCell ref="GIM41:GIU41"/>
    <mergeCell ref="GIV41:GJD41"/>
    <mergeCell ref="GFS41:GGA41"/>
    <mergeCell ref="GGB41:GGJ41"/>
    <mergeCell ref="GGK41:GGS41"/>
    <mergeCell ref="GGT41:GHB41"/>
    <mergeCell ref="GHC41:GHK41"/>
    <mergeCell ref="GDZ41:GEH41"/>
    <mergeCell ref="GEI41:GEQ41"/>
    <mergeCell ref="GER41:GEZ41"/>
    <mergeCell ref="GFA41:GFI41"/>
    <mergeCell ref="GFJ41:GFR41"/>
    <mergeCell ref="GCG41:GCO41"/>
    <mergeCell ref="GCP41:GCX41"/>
    <mergeCell ref="GCY41:GDG41"/>
    <mergeCell ref="GDH41:GDP41"/>
    <mergeCell ref="GDQ41:GDY41"/>
    <mergeCell ref="GAN41:GAV41"/>
    <mergeCell ref="GAW41:GBE41"/>
    <mergeCell ref="GBF41:GBN41"/>
    <mergeCell ref="GBO41:GBW41"/>
    <mergeCell ref="GBX41:GCF41"/>
    <mergeCell ref="FYU41:FZC41"/>
    <mergeCell ref="FZD41:FZL41"/>
    <mergeCell ref="FZM41:FZU41"/>
    <mergeCell ref="FZV41:GAD41"/>
    <mergeCell ref="GAE41:GAM41"/>
    <mergeCell ref="FXB41:FXJ41"/>
    <mergeCell ref="FXK41:FXS41"/>
    <mergeCell ref="FXT41:FYB41"/>
    <mergeCell ref="FYC41:FYK41"/>
    <mergeCell ref="FYL41:FYT41"/>
    <mergeCell ref="FVI41:FVQ41"/>
    <mergeCell ref="FVR41:FVZ41"/>
    <mergeCell ref="FWA41:FWI41"/>
    <mergeCell ref="FWJ41:FWR41"/>
    <mergeCell ref="FWS41:FXA41"/>
    <mergeCell ref="FTP41:FTX41"/>
    <mergeCell ref="FTY41:FUG41"/>
    <mergeCell ref="FUH41:FUP41"/>
    <mergeCell ref="FUQ41:FUY41"/>
    <mergeCell ref="FUZ41:FVH41"/>
    <mergeCell ref="FRW41:FSE41"/>
    <mergeCell ref="FSF41:FSN41"/>
    <mergeCell ref="FSO41:FSW41"/>
    <mergeCell ref="FSX41:FTF41"/>
    <mergeCell ref="FTG41:FTO41"/>
    <mergeCell ref="FQD41:FQL41"/>
    <mergeCell ref="FQM41:FQU41"/>
    <mergeCell ref="FQV41:FRD41"/>
    <mergeCell ref="FRE41:FRM41"/>
    <mergeCell ref="FRN41:FRV41"/>
    <mergeCell ref="FOK41:FOS41"/>
    <mergeCell ref="FOT41:FPB41"/>
    <mergeCell ref="FPC41:FPK41"/>
    <mergeCell ref="FPL41:FPT41"/>
    <mergeCell ref="FPU41:FQC41"/>
    <mergeCell ref="FMR41:FMZ41"/>
    <mergeCell ref="FNA41:FNI41"/>
    <mergeCell ref="FNJ41:FNR41"/>
    <mergeCell ref="FNS41:FOA41"/>
    <mergeCell ref="FOB41:FOJ41"/>
    <mergeCell ref="FKY41:FLG41"/>
    <mergeCell ref="FLH41:FLP41"/>
    <mergeCell ref="FLQ41:FLY41"/>
    <mergeCell ref="FLZ41:FMH41"/>
    <mergeCell ref="FMI41:FMQ41"/>
    <mergeCell ref="FJF41:FJN41"/>
    <mergeCell ref="FJO41:FJW41"/>
    <mergeCell ref="FJX41:FKF41"/>
    <mergeCell ref="FKG41:FKO41"/>
    <mergeCell ref="FKP41:FKX41"/>
    <mergeCell ref="FHM41:FHU41"/>
    <mergeCell ref="FHV41:FID41"/>
    <mergeCell ref="FIE41:FIM41"/>
    <mergeCell ref="FIN41:FIV41"/>
    <mergeCell ref="FIW41:FJE41"/>
    <mergeCell ref="FFT41:FGB41"/>
    <mergeCell ref="FGC41:FGK41"/>
    <mergeCell ref="FGL41:FGT41"/>
    <mergeCell ref="FGU41:FHC41"/>
    <mergeCell ref="FHD41:FHL41"/>
    <mergeCell ref="FEA41:FEI41"/>
    <mergeCell ref="FEJ41:FER41"/>
    <mergeCell ref="FES41:FFA41"/>
    <mergeCell ref="FFB41:FFJ41"/>
    <mergeCell ref="FFK41:FFS41"/>
    <mergeCell ref="FCH41:FCP41"/>
    <mergeCell ref="FCQ41:FCY41"/>
    <mergeCell ref="FCZ41:FDH41"/>
    <mergeCell ref="FDI41:FDQ41"/>
    <mergeCell ref="FDR41:FDZ41"/>
    <mergeCell ref="FAO41:FAW41"/>
    <mergeCell ref="FAX41:FBF41"/>
    <mergeCell ref="FBG41:FBO41"/>
    <mergeCell ref="FBP41:FBX41"/>
    <mergeCell ref="FBY41:FCG41"/>
    <mergeCell ref="EYV41:EZD41"/>
    <mergeCell ref="EZE41:EZM41"/>
    <mergeCell ref="EZN41:EZV41"/>
    <mergeCell ref="EZW41:FAE41"/>
    <mergeCell ref="FAF41:FAN41"/>
    <mergeCell ref="EXC41:EXK41"/>
    <mergeCell ref="EXL41:EXT41"/>
    <mergeCell ref="EXU41:EYC41"/>
    <mergeCell ref="EYD41:EYL41"/>
    <mergeCell ref="EYM41:EYU41"/>
    <mergeCell ref="EVJ41:EVR41"/>
    <mergeCell ref="EVS41:EWA41"/>
    <mergeCell ref="EWB41:EWJ41"/>
    <mergeCell ref="EWK41:EWS41"/>
    <mergeCell ref="EWT41:EXB41"/>
    <mergeCell ref="ETQ41:ETY41"/>
    <mergeCell ref="ETZ41:EUH41"/>
    <mergeCell ref="EUI41:EUQ41"/>
    <mergeCell ref="EUR41:EUZ41"/>
    <mergeCell ref="EVA41:EVI41"/>
    <mergeCell ref="ERX41:ESF41"/>
    <mergeCell ref="ESG41:ESO41"/>
    <mergeCell ref="ESP41:ESX41"/>
    <mergeCell ref="ESY41:ETG41"/>
    <mergeCell ref="ETH41:ETP41"/>
    <mergeCell ref="EQE41:EQM41"/>
    <mergeCell ref="EQN41:EQV41"/>
    <mergeCell ref="EQW41:ERE41"/>
    <mergeCell ref="ERF41:ERN41"/>
    <mergeCell ref="ERO41:ERW41"/>
    <mergeCell ref="EOL41:EOT41"/>
    <mergeCell ref="EOU41:EPC41"/>
    <mergeCell ref="EPD41:EPL41"/>
    <mergeCell ref="EPM41:EPU41"/>
    <mergeCell ref="EPV41:EQD41"/>
    <mergeCell ref="EMS41:ENA41"/>
    <mergeCell ref="ENB41:ENJ41"/>
    <mergeCell ref="ENK41:ENS41"/>
    <mergeCell ref="ENT41:EOB41"/>
    <mergeCell ref="EOC41:EOK41"/>
    <mergeCell ref="EKZ41:ELH41"/>
    <mergeCell ref="ELI41:ELQ41"/>
    <mergeCell ref="ELR41:ELZ41"/>
    <mergeCell ref="EMA41:EMI41"/>
    <mergeCell ref="EMJ41:EMR41"/>
    <mergeCell ref="EJG41:EJO41"/>
    <mergeCell ref="EJP41:EJX41"/>
    <mergeCell ref="EJY41:EKG41"/>
    <mergeCell ref="EKH41:EKP41"/>
    <mergeCell ref="EKQ41:EKY41"/>
    <mergeCell ref="EHN41:EHV41"/>
    <mergeCell ref="EHW41:EIE41"/>
    <mergeCell ref="EIF41:EIN41"/>
    <mergeCell ref="EIO41:EIW41"/>
    <mergeCell ref="EIX41:EJF41"/>
    <mergeCell ref="EFU41:EGC41"/>
    <mergeCell ref="EGD41:EGL41"/>
    <mergeCell ref="EGM41:EGU41"/>
    <mergeCell ref="EGV41:EHD41"/>
    <mergeCell ref="EHE41:EHM41"/>
    <mergeCell ref="EEB41:EEJ41"/>
    <mergeCell ref="EEK41:EES41"/>
    <mergeCell ref="EET41:EFB41"/>
    <mergeCell ref="EFC41:EFK41"/>
    <mergeCell ref="EFL41:EFT41"/>
    <mergeCell ref="ECI41:ECQ41"/>
    <mergeCell ref="ECR41:ECZ41"/>
    <mergeCell ref="EDA41:EDI41"/>
    <mergeCell ref="EDJ41:EDR41"/>
    <mergeCell ref="EDS41:EEA41"/>
    <mergeCell ref="EAP41:EAX41"/>
    <mergeCell ref="EAY41:EBG41"/>
    <mergeCell ref="EBH41:EBP41"/>
    <mergeCell ref="EBQ41:EBY41"/>
    <mergeCell ref="EBZ41:ECH41"/>
    <mergeCell ref="DYW41:DZE41"/>
    <mergeCell ref="DZF41:DZN41"/>
    <mergeCell ref="DZO41:DZW41"/>
    <mergeCell ref="DZX41:EAF41"/>
    <mergeCell ref="EAG41:EAO41"/>
    <mergeCell ref="DXD41:DXL41"/>
    <mergeCell ref="DXM41:DXU41"/>
    <mergeCell ref="DXV41:DYD41"/>
    <mergeCell ref="DYE41:DYM41"/>
    <mergeCell ref="DYN41:DYV41"/>
    <mergeCell ref="DVK41:DVS41"/>
    <mergeCell ref="DVT41:DWB41"/>
    <mergeCell ref="DWC41:DWK41"/>
    <mergeCell ref="DWL41:DWT41"/>
    <mergeCell ref="DWU41:DXC41"/>
    <mergeCell ref="DTR41:DTZ41"/>
    <mergeCell ref="DUA41:DUI41"/>
    <mergeCell ref="DUJ41:DUR41"/>
    <mergeCell ref="DUS41:DVA41"/>
    <mergeCell ref="DVB41:DVJ41"/>
    <mergeCell ref="DRY41:DSG41"/>
    <mergeCell ref="DSH41:DSP41"/>
    <mergeCell ref="DSQ41:DSY41"/>
    <mergeCell ref="DSZ41:DTH41"/>
    <mergeCell ref="DTI41:DTQ41"/>
    <mergeCell ref="DQF41:DQN41"/>
    <mergeCell ref="DQO41:DQW41"/>
    <mergeCell ref="DQX41:DRF41"/>
    <mergeCell ref="DRG41:DRO41"/>
    <mergeCell ref="DRP41:DRX41"/>
    <mergeCell ref="DOM41:DOU41"/>
    <mergeCell ref="DOV41:DPD41"/>
    <mergeCell ref="DPE41:DPM41"/>
    <mergeCell ref="DPN41:DPV41"/>
    <mergeCell ref="DPW41:DQE41"/>
    <mergeCell ref="DMT41:DNB41"/>
    <mergeCell ref="DNC41:DNK41"/>
    <mergeCell ref="DNL41:DNT41"/>
    <mergeCell ref="DNU41:DOC41"/>
    <mergeCell ref="DOD41:DOL41"/>
    <mergeCell ref="DLA41:DLI41"/>
    <mergeCell ref="DLJ41:DLR41"/>
    <mergeCell ref="DLS41:DMA41"/>
    <mergeCell ref="DMB41:DMJ41"/>
    <mergeCell ref="DMK41:DMS41"/>
    <mergeCell ref="DJH41:DJP41"/>
    <mergeCell ref="DJQ41:DJY41"/>
    <mergeCell ref="DJZ41:DKH41"/>
    <mergeCell ref="DKI41:DKQ41"/>
    <mergeCell ref="DKR41:DKZ41"/>
    <mergeCell ref="DHO41:DHW41"/>
    <mergeCell ref="DHX41:DIF41"/>
    <mergeCell ref="DIG41:DIO41"/>
    <mergeCell ref="DIP41:DIX41"/>
    <mergeCell ref="DIY41:DJG41"/>
    <mergeCell ref="DFV41:DGD41"/>
    <mergeCell ref="DGE41:DGM41"/>
    <mergeCell ref="DGN41:DGV41"/>
    <mergeCell ref="DGW41:DHE41"/>
    <mergeCell ref="DHF41:DHN41"/>
    <mergeCell ref="DEC41:DEK41"/>
    <mergeCell ref="DEL41:DET41"/>
    <mergeCell ref="DEU41:DFC41"/>
    <mergeCell ref="DFD41:DFL41"/>
    <mergeCell ref="DFM41:DFU41"/>
    <mergeCell ref="DCJ41:DCR41"/>
    <mergeCell ref="DCS41:DDA41"/>
    <mergeCell ref="DDB41:DDJ41"/>
    <mergeCell ref="DDK41:DDS41"/>
    <mergeCell ref="DDT41:DEB41"/>
    <mergeCell ref="DAQ41:DAY41"/>
    <mergeCell ref="DAZ41:DBH41"/>
    <mergeCell ref="DBI41:DBQ41"/>
    <mergeCell ref="DBR41:DBZ41"/>
    <mergeCell ref="DCA41:DCI41"/>
    <mergeCell ref="CYX41:CZF41"/>
    <mergeCell ref="CZG41:CZO41"/>
    <mergeCell ref="CZP41:CZX41"/>
    <mergeCell ref="CZY41:DAG41"/>
    <mergeCell ref="DAH41:DAP41"/>
    <mergeCell ref="CXE41:CXM41"/>
    <mergeCell ref="CXN41:CXV41"/>
    <mergeCell ref="CXW41:CYE41"/>
    <mergeCell ref="CYF41:CYN41"/>
    <mergeCell ref="CYO41:CYW41"/>
    <mergeCell ref="CVL41:CVT41"/>
    <mergeCell ref="CVU41:CWC41"/>
    <mergeCell ref="CWD41:CWL41"/>
    <mergeCell ref="CWM41:CWU41"/>
    <mergeCell ref="CWV41:CXD41"/>
    <mergeCell ref="CTS41:CUA41"/>
    <mergeCell ref="CUB41:CUJ41"/>
    <mergeCell ref="CUK41:CUS41"/>
    <mergeCell ref="CUT41:CVB41"/>
    <mergeCell ref="CVC41:CVK41"/>
    <mergeCell ref="CRZ41:CSH41"/>
    <mergeCell ref="CSI41:CSQ41"/>
    <mergeCell ref="CSR41:CSZ41"/>
    <mergeCell ref="CTA41:CTI41"/>
    <mergeCell ref="CTJ41:CTR41"/>
    <mergeCell ref="CQG41:CQO41"/>
    <mergeCell ref="CQP41:CQX41"/>
    <mergeCell ref="CQY41:CRG41"/>
    <mergeCell ref="CRH41:CRP41"/>
    <mergeCell ref="CRQ41:CRY41"/>
    <mergeCell ref="CON41:COV41"/>
    <mergeCell ref="COW41:CPE41"/>
    <mergeCell ref="CPF41:CPN41"/>
    <mergeCell ref="CPO41:CPW41"/>
    <mergeCell ref="CPX41:CQF41"/>
    <mergeCell ref="CMU41:CNC41"/>
    <mergeCell ref="CND41:CNL41"/>
    <mergeCell ref="CNM41:CNU41"/>
    <mergeCell ref="CNV41:COD41"/>
    <mergeCell ref="COE41:COM41"/>
    <mergeCell ref="CLB41:CLJ41"/>
    <mergeCell ref="CLK41:CLS41"/>
    <mergeCell ref="CLT41:CMB41"/>
    <mergeCell ref="CMC41:CMK41"/>
    <mergeCell ref="CML41:CMT41"/>
    <mergeCell ref="CJI41:CJQ41"/>
    <mergeCell ref="CJR41:CJZ41"/>
    <mergeCell ref="CKA41:CKI41"/>
    <mergeCell ref="CKJ41:CKR41"/>
    <mergeCell ref="CKS41:CLA41"/>
    <mergeCell ref="CHP41:CHX41"/>
    <mergeCell ref="CHY41:CIG41"/>
    <mergeCell ref="CIH41:CIP41"/>
    <mergeCell ref="CIQ41:CIY41"/>
    <mergeCell ref="CIZ41:CJH41"/>
    <mergeCell ref="CFW41:CGE41"/>
    <mergeCell ref="CGF41:CGN41"/>
    <mergeCell ref="CGO41:CGW41"/>
    <mergeCell ref="CGX41:CHF41"/>
    <mergeCell ref="CHG41:CHO41"/>
    <mergeCell ref="CED41:CEL41"/>
    <mergeCell ref="CEM41:CEU41"/>
    <mergeCell ref="CEV41:CFD41"/>
    <mergeCell ref="CFE41:CFM41"/>
    <mergeCell ref="CFN41:CFV41"/>
    <mergeCell ref="CCK41:CCS41"/>
    <mergeCell ref="CCT41:CDB41"/>
    <mergeCell ref="CDC41:CDK41"/>
    <mergeCell ref="CDL41:CDT41"/>
    <mergeCell ref="CDU41:CEC41"/>
    <mergeCell ref="CAR41:CAZ41"/>
    <mergeCell ref="CBA41:CBI41"/>
    <mergeCell ref="CBJ41:CBR41"/>
    <mergeCell ref="CBS41:CCA41"/>
    <mergeCell ref="CCB41:CCJ41"/>
    <mergeCell ref="BYY41:BZG41"/>
    <mergeCell ref="BZH41:BZP41"/>
    <mergeCell ref="BZQ41:BZY41"/>
    <mergeCell ref="BZZ41:CAH41"/>
    <mergeCell ref="CAI41:CAQ41"/>
    <mergeCell ref="BXF41:BXN41"/>
    <mergeCell ref="BXO41:BXW41"/>
    <mergeCell ref="BXX41:BYF41"/>
    <mergeCell ref="BYG41:BYO41"/>
    <mergeCell ref="BYP41:BYX41"/>
    <mergeCell ref="BVM41:BVU41"/>
    <mergeCell ref="BVV41:BWD41"/>
    <mergeCell ref="BWE41:BWM41"/>
    <mergeCell ref="BWN41:BWV41"/>
    <mergeCell ref="BWW41:BXE41"/>
    <mergeCell ref="BTT41:BUB41"/>
    <mergeCell ref="BUC41:BUK41"/>
    <mergeCell ref="BUL41:BUT41"/>
    <mergeCell ref="BUU41:BVC41"/>
    <mergeCell ref="BVD41:BVL41"/>
    <mergeCell ref="BSA41:BSI41"/>
    <mergeCell ref="BSJ41:BSR41"/>
    <mergeCell ref="BSS41:BTA41"/>
    <mergeCell ref="BTB41:BTJ41"/>
    <mergeCell ref="BTK41:BTS41"/>
    <mergeCell ref="BQH41:BQP41"/>
    <mergeCell ref="BQQ41:BQY41"/>
    <mergeCell ref="BQZ41:BRH41"/>
    <mergeCell ref="BRI41:BRQ41"/>
    <mergeCell ref="BRR41:BRZ41"/>
    <mergeCell ref="BOO41:BOW41"/>
    <mergeCell ref="BOX41:BPF41"/>
    <mergeCell ref="BPG41:BPO41"/>
    <mergeCell ref="BPP41:BPX41"/>
    <mergeCell ref="BPY41:BQG41"/>
    <mergeCell ref="BMV41:BND41"/>
    <mergeCell ref="BNE41:BNM41"/>
    <mergeCell ref="BNN41:BNV41"/>
    <mergeCell ref="BNW41:BOE41"/>
    <mergeCell ref="BOF41:BON41"/>
    <mergeCell ref="BLC41:BLK41"/>
    <mergeCell ref="BLL41:BLT41"/>
    <mergeCell ref="BLU41:BMC41"/>
    <mergeCell ref="BMD41:BML41"/>
    <mergeCell ref="BMM41:BMU41"/>
    <mergeCell ref="BJJ41:BJR41"/>
    <mergeCell ref="BJS41:BKA41"/>
    <mergeCell ref="BKB41:BKJ41"/>
    <mergeCell ref="BKK41:BKS41"/>
    <mergeCell ref="BKT41:BLB41"/>
    <mergeCell ref="BHQ41:BHY41"/>
    <mergeCell ref="BHZ41:BIH41"/>
    <mergeCell ref="BII41:BIQ41"/>
    <mergeCell ref="BIR41:BIZ41"/>
    <mergeCell ref="BJA41:BJI41"/>
    <mergeCell ref="BFX41:BGF41"/>
    <mergeCell ref="BGG41:BGO41"/>
    <mergeCell ref="BGP41:BGX41"/>
    <mergeCell ref="BGY41:BHG41"/>
    <mergeCell ref="BHH41:BHP41"/>
    <mergeCell ref="BEE41:BEM41"/>
    <mergeCell ref="BEN41:BEV41"/>
    <mergeCell ref="BEW41:BFE41"/>
    <mergeCell ref="BFF41:BFN41"/>
    <mergeCell ref="BFO41:BFW41"/>
    <mergeCell ref="BCL41:BCT41"/>
    <mergeCell ref="BCU41:BDC41"/>
    <mergeCell ref="BDD41:BDL41"/>
    <mergeCell ref="BDM41:BDU41"/>
    <mergeCell ref="BDV41:BED41"/>
    <mergeCell ref="BAS41:BBA41"/>
    <mergeCell ref="BBB41:BBJ41"/>
    <mergeCell ref="BBK41:BBS41"/>
    <mergeCell ref="BBT41:BCB41"/>
    <mergeCell ref="BCC41:BCK41"/>
    <mergeCell ref="AYZ41:AZH41"/>
    <mergeCell ref="AZI41:AZQ41"/>
    <mergeCell ref="AZR41:AZZ41"/>
    <mergeCell ref="BAA41:BAI41"/>
    <mergeCell ref="BAJ41:BAR41"/>
    <mergeCell ref="AXG41:AXO41"/>
    <mergeCell ref="AXP41:AXX41"/>
    <mergeCell ref="AXY41:AYG41"/>
    <mergeCell ref="AYH41:AYP41"/>
    <mergeCell ref="AYQ41:AYY41"/>
    <mergeCell ref="AVN41:AVV41"/>
    <mergeCell ref="AVW41:AWE41"/>
    <mergeCell ref="AWF41:AWN41"/>
    <mergeCell ref="AWO41:AWW41"/>
    <mergeCell ref="AWX41:AXF41"/>
    <mergeCell ref="ATU41:AUC41"/>
    <mergeCell ref="AUD41:AUL41"/>
    <mergeCell ref="AUM41:AUU41"/>
    <mergeCell ref="AUV41:AVD41"/>
    <mergeCell ref="AVE41:AVM41"/>
    <mergeCell ref="ASB41:ASJ41"/>
    <mergeCell ref="ASK41:ASS41"/>
    <mergeCell ref="AST41:ATB41"/>
    <mergeCell ref="ATC41:ATK41"/>
    <mergeCell ref="ATL41:ATT41"/>
    <mergeCell ref="AQI41:AQQ41"/>
    <mergeCell ref="AQR41:AQZ41"/>
    <mergeCell ref="ARA41:ARI41"/>
    <mergeCell ref="ARJ41:ARR41"/>
    <mergeCell ref="ARS41:ASA41"/>
    <mergeCell ref="AOP41:AOX41"/>
    <mergeCell ref="AOY41:APG41"/>
    <mergeCell ref="APH41:APP41"/>
    <mergeCell ref="APQ41:APY41"/>
    <mergeCell ref="APZ41:AQH41"/>
    <mergeCell ref="AMW41:ANE41"/>
    <mergeCell ref="ANF41:ANN41"/>
    <mergeCell ref="ANO41:ANW41"/>
    <mergeCell ref="ANX41:AOF41"/>
    <mergeCell ref="AOG41:AOO41"/>
    <mergeCell ref="ALD41:ALL41"/>
    <mergeCell ref="ALM41:ALU41"/>
    <mergeCell ref="ALV41:AMD41"/>
    <mergeCell ref="AME41:AMM41"/>
    <mergeCell ref="AMN41:AMV41"/>
    <mergeCell ref="AJK41:AJS41"/>
    <mergeCell ref="AJT41:AKB41"/>
    <mergeCell ref="AKC41:AKK41"/>
    <mergeCell ref="AKL41:AKT41"/>
    <mergeCell ref="AKU41:ALC41"/>
    <mergeCell ref="AHR41:AHZ41"/>
    <mergeCell ref="AIA41:AII41"/>
    <mergeCell ref="AIJ41:AIR41"/>
    <mergeCell ref="AIS41:AJA41"/>
    <mergeCell ref="AJB41:AJJ41"/>
    <mergeCell ref="AFY41:AGG41"/>
    <mergeCell ref="AGH41:AGP41"/>
    <mergeCell ref="AGQ41:AGY41"/>
    <mergeCell ref="AGZ41:AHH41"/>
    <mergeCell ref="AHI41:AHQ41"/>
    <mergeCell ref="AEF41:AEN41"/>
    <mergeCell ref="AEO41:AEW41"/>
    <mergeCell ref="AEX41:AFF41"/>
    <mergeCell ref="AFG41:AFO41"/>
    <mergeCell ref="AFP41:AFX41"/>
    <mergeCell ref="ACM41:ACU41"/>
    <mergeCell ref="ACV41:ADD41"/>
    <mergeCell ref="ADE41:ADM41"/>
    <mergeCell ref="ADN41:ADV41"/>
    <mergeCell ref="ADW41:AEE41"/>
    <mergeCell ref="AAT41:ABB41"/>
    <mergeCell ref="ABC41:ABK41"/>
    <mergeCell ref="ABL41:ABT41"/>
    <mergeCell ref="ABU41:ACC41"/>
    <mergeCell ref="ACD41:ACL41"/>
    <mergeCell ref="ZA41:ZI41"/>
    <mergeCell ref="ZJ41:ZR41"/>
    <mergeCell ref="ZS41:AAA41"/>
    <mergeCell ref="AAB41:AAJ41"/>
    <mergeCell ref="AAK41:AAS41"/>
    <mergeCell ref="XH41:XP41"/>
    <mergeCell ref="XQ41:XY41"/>
    <mergeCell ref="XZ41:YH41"/>
    <mergeCell ref="YI41:YQ41"/>
    <mergeCell ref="YR41:YZ41"/>
    <mergeCell ref="VO41:VW41"/>
    <mergeCell ref="VX41:WF41"/>
    <mergeCell ref="WG41:WO41"/>
    <mergeCell ref="WP41:WX41"/>
    <mergeCell ref="WY41:XG41"/>
    <mergeCell ref="TV41:UD41"/>
    <mergeCell ref="UE41:UM41"/>
    <mergeCell ref="UN41:UV41"/>
    <mergeCell ref="UW41:VE41"/>
    <mergeCell ref="VF41:VN41"/>
    <mergeCell ref="SC41:SK41"/>
    <mergeCell ref="SL41:ST41"/>
    <mergeCell ref="SU41:TC41"/>
    <mergeCell ref="TD41:TL41"/>
    <mergeCell ref="TM41:TU41"/>
    <mergeCell ref="QJ41:QR41"/>
    <mergeCell ref="QS41:RA41"/>
    <mergeCell ref="RB41:RJ41"/>
    <mergeCell ref="RK41:RS41"/>
    <mergeCell ref="RT41:SB41"/>
    <mergeCell ref="OQ41:OY41"/>
    <mergeCell ref="OZ41:PH41"/>
    <mergeCell ref="PI41:PQ41"/>
    <mergeCell ref="PR41:PZ41"/>
    <mergeCell ref="QA41:QI41"/>
    <mergeCell ref="MX41:NF41"/>
    <mergeCell ref="NG41:NO41"/>
    <mergeCell ref="NP41:NX41"/>
    <mergeCell ref="NY41:OG41"/>
    <mergeCell ref="OH41:OP41"/>
    <mergeCell ref="A1:J1"/>
    <mergeCell ref="K41:S41"/>
    <mergeCell ref="T41:AB41"/>
    <mergeCell ref="AC41:AK41"/>
    <mergeCell ref="AL41:AT41"/>
    <mergeCell ref="LE41:LM41"/>
    <mergeCell ref="LN41:LV41"/>
    <mergeCell ref="LW41:ME41"/>
    <mergeCell ref="MF41:MN41"/>
    <mergeCell ref="MO41:MW41"/>
    <mergeCell ref="JL41:JT41"/>
    <mergeCell ref="JU41:KC41"/>
    <mergeCell ref="KD41:KL41"/>
    <mergeCell ref="KM41:KU41"/>
    <mergeCell ref="KV41:LD41"/>
    <mergeCell ref="HS41:IA41"/>
    <mergeCell ref="IB41:IJ41"/>
    <mergeCell ref="IK41:IS41"/>
    <mergeCell ref="IT41:JB41"/>
    <mergeCell ref="JC41:JK41"/>
    <mergeCell ref="FZ41:GH41"/>
    <mergeCell ref="GI41:GQ41"/>
    <mergeCell ref="GR41:GZ41"/>
    <mergeCell ref="HA41:HI41"/>
    <mergeCell ref="HJ41:HR41"/>
    <mergeCell ref="A59:J59"/>
    <mergeCell ref="A56:J56"/>
    <mergeCell ref="A51:C51"/>
    <mergeCell ref="A20:C20"/>
    <mergeCell ref="A47:C47"/>
    <mergeCell ref="A24:C24"/>
    <mergeCell ref="EG41:EO41"/>
    <mergeCell ref="EP41:EX41"/>
    <mergeCell ref="EY41:FG41"/>
    <mergeCell ref="FH41:FP41"/>
    <mergeCell ref="FQ41:FY41"/>
    <mergeCell ref="CN41:CV41"/>
    <mergeCell ref="CW41:DE41"/>
    <mergeCell ref="DF41:DN41"/>
    <mergeCell ref="DO41:DW41"/>
    <mergeCell ref="DX41:EF41"/>
    <mergeCell ref="AU41:BC41"/>
    <mergeCell ref="BD41:BL41"/>
    <mergeCell ref="BM41:BU41"/>
    <mergeCell ref="BV41:CD41"/>
    <mergeCell ref="CE41:CM41"/>
    <mergeCell ref="A29:J2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15"/>
  <sheetViews>
    <sheetView showGridLines="0" workbookViewId="0">
      <pane ySplit="2" topLeftCell="A3" activePane="bottomLeft" state="frozen"/>
      <selection pane="bottomLeft" sqref="A1:F1"/>
    </sheetView>
  </sheetViews>
  <sheetFormatPr defaultRowHeight="15" x14ac:dyDescent="0.25"/>
  <cols>
    <col min="1" max="1" width="17.140625" customWidth="1"/>
    <col min="2" max="2" width="12.140625" customWidth="1"/>
    <col min="3" max="6" width="11.28515625" customWidth="1"/>
  </cols>
  <sheetData>
    <row r="1" spans="1:6" ht="15.75" x14ac:dyDescent="0.25">
      <c r="A1" s="1077" t="s">
        <v>505</v>
      </c>
      <c r="B1" s="1077"/>
      <c r="C1" s="1077"/>
      <c r="D1" s="1077"/>
      <c r="E1" s="1077"/>
      <c r="F1" s="1077"/>
    </row>
    <row r="2" spans="1:6" ht="18" x14ac:dyDescent="0.25">
      <c r="A2" s="772" t="s">
        <v>578</v>
      </c>
      <c r="B2" s="1"/>
      <c r="C2" s="1"/>
      <c r="D2" s="1"/>
      <c r="E2" s="1"/>
      <c r="F2" s="1"/>
    </row>
    <row r="3" spans="1:6" ht="18" x14ac:dyDescent="0.25">
      <c r="A3" s="1"/>
      <c r="B3" s="1"/>
      <c r="C3" s="1"/>
      <c r="D3" s="1"/>
      <c r="E3" s="1"/>
      <c r="F3" s="1"/>
    </row>
    <row r="4" spans="1:6" ht="15.75" x14ac:dyDescent="0.25">
      <c r="A4" s="657" t="s">
        <v>860</v>
      </c>
      <c r="B4" s="657"/>
      <c r="C4" s="657"/>
      <c r="D4" s="657"/>
      <c r="E4" s="657"/>
      <c r="F4" s="657"/>
    </row>
    <row r="5" spans="1:6" ht="15.75" x14ac:dyDescent="0.25">
      <c r="A5" t="s">
        <v>937</v>
      </c>
      <c r="B5" s="657"/>
      <c r="C5" s="657"/>
      <c r="D5" s="657"/>
      <c r="E5" s="657"/>
      <c r="F5" s="657"/>
    </row>
    <row r="6" spans="1:6" x14ac:dyDescent="0.25">
      <c r="A6" t="s">
        <v>363</v>
      </c>
      <c r="B6" t="s">
        <v>997</v>
      </c>
    </row>
    <row r="7" spans="1:6" x14ac:dyDescent="0.25">
      <c r="A7" t="s">
        <v>364</v>
      </c>
      <c r="B7" t="s">
        <v>366</v>
      </c>
    </row>
    <row r="8" spans="1:6" x14ac:dyDescent="0.25">
      <c r="A8" t="s">
        <v>365</v>
      </c>
      <c r="B8" t="s">
        <v>367</v>
      </c>
    </row>
    <row r="10" spans="1:6" ht="39" x14ac:dyDescent="0.25">
      <c r="A10" s="2" t="s">
        <v>1</v>
      </c>
      <c r="B10" s="3" t="s">
        <v>858</v>
      </c>
      <c r="C10" s="3" t="s">
        <v>859</v>
      </c>
      <c r="D10" s="3" t="s">
        <v>861</v>
      </c>
      <c r="E10" s="3" t="s">
        <v>862</v>
      </c>
      <c r="F10" s="3" t="s">
        <v>4</v>
      </c>
    </row>
    <row r="11" spans="1:6" x14ac:dyDescent="0.25">
      <c r="A11" s="5" t="str">
        <f>Tduty!$A$5</f>
        <v>2018-19</v>
      </c>
      <c r="B11" s="368">
        <f>Tduty!$E$5</f>
        <v>2955</v>
      </c>
      <c r="C11" s="368">
        <f>Tduty!$D$5</f>
        <v>264</v>
      </c>
      <c r="D11" s="368">
        <f>Tduty!$C$5</f>
        <v>358</v>
      </c>
      <c r="E11" s="368">
        <f>Tduty!$F$5</f>
        <v>60</v>
      </c>
      <c r="F11" s="371">
        <f>SUM(B11:E11)</f>
        <v>3637</v>
      </c>
    </row>
    <row r="12" spans="1:6" ht="15.75" thickBot="1" x14ac:dyDescent="0.3">
      <c r="A12" s="538" t="str">
        <f>Tduty!$A$6</f>
        <v>2019-20</v>
      </c>
      <c r="B12" s="1012">
        <f>Tduty!$E$6</f>
        <v>2966</v>
      </c>
      <c r="C12" s="1012">
        <f>Tduty!$D$6</f>
        <v>270</v>
      </c>
      <c r="D12" s="1012">
        <f>Tduty!$C$6</f>
        <v>351</v>
      </c>
      <c r="E12" s="1012">
        <f>Tduty!$F$6</f>
        <v>49</v>
      </c>
      <c r="F12" s="1013">
        <f>SUM(B12:E12)</f>
        <v>3636</v>
      </c>
    </row>
    <row r="14" spans="1:6" x14ac:dyDescent="0.25">
      <c r="A14" s="437" t="s">
        <v>8</v>
      </c>
    </row>
    <row r="15" spans="1:6" ht="30" customHeight="1" x14ac:dyDescent="0.25">
      <c r="A15" s="1076" t="s">
        <v>957</v>
      </c>
      <c r="B15" s="1076"/>
      <c r="C15" s="1076"/>
      <c r="D15" s="1076"/>
      <c r="E15" s="1076"/>
      <c r="F15" s="1076"/>
    </row>
  </sheetData>
  <sheetProtection algorithmName="SHA-512" hashValue="cDqm3tu+FZ7OfG0e7/4czFvqZxtLCCrXugQrdaSrzUbSYlsBkqwKL8/7O/P+CK88FpvYT004lA9/zSV4uALwuw==" saltValue="1vdGkNXn/1ROtxUenunxlg==" spinCount="100000" sheet="1" scenarios="1" formatCells="0" formatColumns="0" formatRows="0" sort="0" autoFilter="0" pivotTables="0"/>
  <mergeCells count="2">
    <mergeCell ref="A1:F1"/>
    <mergeCell ref="A15:F15"/>
  </mergeCells>
  <hyperlinks>
    <hyperlink ref="A2" location="'Table of Contents'!A1" display="Back to Table of Contents"/>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82"/>
  <sheetViews>
    <sheetView showGridLines="0" workbookViewId="0">
      <pane ySplit="2" topLeftCell="A3" activePane="bottomLeft" state="frozen"/>
      <selection pane="bottomLeft"/>
    </sheetView>
  </sheetViews>
  <sheetFormatPr defaultRowHeight="15" x14ac:dyDescent="0.25"/>
  <cols>
    <col min="1" max="1" width="17.140625" customWidth="1"/>
    <col min="2" max="2" width="59.42578125" customWidth="1"/>
    <col min="3" max="7" width="13.28515625" style="366" customWidth="1"/>
    <col min="8" max="8" width="19.5703125" customWidth="1"/>
  </cols>
  <sheetData>
    <row r="1" spans="1:7" ht="15.75" customHeight="1" x14ac:dyDescent="0.25">
      <c r="A1" s="802" t="s">
        <v>505</v>
      </c>
      <c r="B1" s="802"/>
      <c r="C1" s="802"/>
      <c r="D1" s="802"/>
      <c r="E1" s="802"/>
      <c r="F1" s="802"/>
      <c r="G1" s="802"/>
    </row>
    <row r="2" spans="1:7" ht="18" x14ac:dyDescent="0.25">
      <c r="A2" s="772" t="s">
        <v>578</v>
      </c>
      <c r="B2" s="1"/>
      <c r="C2" s="1"/>
      <c r="D2" s="1"/>
      <c r="E2" s="1"/>
      <c r="F2" s="1"/>
      <c r="G2" s="1"/>
    </row>
    <row r="3" spans="1:7" x14ac:dyDescent="0.25">
      <c r="C3"/>
      <c r="D3"/>
      <c r="E3"/>
      <c r="F3"/>
      <c r="G3"/>
    </row>
    <row r="4" spans="1:7" ht="30" customHeight="1" x14ac:dyDescent="0.25">
      <c r="A4" s="657" t="s">
        <v>966</v>
      </c>
      <c r="B4" s="657"/>
      <c r="C4"/>
      <c r="D4"/>
      <c r="E4"/>
      <c r="F4"/>
      <c r="G4"/>
    </row>
    <row r="5" spans="1:7" ht="15" customHeight="1" x14ac:dyDescent="0.25">
      <c r="A5" t="s">
        <v>937</v>
      </c>
      <c r="B5" s="657"/>
      <c r="C5"/>
      <c r="D5"/>
      <c r="E5"/>
      <c r="F5"/>
      <c r="G5"/>
    </row>
    <row r="6" spans="1:7" ht="15" customHeight="1" x14ac:dyDescent="0.25">
      <c r="A6" t="s">
        <v>363</v>
      </c>
      <c r="B6" t="s">
        <v>998</v>
      </c>
      <c r="C6"/>
      <c r="D6"/>
      <c r="E6"/>
      <c r="F6"/>
      <c r="G6"/>
    </row>
    <row r="7" spans="1:7" ht="15" customHeight="1" x14ac:dyDescent="0.25">
      <c r="A7" t="s">
        <v>364</v>
      </c>
      <c r="B7" t="s">
        <v>366</v>
      </c>
      <c r="C7"/>
      <c r="D7"/>
      <c r="E7"/>
      <c r="F7"/>
      <c r="G7"/>
    </row>
    <row r="8" spans="1:7" ht="30" customHeight="1" x14ac:dyDescent="0.25">
      <c r="A8" t="s">
        <v>365</v>
      </c>
      <c r="B8" t="s">
        <v>367</v>
      </c>
      <c r="C8"/>
      <c r="D8"/>
      <c r="E8"/>
      <c r="F8"/>
      <c r="G8"/>
    </row>
    <row r="9" spans="1:7" ht="22.5" customHeight="1" x14ac:dyDescent="0.25">
      <c r="C9"/>
      <c r="D9"/>
      <c r="E9"/>
      <c r="F9"/>
      <c r="G9"/>
    </row>
    <row r="10" spans="1:7" s="689" customFormat="1" ht="37.5" customHeight="1" x14ac:dyDescent="0.25">
      <c r="A10" s="1016" t="s">
        <v>1</v>
      </c>
      <c r="B10" s="1016" t="s">
        <v>218</v>
      </c>
      <c r="C10" s="3" t="s">
        <v>858</v>
      </c>
      <c r="D10" s="3" t="s">
        <v>859</v>
      </c>
      <c r="E10" s="3" t="s">
        <v>861</v>
      </c>
      <c r="F10" s="3" t="s">
        <v>862</v>
      </c>
      <c r="G10" s="3" t="s">
        <v>4</v>
      </c>
    </row>
    <row r="11" spans="1:7" ht="30" customHeight="1" thickBot="1" x14ac:dyDescent="0.3">
      <c r="A11" s="48" t="str">
        <f>Sheet8!D1</f>
        <v>2019-20</v>
      </c>
      <c r="B11" s="48" t="s">
        <v>79</v>
      </c>
      <c r="C11" s="79">
        <f t="shared" ref="C11:G11" si="0">C46+C66+C72+C74</f>
        <v>2966</v>
      </c>
      <c r="D11" s="79">
        <f t="shared" si="0"/>
        <v>270</v>
      </c>
      <c r="E11" s="79">
        <f t="shared" si="0"/>
        <v>351</v>
      </c>
      <c r="F11" s="79">
        <f t="shared" si="0"/>
        <v>49</v>
      </c>
      <c r="G11" s="79">
        <f t="shared" si="0"/>
        <v>3636</v>
      </c>
    </row>
    <row r="12" spans="1:7" ht="19.5" customHeight="1" x14ac:dyDescent="0.25">
      <c r="B12" s="49"/>
      <c r="C12" s="54"/>
      <c r="D12" s="54"/>
      <c r="E12" s="54"/>
      <c r="F12" s="54"/>
      <c r="G12" s="54"/>
    </row>
    <row r="13" spans="1:7" ht="15" customHeight="1" x14ac:dyDescent="0.25">
      <c r="A13" s="52" t="s">
        <v>515</v>
      </c>
      <c r="B13" s="52" t="s">
        <v>30</v>
      </c>
      <c r="C13" s="28"/>
      <c r="D13" s="24"/>
      <c r="E13" s="24"/>
      <c r="F13" s="24"/>
      <c r="G13" s="24"/>
    </row>
    <row r="14" spans="1:7" ht="15" customHeight="1" x14ac:dyDescent="0.25">
      <c r="A14" s="572" t="s">
        <v>301</v>
      </c>
      <c r="B14" s="55" t="s">
        <v>31</v>
      </c>
      <c r="C14" s="415">
        <f>IFERROR(GETPIVOTDATA(("Sum of RBC"),Sheet8!B5,"ReportingLevel","1:LA","lvl",$B14),0)</f>
        <v>155</v>
      </c>
      <c r="D14" s="415">
        <f>IFERROR(GETPIVOTDATA((CONCATENATE("Sum of ", D$10)),'h4'!$A$3,"ReportingLevel","1:LA","lvl",$B14),0)</f>
        <v>0</v>
      </c>
      <c r="E14" s="415">
        <f>IFERROR(GETPIVOTDATA((CONCATENATE("Sum of ", E$10)),'h4'!$A$3,"ReportingLevel","1:LA","lvl",$B14),0)</f>
        <v>0</v>
      </c>
      <c r="F14" s="415">
        <f>IFERROR(GETPIVOTDATA((CONCATENATE("Sum of ", F$10)),'h4'!$A$3,"ReportingLevel","1:LA","lvl",$B14),0)</f>
        <v>0</v>
      </c>
      <c r="G14" s="415">
        <f>SUM(C14:F14)</f>
        <v>155</v>
      </c>
    </row>
    <row r="15" spans="1:7" ht="15" customHeight="1" x14ac:dyDescent="0.25">
      <c r="A15" s="573" t="s">
        <v>302</v>
      </c>
      <c r="B15" s="58" t="s">
        <v>32</v>
      </c>
      <c r="C15" s="82">
        <f>IFERROR(GETPIVOTDATA(("Sum of RBC"),Sheet8!B6,"ReportingLevel","1:LA","lvl",$B15),0)</f>
        <v>32</v>
      </c>
      <c r="D15" s="82">
        <f>IFERROR(GETPIVOTDATA((CONCATENATE("Sum of ", D$8)),'h4'!$A$3,"ReportingLevel","1:LA","lvl",$B15),0)</f>
        <v>0</v>
      </c>
      <c r="E15" s="82">
        <f>IFERROR(GETPIVOTDATA((CONCATENATE("Sum of ", E$8)),'h4'!$A$3,"ReportingLevel","1:LA","lvl",$B15),0)</f>
        <v>0</v>
      </c>
      <c r="F15" s="82">
        <f>IFERROR(GETPIVOTDATA((CONCATENATE("Sum of ", F$8)),'h4'!$A$3,"ReportingLevel","1:LA","lvl",$B15),0)</f>
        <v>0</v>
      </c>
      <c r="G15" s="82">
        <f t="shared" ref="G15:G46" si="1">SUM(C15:F15)</f>
        <v>32</v>
      </c>
    </row>
    <row r="16" spans="1:7" ht="15" customHeight="1" x14ac:dyDescent="0.25">
      <c r="A16" s="573" t="s">
        <v>308</v>
      </c>
      <c r="B16" s="58" t="s">
        <v>33</v>
      </c>
      <c r="C16" s="82">
        <f>IFERROR(GETPIVOTDATA(("Sum of RBC"),Sheet8!B7,"ReportingLevel","1:LA","lvl",$B16),0)</f>
        <v>27</v>
      </c>
      <c r="D16" s="82">
        <f>IFERROR(GETPIVOTDATA((CONCATENATE("Sum of ", D$8)),'h4'!$A$3,"ReportingLevel","1:LA","lvl",$B16),0)</f>
        <v>0</v>
      </c>
      <c r="E16" s="82">
        <f>IFERROR(GETPIVOTDATA((CONCATENATE("Sum of ", E$8)),'h4'!$A$3,"ReportingLevel","1:LA","lvl",$B16),0)</f>
        <v>0</v>
      </c>
      <c r="F16" s="82">
        <f>IFERROR(GETPIVOTDATA((CONCATENATE("Sum of ", F$8)),'h4'!$A$3,"ReportingLevel","1:LA","lvl",$B16),0)</f>
        <v>0</v>
      </c>
      <c r="G16" s="82">
        <f t="shared" si="1"/>
        <v>27</v>
      </c>
    </row>
    <row r="17" spans="1:7" ht="15" customHeight="1" x14ac:dyDescent="0.25">
      <c r="A17" s="573" t="s">
        <v>303</v>
      </c>
      <c r="B17" s="58" t="s">
        <v>34</v>
      </c>
      <c r="C17" s="82">
        <f>IFERROR(GETPIVOTDATA(("Sum of RBC"),Sheet8!B8,"ReportingLevel","1:LA","lvl",$B17),0)</f>
        <v>53</v>
      </c>
      <c r="D17" s="82">
        <f>IFERROR(GETPIVOTDATA((CONCATENATE("Sum of ", D$8)),'h4'!$A$3,"ReportingLevel","1:LA","lvl",$B17),0)</f>
        <v>0</v>
      </c>
      <c r="E17" s="82">
        <f>IFERROR(GETPIVOTDATA((CONCATENATE("Sum of ", E$8)),'h4'!$A$3,"ReportingLevel","1:LA","lvl",$B17),0)</f>
        <v>0</v>
      </c>
      <c r="F17" s="82">
        <f>IFERROR(GETPIVOTDATA((CONCATENATE("Sum of ", F$8)),'h4'!$A$3,"ReportingLevel","1:LA","lvl",$B17),0)</f>
        <v>0</v>
      </c>
      <c r="G17" s="82">
        <f t="shared" si="1"/>
        <v>53</v>
      </c>
    </row>
    <row r="18" spans="1:7" ht="15" customHeight="1" x14ac:dyDescent="0.25">
      <c r="A18" s="573" t="s">
        <v>304</v>
      </c>
      <c r="B18" s="58" t="s">
        <v>258</v>
      </c>
      <c r="C18" s="82">
        <f>IFERROR(GETPIVOTDATA(("Sum of RBC"),Sheet8!B9,"ReportingLevel","1:LA","lvl",$B18),0)</f>
        <v>306</v>
      </c>
      <c r="D18" s="82">
        <f>IFERROR(GETPIVOTDATA((CONCATENATE("Sum of ", D$8)),'h4'!$A$3,"ReportingLevel","1:LA","lvl",$B18),0)</f>
        <v>0</v>
      </c>
      <c r="E18" s="82">
        <f>IFERROR(GETPIVOTDATA((CONCATENATE("Sum of ", E$8)),'h4'!$A$3,"ReportingLevel","1:LA","lvl",$B18),0)</f>
        <v>0</v>
      </c>
      <c r="F18" s="82">
        <f>IFERROR(GETPIVOTDATA((CONCATENATE("Sum of ", F$8)),'h4'!$A$3,"ReportingLevel","1:LA","lvl",$B18),0)</f>
        <v>0</v>
      </c>
      <c r="G18" s="82">
        <f t="shared" si="1"/>
        <v>306</v>
      </c>
    </row>
    <row r="19" spans="1:7" ht="15" customHeight="1" x14ac:dyDescent="0.25">
      <c r="A19" s="573" t="s">
        <v>282</v>
      </c>
      <c r="B19" s="58" t="s">
        <v>35</v>
      </c>
      <c r="C19" s="82">
        <f>IFERROR(GETPIVOTDATA(("Sum of RBC"),Sheet8!B10,"ReportingLevel","1:LA","lvl",$B19),0)</f>
        <v>25</v>
      </c>
      <c r="D19" s="82">
        <f>IFERROR(GETPIVOTDATA((CONCATENATE("Sum of ", D$8)),'h4'!$A$3,"ReportingLevel","1:LA","lvl",$B19),0)</f>
        <v>0</v>
      </c>
      <c r="E19" s="82">
        <f>IFERROR(GETPIVOTDATA((CONCATENATE("Sum of ", E$8)),'h4'!$A$3,"ReportingLevel","1:LA","lvl",$B19),0)</f>
        <v>0</v>
      </c>
      <c r="F19" s="82">
        <f>IFERROR(GETPIVOTDATA((CONCATENATE("Sum of ", F$8)),'h4'!$A$3,"ReportingLevel","1:LA","lvl",$B19),0)</f>
        <v>0</v>
      </c>
      <c r="G19" s="82">
        <f t="shared" si="1"/>
        <v>25</v>
      </c>
    </row>
    <row r="20" spans="1:7" ht="15" customHeight="1" x14ac:dyDescent="0.25">
      <c r="A20" s="573" t="s">
        <v>283</v>
      </c>
      <c r="B20" s="58" t="s">
        <v>36</v>
      </c>
      <c r="C20" s="82">
        <f>IFERROR(GETPIVOTDATA(("Sum of RBC"),Sheet8!B11,"ReportingLevel","1:LA","lvl",$B20),0)</f>
        <v>52</v>
      </c>
      <c r="D20" s="82">
        <f>IFERROR(GETPIVOTDATA((CONCATENATE("Sum of ", D$8)),'h4'!$A$3,"ReportingLevel","1:LA","lvl",$B20),0)</f>
        <v>0</v>
      </c>
      <c r="E20" s="82">
        <f>IFERROR(GETPIVOTDATA((CONCATENATE("Sum of ", E$8)),'h4'!$A$3,"ReportingLevel","1:LA","lvl",$B20),0)</f>
        <v>0</v>
      </c>
      <c r="F20" s="82">
        <f>IFERROR(GETPIVOTDATA((CONCATENATE("Sum of ", F$8)),'h4'!$A$3,"ReportingLevel","1:LA","lvl",$B20),0)</f>
        <v>0</v>
      </c>
      <c r="G20" s="82">
        <f t="shared" si="1"/>
        <v>52</v>
      </c>
    </row>
    <row r="21" spans="1:7" ht="15" customHeight="1" x14ac:dyDescent="0.25">
      <c r="A21" s="573" t="s">
        <v>309</v>
      </c>
      <c r="B21" s="58" t="s">
        <v>37</v>
      </c>
      <c r="C21" s="82">
        <f>IFERROR(GETPIVOTDATA(("Sum of RBC"),Sheet8!B12,"ReportingLevel","1:LA","lvl",$B21),0)</f>
        <v>182</v>
      </c>
      <c r="D21" s="82">
        <f>IFERROR(GETPIVOTDATA((CONCATENATE("Sum of ", D$8)),'h4'!$A$3,"ReportingLevel","1:LA","lvl",$B21),0)</f>
        <v>0</v>
      </c>
      <c r="E21" s="82">
        <f>IFERROR(GETPIVOTDATA((CONCATENATE("Sum of ", E$8)),'h4'!$A$3,"ReportingLevel","1:LA","lvl",$B21),0)</f>
        <v>0</v>
      </c>
      <c r="F21" s="82">
        <f>IFERROR(GETPIVOTDATA((CONCATENATE("Sum of ", F$8)),'h4'!$A$3,"ReportingLevel","1:LA","lvl",$B21),0)</f>
        <v>0</v>
      </c>
      <c r="G21" s="82">
        <f t="shared" si="1"/>
        <v>182</v>
      </c>
    </row>
    <row r="22" spans="1:7" ht="15" customHeight="1" x14ac:dyDescent="0.25">
      <c r="A22" s="573" t="s">
        <v>284</v>
      </c>
      <c r="B22" s="58" t="s">
        <v>38</v>
      </c>
      <c r="C22" s="82">
        <f>IFERROR(GETPIVOTDATA(("Sum of RBC"),Sheet8!B13,"ReportingLevel","1:LA","lvl",$B22),0)</f>
        <v>49</v>
      </c>
      <c r="D22" s="82">
        <f>IFERROR(GETPIVOTDATA((CONCATENATE("Sum of ", D$8)),'h4'!$A$3,"ReportingLevel","1:LA","lvl",$B22),0)</f>
        <v>0</v>
      </c>
      <c r="E22" s="82">
        <f>IFERROR(GETPIVOTDATA((CONCATENATE("Sum of ", E$8)),'h4'!$A$3,"ReportingLevel","1:LA","lvl",$B22),0)</f>
        <v>0</v>
      </c>
      <c r="F22" s="82">
        <f>IFERROR(GETPIVOTDATA((CONCATENATE("Sum of ", F$8)),'h4'!$A$3,"ReportingLevel","1:LA","lvl",$B22),0)</f>
        <v>0</v>
      </c>
      <c r="G22" s="82">
        <f t="shared" si="1"/>
        <v>49</v>
      </c>
    </row>
    <row r="23" spans="1:7" ht="15" customHeight="1" x14ac:dyDescent="0.25">
      <c r="A23" s="573" t="s">
        <v>311</v>
      </c>
      <c r="B23" s="58" t="s">
        <v>39</v>
      </c>
      <c r="C23" s="82">
        <f>IFERROR(GETPIVOTDATA(("Sum of RBC"),Sheet8!B14,"ReportingLevel","1:LA","lvl",$B23),0)</f>
        <v>79</v>
      </c>
      <c r="D23" s="82">
        <f>IFERROR(GETPIVOTDATA((CONCATENATE("Sum of ", D$8)),'h4'!$A$3,"ReportingLevel","1:LA","lvl",$B23),0)</f>
        <v>0</v>
      </c>
      <c r="E23" s="82">
        <f>IFERROR(GETPIVOTDATA((CONCATENATE("Sum of ", E$8)),'h4'!$A$3,"ReportingLevel","1:LA","lvl",$B23),0)</f>
        <v>0</v>
      </c>
      <c r="F23" s="82">
        <f>IFERROR(GETPIVOTDATA((CONCATENATE("Sum of ", F$8)),'h4'!$A$3,"ReportingLevel","1:LA","lvl",$B23),0)</f>
        <v>0</v>
      </c>
      <c r="G23" s="82">
        <f t="shared" si="1"/>
        <v>79</v>
      </c>
    </row>
    <row r="24" spans="1:7" ht="15" customHeight="1" x14ac:dyDescent="0.25">
      <c r="A24" s="573" t="s">
        <v>285</v>
      </c>
      <c r="B24" s="58" t="s">
        <v>40</v>
      </c>
      <c r="C24" s="82">
        <f>IFERROR(GETPIVOTDATA(("Sum of RBC"),Sheet8!B15,"ReportingLevel","1:LA","lvl",$B24),0)</f>
        <v>25</v>
      </c>
      <c r="D24" s="82">
        <f>IFERROR(GETPIVOTDATA((CONCATENATE("Sum of ", D$8)),'h4'!$A$3,"ReportingLevel","1:LA","lvl",$B24),0)</f>
        <v>0</v>
      </c>
      <c r="E24" s="82">
        <f>IFERROR(GETPIVOTDATA((CONCATENATE("Sum of ", E$8)),'h4'!$A$3,"ReportingLevel","1:LA","lvl",$B24),0)</f>
        <v>0</v>
      </c>
      <c r="F24" s="82">
        <f>IFERROR(GETPIVOTDATA((CONCATENATE("Sum of ", F$8)),'h4'!$A$3,"ReportingLevel","1:LA","lvl",$B24),0)</f>
        <v>0</v>
      </c>
      <c r="G24" s="82">
        <f t="shared" si="1"/>
        <v>25</v>
      </c>
    </row>
    <row r="25" spans="1:7" ht="15" customHeight="1" x14ac:dyDescent="0.25">
      <c r="A25" s="573" t="s">
        <v>286</v>
      </c>
      <c r="B25" s="58" t="s">
        <v>41</v>
      </c>
      <c r="C25" s="82">
        <f>IFERROR(GETPIVOTDATA(("Sum of RBC"),Sheet8!B16,"ReportingLevel","1:LA","lvl",$B25),0)</f>
        <v>50</v>
      </c>
      <c r="D25" s="82">
        <f>IFERROR(GETPIVOTDATA((CONCATENATE("Sum of ", D$8)),'h4'!$A$3,"ReportingLevel","1:LA","lvl",$B25),0)</f>
        <v>0</v>
      </c>
      <c r="E25" s="82">
        <f>IFERROR(GETPIVOTDATA((CONCATENATE("Sum of ", E$8)),'h4'!$A$3,"ReportingLevel","1:LA","lvl",$B25),0)</f>
        <v>0</v>
      </c>
      <c r="F25" s="82">
        <f>IFERROR(GETPIVOTDATA((CONCATENATE("Sum of ", F$8)),'h4'!$A$3,"ReportingLevel","1:LA","lvl",$B25),0)</f>
        <v>0</v>
      </c>
      <c r="G25" s="82">
        <f t="shared" si="1"/>
        <v>50</v>
      </c>
    </row>
    <row r="26" spans="1:7" ht="15" customHeight="1" x14ac:dyDescent="0.25">
      <c r="A26" s="573" t="s">
        <v>288</v>
      </c>
      <c r="B26" s="58" t="s">
        <v>42</v>
      </c>
      <c r="C26" s="82">
        <f>IFERROR(GETPIVOTDATA(("Sum of RBC"),Sheet8!B17,"ReportingLevel","1:LA","lvl",$B26),0)</f>
        <v>88</v>
      </c>
      <c r="D26" s="82">
        <f>IFERROR(GETPIVOTDATA((CONCATENATE("Sum of ", D$8)),'h4'!$A$3,"ReportingLevel","1:LA","lvl",$B26),0)</f>
        <v>0</v>
      </c>
      <c r="E26" s="82">
        <f>IFERROR(GETPIVOTDATA((CONCATENATE("Sum of ", E$8)),'h4'!$A$3,"ReportingLevel","1:LA","lvl",$B26),0)</f>
        <v>0</v>
      </c>
      <c r="F26" s="82">
        <f>IFERROR(GETPIVOTDATA((CONCATENATE("Sum of ", F$8)),'h4'!$A$3,"ReportingLevel","1:LA","lvl",$B26),0)</f>
        <v>0</v>
      </c>
      <c r="G26" s="82">
        <f t="shared" si="1"/>
        <v>88</v>
      </c>
    </row>
    <row r="27" spans="1:7" ht="15" customHeight="1" x14ac:dyDescent="0.25">
      <c r="A27" s="573" t="s">
        <v>313</v>
      </c>
      <c r="B27" s="58" t="s">
        <v>43</v>
      </c>
      <c r="C27" s="82">
        <f>IFERROR(GETPIVOTDATA(("Sum of RBC"),Sheet8!B18,"ReportingLevel","1:LA","lvl",$B27),0)</f>
        <v>269</v>
      </c>
      <c r="D27" s="82">
        <f>IFERROR(GETPIVOTDATA((CONCATENATE("Sum of ", D$8)),'h4'!$A$3,"ReportingLevel","1:LA","lvl",$B27),0)</f>
        <v>0</v>
      </c>
      <c r="E27" s="82">
        <f>IFERROR(GETPIVOTDATA((CONCATENATE("Sum of ", E$8)),'h4'!$A$3,"ReportingLevel","1:LA","lvl",$B27),0)</f>
        <v>0</v>
      </c>
      <c r="F27" s="82">
        <f>IFERROR(GETPIVOTDATA((CONCATENATE("Sum of ", F$8)),'h4'!$A$3,"ReportingLevel","1:LA","lvl",$B27),0)</f>
        <v>0</v>
      </c>
      <c r="G27" s="82">
        <f t="shared" si="1"/>
        <v>269</v>
      </c>
    </row>
    <row r="28" spans="1:7" ht="15" customHeight="1" x14ac:dyDescent="0.25">
      <c r="A28" s="573" t="str">
        <f>IF(A11 = "2018-19","S12000046","S12000049")</f>
        <v>S12000049</v>
      </c>
      <c r="B28" s="58" t="s">
        <v>121</v>
      </c>
      <c r="C28" s="82">
        <f>IFERROR(GETPIVOTDATA(("Sum of RBC"),Sheet8!B19,"ReportingLevel","1:LA","lvl",$B28),0)</f>
        <v>517</v>
      </c>
      <c r="D28" s="82">
        <f>IFERROR(GETPIVOTDATA((CONCATENATE("Sum of ", D$8)),'h4'!$A$3,"ReportingLevel","1:LA","lvl",$B28),0)</f>
        <v>0</v>
      </c>
      <c r="E28" s="82">
        <f>IFERROR(GETPIVOTDATA((CONCATENATE("Sum of ", E$8)),'h4'!$A$3,"ReportingLevel","1:LA","lvl",$B28),0)</f>
        <v>0</v>
      </c>
      <c r="F28" s="82">
        <f>IFERROR(GETPIVOTDATA((CONCATENATE("Sum of ", F$8)),'h4'!$A$3,"ReportingLevel","1:LA","lvl",$B28),0)</f>
        <v>0</v>
      </c>
      <c r="G28" s="82">
        <f t="shared" si="1"/>
        <v>517</v>
      </c>
    </row>
    <row r="29" spans="1:7" ht="15" customHeight="1" x14ac:dyDescent="0.25">
      <c r="A29" s="573" t="s">
        <v>289</v>
      </c>
      <c r="B29" s="58" t="s">
        <v>44</v>
      </c>
      <c r="C29" s="82">
        <f>IFERROR(GETPIVOTDATA(("Sum of RBC"),Sheet8!B20,"ReportingLevel","1:LA","lvl",$B29),0)</f>
        <v>71</v>
      </c>
      <c r="D29" s="82">
        <f>IFERROR(GETPIVOTDATA((CONCATENATE("Sum of ", D$8)),'h4'!$A$3,"ReportingLevel","1:LA","lvl",$B29),0)</f>
        <v>0</v>
      </c>
      <c r="E29" s="82">
        <f>IFERROR(GETPIVOTDATA((CONCATENATE("Sum of ", E$8)),'h4'!$A$3,"ReportingLevel","1:LA","lvl",$B29),0)</f>
        <v>0</v>
      </c>
      <c r="F29" s="82">
        <f>IFERROR(GETPIVOTDATA((CONCATENATE("Sum of ", F$8)),'h4'!$A$3,"ReportingLevel","1:LA","lvl",$B29),0)</f>
        <v>0</v>
      </c>
      <c r="G29" s="82">
        <f t="shared" si="1"/>
        <v>71</v>
      </c>
    </row>
    <row r="30" spans="1:7" ht="15" customHeight="1" x14ac:dyDescent="0.25">
      <c r="A30" s="573" t="s">
        <v>290</v>
      </c>
      <c r="B30" s="58" t="s">
        <v>45</v>
      </c>
      <c r="C30" s="82">
        <f>IFERROR(GETPIVOTDATA(("Sum of RBC"),Sheet8!B21,"ReportingLevel","1:LA","lvl",$B30),0)</f>
        <v>70</v>
      </c>
      <c r="D30" s="82">
        <f>IFERROR(GETPIVOTDATA((CONCATENATE("Sum of ", D$8)),'h4'!$A$3,"ReportingLevel","1:LA","lvl",$B30),0)</f>
        <v>0</v>
      </c>
      <c r="E30" s="82">
        <f>IFERROR(GETPIVOTDATA((CONCATENATE("Sum of ", E$8)),'h4'!$A$3,"ReportingLevel","1:LA","lvl",$B30),0)</f>
        <v>0</v>
      </c>
      <c r="F30" s="82">
        <f>IFERROR(GETPIVOTDATA((CONCATENATE("Sum of ", F$8)),'h4'!$A$3,"ReportingLevel","1:LA","lvl",$B30),0)</f>
        <v>0</v>
      </c>
      <c r="G30" s="82">
        <f t="shared" si="1"/>
        <v>70</v>
      </c>
    </row>
    <row r="31" spans="1:7" ht="15" customHeight="1" x14ac:dyDescent="0.25">
      <c r="A31" s="573" t="s">
        <v>291</v>
      </c>
      <c r="B31" s="58" t="s">
        <v>46</v>
      </c>
      <c r="C31" s="82">
        <f>IFERROR(GETPIVOTDATA(("Sum of RBC"),Sheet8!B22,"ReportingLevel","1:LA","lvl",$B31),0)</f>
        <v>26</v>
      </c>
      <c r="D31" s="82">
        <f>IFERROR(GETPIVOTDATA((CONCATENATE("Sum of ", D$8)),'h4'!$A$3,"ReportingLevel","1:LA","lvl",$B31),0)</f>
        <v>0</v>
      </c>
      <c r="E31" s="82">
        <f>IFERROR(GETPIVOTDATA((CONCATENATE("Sum of ", E$8)),'h4'!$A$3,"ReportingLevel","1:LA","lvl",$B31),0)</f>
        <v>0</v>
      </c>
      <c r="F31" s="82">
        <f>IFERROR(GETPIVOTDATA((CONCATENATE("Sum of ", F$8)),'h4'!$A$3,"ReportingLevel","1:LA","lvl",$B31),0)</f>
        <v>0</v>
      </c>
      <c r="G31" s="82">
        <f t="shared" si="1"/>
        <v>26</v>
      </c>
    </row>
    <row r="32" spans="1:7" ht="15" customHeight="1" x14ac:dyDescent="0.25">
      <c r="A32" s="573" t="s">
        <v>292</v>
      </c>
      <c r="B32" s="58" t="s">
        <v>47</v>
      </c>
      <c r="C32" s="82">
        <f>IFERROR(GETPIVOTDATA(("Sum of RBC"),Sheet8!B23,"ReportingLevel","1:LA","lvl",$B32),0)</f>
        <v>30</v>
      </c>
      <c r="D32" s="82">
        <f>IFERROR(GETPIVOTDATA((CONCATENATE("Sum of ", D$8)),'h4'!$A$3,"ReportingLevel","1:LA","lvl",$B32),0)</f>
        <v>0</v>
      </c>
      <c r="E32" s="82">
        <f>IFERROR(GETPIVOTDATA((CONCATENATE("Sum of ", E$8)),'h4'!$A$3,"ReportingLevel","1:LA","lvl",$B32),0)</f>
        <v>0</v>
      </c>
      <c r="F32" s="82">
        <f>IFERROR(GETPIVOTDATA((CONCATENATE("Sum of ", F$8)),'h4'!$A$3,"ReportingLevel","1:LA","lvl",$B32),0)</f>
        <v>0</v>
      </c>
      <c r="G32" s="82">
        <f t="shared" si="1"/>
        <v>30</v>
      </c>
    </row>
    <row r="33" spans="1:7" ht="15" customHeight="1" x14ac:dyDescent="0.25">
      <c r="A33" s="573" t="s">
        <v>287</v>
      </c>
      <c r="B33" s="58" t="s">
        <v>48</v>
      </c>
      <c r="C33" s="82">
        <f>IFERROR(GETPIVOTDATA(("Sum of RBC"),Sheet8!B24,"ReportingLevel","1:LA","lvl",$B33),0)</f>
        <v>0</v>
      </c>
      <c r="D33" s="82">
        <f>IFERROR(GETPIVOTDATA((CONCATENATE("Sum of ", D$8)),'h4'!$A$3,"ReportingLevel","1:LA","lvl",$B33),0)</f>
        <v>0</v>
      </c>
      <c r="E33" s="82">
        <f>IFERROR(GETPIVOTDATA((CONCATENATE("Sum of ", E$8)),'h4'!$A$3,"ReportingLevel","1:LA","lvl",$B33),0)</f>
        <v>0</v>
      </c>
      <c r="F33" s="82">
        <f>IFERROR(GETPIVOTDATA((CONCATENATE("Sum of ", F$8)),'h4'!$A$3,"ReportingLevel","1:LA","lvl",$B33),0)</f>
        <v>0</v>
      </c>
      <c r="G33" s="82">
        <f t="shared" si="1"/>
        <v>0</v>
      </c>
    </row>
    <row r="34" spans="1:7" ht="15" customHeight="1" x14ac:dyDescent="0.25">
      <c r="A34" s="573" t="s">
        <v>293</v>
      </c>
      <c r="B34" s="58" t="s">
        <v>49</v>
      </c>
      <c r="C34" s="82">
        <f>IFERROR(GETPIVOTDATA(("Sum of RBC"),Sheet8!B25,"ReportingLevel","1:LA","lvl",$B34),0)</f>
        <v>75</v>
      </c>
      <c r="D34" s="82">
        <f>IFERROR(GETPIVOTDATA((CONCATENATE("Sum of ", D$8)),'h4'!$A$3,"ReportingLevel","1:LA","lvl",$B34),0)</f>
        <v>0</v>
      </c>
      <c r="E34" s="82">
        <f>IFERROR(GETPIVOTDATA((CONCATENATE("Sum of ", E$8)),'h4'!$A$3,"ReportingLevel","1:LA","lvl",$B34),0)</f>
        <v>0</v>
      </c>
      <c r="F34" s="82">
        <f>IFERROR(GETPIVOTDATA((CONCATENATE("Sum of ", F$8)),'h4'!$A$3,"ReportingLevel","1:LA","lvl",$B34),0)</f>
        <v>0</v>
      </c>
      <c r="G34" s="82">
        <f t="shared" si="1"/>
        <v>75</v>
      </c>
    </row>
    <row r="35" spans="1:7" ht="15" customHeight="1" x14ac:dyDescent="0.25">
      <c r="A35" s="573" t="str">
        <f>IF(A11="2018-19","S12000044","S12000050")</f>
        <v>S12000050</v>
      </c>
      <c r="B35" s="58" t="s">
        <v>50</v>
      </c>
      <c r="C35" s="82">
        <f>IFERROR(GETPIVOTDATA(("Sum of RBC"),Sheet8!B26,"ReportingLevel","1:LA","lvl",$B35),0)</f>
        <v>163</v>
      </c>
      <c r="D35" s="82">
        <f>IFERROR(GETPIVOTDATA((CONCATENATE("Sum of ", D$8)),'h4'!$A$3,"ReportingLevel","1:LA","lvl",$B35),0)</f>
        <v>0</v>
      </c>
      <c r="E35" s="82">
        <f>IFERROR(GETPIVOTDATA((CONCATENATE("Sum of ", E$8)),'h4'!$A$3,"ReportingLevel","1:LA","lvl",$B35),0)</f>
        <v>0</v>
      </c>
      <c r="F35" s="82">
        <f>IFERROR(GETPIVOTDATA((CONCATENATE("Sum of ", F$8)),'h4'!$A$3,"ReportingLevel","1:LA","lvl",$B35),0)</f>
        <v>0</v>
      </c>
      <c r="G35" s="82">
        <f t="shared" si="1"/>
        <v>163</v>
      </c>
    </row>
    <row r="36" spans="1:7" ht="15" customHeight="1" x14ac:dyDescent="0.25">
      <c r="A36" s="573" t="s">
        <v>294</v>
      </c>
      <c r="B36" s="58" t="s">
        <v>51</v>
      </c>
      <c r="C36" s="82">
        <f>IFERROR(GETPIVOTDATA(("Sum of RBC"),Sheet8!B27,"ReportingLevel","1:LA","lvl",$B36),0)</f>
        <v>0</v>
      </c>
      <c r="D36" s="82">
        <f>IFERROR(GETPIVOTDATA((CONCATENATE("Sum of ", D$8)),'h4'!$A$3,"ReportingLevel","1:LA","lvl",$B36),0)</f>
        <v>0</v>
      </c>
      <c r="E36" s="82">
        <f>IFERROR(GETPIVOTDATA((CONCATENATE("Sum of ", E$8)),'h4'!$A$3,"ReportingLevel","1:LA","lvl",$B36),0)</f>
        <v>0</v>
      </c>
      <c r="F36" s="82">
        <f>IFERROR(GETPIVOTDATA((CONCATENATE("Sum of ", F$8)),'h4'!$A$3,"ReportingLevel","1:LA","lvl",$B36),0)</f>
        <v>0</v>
      </c>
      <c r="G36" s="82">
        <f t="shared" si="1"/>
        <v>0</v>
      </c>
    </row>
    <row r="37" spans="1:7" ht="15" customHeight="1" x14ac:dyDescent="0.25">
      <c r="A37" s="573" t="s">
        <v>295</v>
      </c>
      <c r="B37" s="58" t="s">
        <v>52</v>
      </c>
      <c r="C37" s="82">
        <f>IFERROR(GETPIVOTDATA(("Sum of RBC"),Sheet8!B28,"ReportingLevel","1:LA","lvl",$B37),0)</f>
        <v>67</v>
      </c>
      <c r="D37" s="82">
        <f>IFERROR(GETPIVOTDATA((CONCATENATE("Sum of ", D$8)),'h4'!$A$3,"ReportingLevel","1:LA","lvl",$B37),0)</f>
        <v>0</v>
      </c>
      <c r="E37" s="82">
        <f>IFERROR(GETPIVOTDATA((CONCATENATE("Sum of ", E$8)),'h4'!$A$3,"ReportingLevel","1:LA","lvl",$B37),0)</f>
        <v>0</v>
      </c>
      <c r="F37" s="82">
        <f>IFERROR(GETPIVOTDATA((CONCATENATE("Sum of ", F$8)),'h4'!$A$3,"ReportingLevel","1:LA","lvl",$B37),0)</f>
        <v>0</v>
      </c>
      <c r="G37" s="82">
        <f t="shared" si="1"/>
        <v>67</v>
      </c>
    </row>
    <row r="38" spans="1:7" ht="15" customHeight="1" x14ac:dyDescent="0.25">
      <c r="A38" s="573" t="s">
        <v>305</v>
      </c>
      <c r="B38" s="58" t="s">
        <v>53</v>
      </c>
      <c r="C38" s="82">
        <f>IFERROR(GETPIVOTDATA(("Sum of RBC"),Sheet8!B29,"ReportingLevel","1:LA","lvl",$B38),0)</f>
        <v>102</v>
      </c>
      <c r="D38" s="82">
        <f>IFERROR(GETPIVOTDATA((CONCATENATE("Sum of ", D$8)),'h4'!$A$3,"ReportingLevel","1:LA","lvl",$B38),0)</f>
        <v>0</v>
      </c>
      <c r="E38" s="82">
        <f>IFERROR(GETPIVOTDATA((CONCATENATE("Sum of ", E$8)),'h4'!$A$3,"ReportingLevel","1:LA","lvl",$B38),0)</f>
        <v>0</v>
      </c>
      <c r="F38" s="82">
        <f>IFERROR(GETPIVOTDATA((CONCATENATE("Sum of ", F$8)),'h4'!$A$3,"ReportingLevel","1:LA","lvl",$B38),0)</f>
        <v>0</v>
      </c>
      <c r="G38" s="82">
        <f t="shared" si="1"/>
        <v>102</v>
      </c>
    </row>
    <row r="39" spans="1:7" ht="15" customHeight="1" x14ac:dyDescent="0.25">
      <c r="A39" s="573" t="s">
        <v>296</v>
      </c>
      <c r="B39" s="58" t="s">
        <v>54</v>
      </c>
      <c r="C39" s="82">
        <f>IFERROR(GETPIVOTDATA(("Sum of RBC"),Sheet8!B30,"ReportingLevel","1:LA","lvl",$B39),0)</f>
        <v>53</v>
      </c>
      <c r="D39" s="82">
        <f>IFERROR(GETPIVOTDATA((CONCATENATE("Sum of ", D$8)),'h4'!$A$3,"ReportingLevel","1:LA","lvl",$B39),0)</f>
        <v>0</v>
      </c>
      <c r="E39" s="82">
        <f>IFERROR(GETPIVOTDATA((CONCATENATE("Sum of ", E$8)),'h4'!$A$3,"ReportingLevel","1:LA","lvl",$B39),0)</f>
        <v>0</v>
      </c>
      <c r="F39" s="82">
        <f>IFERROR(GETPIVOTDATA((CONCATENATE("Sum of ", F$8)),'h4'!$A$3,"ReportingLevel","1:LA","lvl",$B39),0)</f>
        <v>0</v>
      </c>
      <c r="G39" s="82">
        <f t="shared" si="1"/>
        <v>53</v>
      </c>
    </row>
    <row r="40" spans="1:7" ht="15" customHeight="1" x14ac:dyDescent="0.25">
      <c r="A40" s="573" t="s">
        <v>297</v>
      </c>
      <c r="B40" s="58" t="s">
        <v>55</v>
      </c>
      <c r="C40" s="82">
        <f>IFERROR(GETPIVOTDATA(("Sum of RBC"),Sheet8!B31,"ReportingLevel","1:LA","lvl",$B40),0)</f>
        <v>0</v>
      </c>
      <c r="D40" s="82">
        <f>IFERROR(GETPIVOTDATA((CONCATENATE("Sum of ", D$8)),'h4'!$A$3,"ReportingLevel","1:LA","lvl",$B40),0)</f>
        <v>0</v>
      </c>
      <c r="E40" s="82">
        <f>IFERROR(GETPIVOTDATA((CONCATENATE("Sum of ", E$8)),'h4'!$A$3,"ReportingLevel","1:LA","lvl",$B40),0)</f>
        <v>0</v>
      </c>
      <c r="F40" s="82">
        <f>IFERROR(GETPIVOTDATA((CONCATENATE("Sum of ", F$8)),'h4'!$A$3,"ReportingLevel","1:LA","lvl",$B40),0)</f>
        <v>0</v>
      </c>
      <c r="G40" s="82">
        <f t="shared" si="1"/>
        <v>0</v>
      </c>
    </row>
    <row r="41" spans="1:7" ht="15" customHeight="1" x14ac:dyDescent="0.25">
      <c r="A41" s="573" t="s">
        <v>298</v>
      </c>
      <c r="B41" s="58" t="s">
        <v>56</v>
      </c>
      <c r="C41" s="82">
        <f>IFERROR(GETPIVOTDATA(("Sum of RBC"),Sheet8!B32,"ReportingLevel","1:LA","lvl",$B41),0)</f>
        <v>50</v>
      </c>
      <c r="D41" s="82">
        <f>IFERROR(GETPIVOTDATA((CONCATENATE("Sum of ", D$8)),'h4'!$A$3,"ReportingLevel","1:LA","lvl",$B41),0)</f>
        <v>0</v>
      </c>
      <c r="E41" s="82">
        <f>IFERROR(GETPIVOTDATA((CONCATENATE("Sum of ", E$8)),'h4'!$A$3,"ReportingLevel","1:LA","lvl",$B41),0)</f>
        <v>0</v>
      </c>
      <c r="F41" s="82">
        <f>IFERROR(GETPIVOTDATA((CONCATENATE("Sum of ", F$8)),'h4'!$A$3,"ReportingLevel","1:LA","lvl",$B41),0)</f>
        <v>0</v>
      </c>
      <c r="G41" s="82">
        <f t="shared" si="1"/>
        <v>50</v>
      </c>
    </row>
    <row r="42" spans="1:7" ht="15" customHeight="1" x14ac:dyDescent="0.25">
      <c r="A42" s="573" t="s">
        <v>299</v>
      </c>
      <c r="B42" s="58" t="s">
        <v>57</v>
      </c>
      <c r="C42" s="82">
        <f>IFERROR(GETPIVOTDATA(("Sum of RBC"),Sheet8!B33,"ReportingLevel","1:LA","lvl",$B42),0)</f>
        <v>168</v>
      </c>
      <c r="D42" s="82">
        <f>IFERROR(GETPIVOTDATA((CONCATENATE("Sum of ", D$8)),'h4'!$A$3,"ReportingLevel","1:LA","lvl",$B42),0)</f>
        <v>0</v>
      </c>
      <c r="E42" s="82">
        <f>IFERROR(GETPIVOTDATA((CONCATENATE("Sum of ", E$8)),'h4'!$A$3,"ReportingLevel","1:LA","lvl",$B42),0)</f>
        <v>0</v>
      </c>
      <c r="F42" s="82">
        <f>IFERROR(GETPIVOTDATA((CONCATENATE("Sum of ", F$8)),'h4'!$A$3,"ReportingLevel","1:LA","lvl",$B42),0)</f>
        <v>0</v>
      </c>
      <c r="G42" s="82">
        <f t="shared" si="1"/>
        <v>168</v>
      </c>
    </row>
    <row r="43" spans="1:7" ht="15" customHeight="1" x14ac:dyDescent="0.25">
      <c r="A43" s="573" t="s">
        <v>300</v>
      </c>
      <c r="B43" s="58" t="s">
        <v>58</v>
      </c>
      <c r="C43" s="82">
        <f>IFERROR(GETPIVOTDATA(("Sum of RBC"),Sheet8!B34,"ReportingLevel","1:LA","lvl",$B43),0)</f>
        <v>51</v>
      </c>
      <c r="D43" s="82">
        <f>IFERROR(GETPIVOTDATA((CONCATENATE("Sum of ", D$8)),'h4'!$A$3,"ReportingLevel","1:LA","lvl",$B43),0)</f>
        <v>0</v>
      </c>
      <c r="E43" s="82">
        <f>IFERROR(GETPIVOTDATA((CONCATENATE("Sum of ", E$8)),'h4'!$A$3,"ReportingLevel","1:LA","lvl",$B43),0)</f>
        <v>0</v>
      </c>
      <c r="F43" s="82">
        <f>IFERROR(GETPIVOTDATA((CONCATENATE("Sum of ", F$8)),'h4'!$A$3,"ReportingLevel","1:LA","lvl",$B43),0)</f>
        <v>0</v>
      </c>
      <c r="G43" s="82">
        <f t="shared" si="1"/>
        <v>51</v>
      </c>
    </row>
    <row r="44" spans="1:7" ht="15" customHeight="1" x14ac:dyDescent="0.25">
      <c r="A44" s="573" t="s">
        <v>306</v>
      </c>
      <c r="B44" s="58" t="s">
        <v>59</v>
      </c>
      <c r="C44" s="82">
        <f>IFERROR(GETPIVOTDATA(("Sum of RBC"),Sheet8!B35,"ReportingLevel","1:LA","lvl",$B44),0)</f>
        <v>73</v>
      </c>
      <c r="D44" s="82">
        <f>IFERROR(GETPIVOTDATA((CONCATENATE("Sum of ", D$8)),'h4'!$A$3,"ReportingLevel","1:LA","lvl",$B44),0)</f>
        <v>0</v>
      </c>
      <c r="E44" s="82">
        <f>IFERROR(GETPIVOTDATA((CONCATENATE("Sum of ", E$8)),'h4'!$A$3,"ReportingLevel","1:LA","lvl",$B44),0)</f>
        <v>0</v>
      </c>
      <c r="F44" s="82">
        <f>IFERROR(GETPIVOTDATA((CONCATENATE("Sum of ", F$8)),'h4'!$A$3,"ReportingLevel","1:LA","lvl",$B44),0)</f>
        <v>0</v>
      </c>
      <c r="G44" s="82">
        <f t="shared" si="1"/>
        <v>73</v>
      </c>
    </row>
    <row r="45" spans="1:7" ht="15" customHeight="1" x14ac:dyDescent="0.25">
      <c r="A45" s="573" t="s">
        <v>307</v>
      </c>
      <c r="B45" s="58" t="s">
        <v>60</v>
      </c>
      <c r="C45" s="82">
        <f>IFERROR(GETPIVOTDATA(("Sum of RBC"),Sheet8!B36,"ReportingLevel","1:LA","lvl",$B45),0)</f>
        <v>58</v>
      </c>
      <c r="D45" s="82">
        <f>IFERROR(GETPIVOTDATA((CONCATENATE("Sum of ", D$8)),'h4'!$A$3,"ReportingLevel","1:LA","lvl",$B45),0)</f>
        <v>0</v>
      </c>
      <c r="E45" s="82">
        <f>IFERROR(GETPIVOTDATA((CONCATENATE("Sum of ", E$8)),'h4'!$A$3,"ReportingLevel","1:LA","lvl",$B45),0)</f>
        <v>0</v>
      </c>
      <c r="F45" s="82">
        <f>IFERROR(GETPIVOTDATA((CONCATENATE("Sum of ", F$8)),'h4'!$A$3,"ReportingLevel","1:LA","lvl",$B45),0)</f>
        <v>0</v>
      </c>
      <c r="G45" s="82">
        <f t="shared" si="1"/>
        <v>58</v>
      </c>
    </row>
    <row r="46" spans="1:7" ht="30" customHeight="1" thickBot="1" x14ac:dyDescent="0.3">
      <c r="A46" s="62"/>
      <c r="B46" s="62" t="s">
        <v>61</v>
      </c>
      <c r="C46" s="86">
        <f t="shared" ref="C46:F46" si="2">SUM(C14:C45)</f>
        <v>2966</v>
      </c>
      <c r="D46" s="86">
        <f t="shared" si="2"/>
        <v>0</v>
      </c>
      <c r="E46" s="86">
        <f t="shared" si="2"/>
        <v>0</v>
      </c>
      <c r="F46" s="86">
        <f t="shared" si="2"/>
        <v>0</v>
      </c>
      <c r="G46" s="86">
        <f t="shared" si="1"/>
        <v>2966</v>
      </c>
    </row>
    <row r="47" spans="1:7" ht="22.5" customHeight="1" x14ac:dyDescent="0.25">
      <c r="A47" s="64"/>
      <c r="B47" s="64"/>
      <c r="C47" s="87"/>
      <c r="D47" s="87"/>
      <c r="E47" s="87"/>
      <c r="F47" s="66"/>
      <c r="G47" s="66"/>
    </row>
    <row r="48" spans="1:7" ht="15" customHeight="1" x14ac:dyDescent="0.25">
      <c r="A48" s="65" t="s">
        <v>516</v>
      </c>
      <c r="B48" s="65" t="s">
        <v>62</v>
      </c>
      <c r="C48" s="54"/>
      <c r="D48" s="54"/>
      <c r="E48" s="54"/>
      <c r="F48" s="54"/>
      <c r="G48" s="54"/>
    </row>
    <row r="49" spans="1:7" ht="15" customHeight="1" x14ac:dyDescent="0.25">
      <c r="A49" s="574" t="s">
        <v>369</v>
      </c>
      <c r="B49" s="67" t="s">
        <v>31</v>
      </c>
      <c r="C49" s="415">
        <f>IFERROR(GETPIVOTDATA(("Sum of RBC"),Sheet8!$A$3,"ReportingLevel","2:LSO","lvl",$B49),0)</f>
        <v>0</v>
      </c>
      <c r="D49" s="415">
        <f>IFERROR(GETPIVOTDATA(("Sum of FDS"),Sheet8!$A$3,"ReportingLevel","2:LSO","lvl",$B49),0)</f>
        <v>6</v>
      </c>
      <c r="E49" s="415">
        <f>IFERROR(GETPIVOTDATA(("Sum of DD"),Sheet8!$A$3,"ReportingLevel","2:LSO","lvl",$B49),0)</f>
        <v>7</v>
      </c>
      <c r="F49" s="415">
        <f>IFERROR(GETPIVOTDATA(("Sum of WT Trainee"),Sheet8!$A$3,"ReportingLevel","2:LSO","lvl",$B49),0)</f>
        <v>0</v>
      </c>
      <c r="G49" s="415">
        <f>SUM(C49:F49)</f>
        <v>13</v>
      </c>
    </row>
    <row r="50" spans="1:7" ht="15" customHeight="1" x14ac:dyDescent="0.25">
      <c r="A50" s="575" t="s">
        <v>370</v>
      </c>
      <c r="B50" s="69" t="s">
        <v>63</v>
      </c>
      <c r="C50" s="82">
        <f>IFERROR(GETPIVOTDATA(("Sum of RBC"),Sheet8!$A$3,"ReportingLevel","2:LSO","lvl",$B50),0)</f>
        <v>0</v>
      </c>
      <c r="D50" s="82">
        <f>IFERROR(GETPIVOTDATA(("Sum of FDS"),Sheet8!$A$3,"ReportingLevel","2:LSO","lvl",$B50),0)</f>
        <v>13</v>
      </c>
      <c r="E50" s="82">
        <f>IFERROR(GETPIVOTDATA(("Sum of DD"),Sheet8!$A$3,"ReportingLevel","2:LSO","lvl",$B50),0)</f>
        <v>12</v>
      </c>
      <c r="F50" s="82">
        <f>IFERROR(GETPIVOTDATA(("Sum of WT Trainee"),Sheet8!$A$3,"ReportingLevel","2:LSO","lvl",$B50),0)</f>
        <v>0</v>
      </c>
      <c r="G50" s="82">
        <f t="shared" ref="G50:G66" si="3">SUM(C50:F50)</f>
        <v>25</v>
      </c>
    </row>
    <row r="51" spans="1:7" ht="15" customHeight="1" x14ac:dyDescent="0.25">
      <c r="A51" s="575" t="s">
        <v>372</v>
      </c>
      <c r="B51" s="69" t="s">
        <v>64</v>
      </c>
      <c r="C51" s="82">
        <f>IFERROR(GETPIVOTDATA(("Sum of RBC"),Sheet8!$A$3,"ReportingLevel","2:LSO","lvl",$B51),0)</f>
        <v>0</v>
      </c>
      <c r="D51" s="82">
        <f>IFERROR(GETPIVOTDATA(("Sum of FDS"),Sheet8!$A$3,"ReportingLevel","2:LSO","lvl",$B51),0)</f>
        <v>12</v>
      </c>
      <c r="E51" s="82">
        <f>IFERROR(GETPIVOTDATA(("Sum of DD"),Sheet8!$A$3,"ReportingLevel","2:LSO","lvl",$B51),0)</f>
        <v>16</v>
      </c>
      <c r="F51" s="82">
        <f>IFERROR(GETPIVOTDATA(("Sum of WT Trainee"),Sheet8!$A$3,"ReportingLevel","2:LSO","lvl",$B51),0)</f>
        <v>0</v>
      </c>
      <c r="G51" s="82">
        <f t="shared" si="3"/>
        <v>28</v>
      </c>
    </row>
    <row r="52" spans="1:7" ht="15" customHeight="1" x14ac:dyDescent="0.25">
      <c r="A52" s="575" t="s">
        <v>373</v>
      </c>
      <c r="B52" s="69" t="s">
        <v>36</v>
      </c>
      <c r="C52" s="82">
        <f>IFERROR(GETPIVOTDATA(("Sum of RBC"),Sheet8!$A$3,"ReportingLevel","2:LSO","lvl",$B52),0)</f>
        <v>0</v>
      </c>
      <c r="D52" s="82">
        <f>IFERROR(GETPIVOTDATA(("Sum of FDS"),Sheet8!$A$3,"ReportingLevel","2:LSO","lvl",$B52),0)</f>
        <v>9</v>
      </c>
      <c r="E52" s="82">
        <f>IFERROR(GETPIVOTDATA(("Sum of DD"),Sheet8!$A$3,"ReportingLevel","2:LSO","lvl",$B52),0)</f>
        <v>13</v>
      </c>
      <c r="F52" s="82">
        <f>IFERROR(GETPIVOTDATA(("Sum of WT Trainee"),Sheet8!$A$3,"ReportingLevel","2:LSO","lvl",$B52),0)</f>
        <v>0</v>
      </c>
      <c r="G52" s="82">
        <f t="shared" si="3"/>
        <v>22</v>
      </c>
    </row>
    <row r="53" spans="1:7" ht="15" customHeight="1" x14ac:dyDescent="0.25">
      <c r="A53" s="575" t="s">
        <v>371</v>
      </c>
      <c r="B53" s="69" t="s">
        <v>65</v>
      </c>
      <c r="C53" s="82">
        <f>IFERROR(GETPIVOTDATA(("Sum of RBC"),Sheet8!$A$3,"ReportingLevel","2:LSO","lvl",$B53),0)</f>
        <v>0</v>
      </c>
      <c r="D53" s="82">
        <f>IFERROR(GETPIVOTDATA(("Sum of FDS"),Sheet8!$A$3,"ReportingLevel","2:LSO","lvl",$B53),0)</f>
        <v>14</v>
      </c>
      <c r="E53" s="82">
        <f>IFERROR(GETPIVOTDATA(("Sum of DD"),Sheet8!$A$3,"ReportingLevel","2:LSO","lvl",$B53),0)</f>
        <v>17</v>
      </c>
      <c r="F53" s="82">
        <f>IFERROR(GETPIVOTDATA(("Sum of WT Trainee"),Sheet8!$A$3,"ReportingLevel","2:LSO","lvl",$B53),0)</f>
        <v>0</v>
      </c>
      <c r="G53" s="82">
        <f t="shared" si="3"/>
        <v>31</v>
      </c>
    </row>
    <row r="54" spans="1:7" ht="15" customHeight="1" x14ac:dyDescent="0.25">
      <c r="A54" s="575" t="s">
        <v>374</v>
      </c>
      <c r="B54" s="69" t="s">
        <v>66</v>
      </c>
      <c r="C54" s="82">
        <f>IFERROR(GETPIVOTDATA(("Sum of RBC"),Sheet8!$A$3,"ReportingLevel","2:LSO","lvl",$B54),0)</f>
        <v>0</v>
      </c>
      <c r="D54" s="82">
        <f>IFERROR(GETPIVOTDATA(("Sum of FDS"),Sheet8!$A$3,"ReportingLevel","2:LSO","lvl",$B54),0)</f>
        <v>14</v>
      </c>
      <c r="E54" s="82">
        <f>IFERROR(GETPIVOTDATA(("Sum of DD"),Sheet8!$A$3,"ReportingLevel","2:LSO","lvl",$B54),0)</f>
        <v>14</v>
      </c>
      <c r="F54" s="82">
        <f>IFERROR(GETPIVOTDATA(("Sum of WT Trainee"),Sheet8!$A$3,"ReportingLevel","2:LSO","lvl",$B54),0)</f>
        <v>0</v>
      </c>
      <c r="G54" s="82">
        <f t="shared" si="3"/>
        <v>28</v>
      </c>
    </row>
    <row r="55" spans="1:7" ht="15" customHeight="1" x14ac:dyDescent="0.25">
      <c r="A55" s="575" t="s">
        <v>375</v>
      </c>
      <c r="B55" s="69" t="s">
        <v>67</v>
      </c>
      <c r="C55" s="82">
        <f>IFERROR(GETPIVOTDATA(("Sum of RBC"),Sheet8!$A$3,"ReportingLevel","2:LSO","lvl",$B55),0)</f>
        <v>0</v>
      </c>
      <c r="D55" s="82">
        <f>IFERROR(GETPIVOTDATA(("Sum of FDS"),Sheet8!$A$3,"ReportingLevel","2:LSO","lvl",$B55),0)</f>
        <v>11</v>
      </c>
      <c r="E55" s="82">
        <f>IFERROR(GETPIVOTDATA(("Sum of DD"),Sheet8!$A$3,"ReportingLevel","2:LSO","lvl",$B55),0)</f>
        <v>18</v>
      </c>
      <c r="F55" s="82">
        <f>IFERROR(GETPIVOTDATA(("Sum of WT Trainee"),Sheet8!$A$3,"ReportingLevel","2:LSO","lvl",$B55),0)</f>
        <v>0</v>
      </c>
      <c r="G55" s="82">
        <f t="shared" si="3"/>
        <v>29</v>
      </c>
    </row>
    <row r="56" spans="1:7" ht="15" customHeight="1" x14ac:dyDescent="0.25">
      <c r="A56" s="522" t="s">
        <v>376</v>
      </c>
      <c r="B56" s="69" t="s">
        <v>68</v>
      </c>
      <c r="C56" s="82">
        <f>IFERROR(GETPIVOTDATA(("Sum of RBC"),Sheet8!$A$3,"ReportingLevel","2:LSO","lvl",$B56),0)</f>
        <v>0</v>
      </c>
      <c r="D56" s="82">
        <f>IFERROR(GETPIVOTDATA(("Sum of FDS"),Sheet8!$A$3,"ReportingLevel","2:LSO","lvl",$B56),0)</f>
        <v>9</v>
      </c>
      <c r="E56" s="82">
        <f>IFERROR(GETPIVOTDATA(("Sum of DD"),Sheet8!$A$3,"ReportingLevel","2:LSO","lvl",$B56),0)</f>
        <v>4</v>
      </c>
      <c r="F56" s="82">
        <f>IFERROR(GETPIVOTDATA(("Sum of WT Trainee"),Sheet8!$A$3,"ReportingLevel","2:LSO","lvl",$B56),0)</f>
        <v>0</v>
      </c>
      <c r="G56" s="82">
        <f t="shared" si="3"/>
        <v>13</v>
      </c>
    </row>
    <row r="57" spans="1:7" ht="15" customHeight="1" x14ac:dyDescent="0.25">
      <c r="A57" s="575" t="s">
        <v>377</v>
      </c>
      <c r="B57" s="69" t="s">
        <v>175</v>
      </c>
      <c r="C57" s="82">
        <f>IFERROR(GETPIVOTDATA(("Sum of RBC"),Sheet8!$A$3,"ReportingLevel","2:LSO","lvl",$B57),0)</f>
        <v>0</v>
      </c>
      <c r="D57" s="82">
        <f>IFERROR(GETPIVOTDATA(("Sum of FDS"),Sheet8!$A$3,"ReportingLevel","2:LSO","lvl",$B57),0)</f>
        <v>10</v>
      </c>
      <c r="E57" s="82">
        <f>IFERROR(GETPIVOTDATA(("Sum of DD"),Sheet8!$A$3,"ReportingLevel","2:LSO","lvl",$B57),0)</f>
        <v>18</v>
      </c>
      <c r="F57" s="82">
        <f>IFERROR(GETPIVOTDATA(("Sum of WT Trainee"),Sheet8!$A$3,"ReportingLevel","2:LSO","lvl",$B57),0)</f>
        <v>0</v>
      </c>
      <c r="G57" s="82">
        <f t="shared" si="3"/>
        <v>28</v>
      </c>
    </row>
    <row r="58" spans="1:7" ht="15" customHeight="1" x14ac:dyDescent="0.25">
      <c r="A58" s="575" t="s">
        <v>378</v>
      </c>
      <c r="B58" s="69" t="s">
        <v>69</v>
      </c>
      <c r="C58" s="82">
        <f>IFERROR(GETPIVOTDATA(("Sum of RBC"),Sheet8!$A$3,"ReportingLevel","2:LSO","lvl",$B58),0)</f>
        <v>0</v>
      </c>
      <c r="D58" s="82">
        <f>IFERROR(GETPIVOTDATA(("Sum of FDS"),Sheet8!$A$3,"ReportingLevel","2:LSO","lvl",$B58),0)</f>
        <v>9</v>
      </c>
      <c r="E58" s="82">
        <f>IFERROR(GETPIVOTDATA(("Sum of DD"),Sheet8!$A$3,"ReportingLevel","2:LSO","lvl",$B58),0)</f>
        <v>10</v>
      </c>
      <c r="F58" s="82">
        <f>IFERROR(GETPIVOTDATA(("Sum of WT Trainee"),Sheet8!$A$3,"ReportingLevel","2:LSO","lvl",$B58),0)</f>
        <v>0</v>
      </c>
      <c r="G58" s="82">
        <f t="shared" si="3"/>
        <v>19</v>
      </c>
    </row>
    <row r="59" spans="1:7" ht="15" customHeight="1" x14ac:dyDescent="0.25">
      <c r="A59" s="575" t="str">
        <f>IF(A11="2018-19","S39000019","")</f>
        <v/>
      </c>
      <c r="B59" s="437" t="str">
        <f>IF(A11 = "2018-19", "Fife", "")</f>
        <v/>
      </c>
      <c r="C59" s="82">
        <f>IFERROR(GETPIVOTDATA(("Sum of RBC"),Sheet8!$A$3,"ReportingLevel","2:LSO","lvl",$B59),0)</f>
        <v>0</v>
      </c>
      <c r="D59" s="82">
        <f>IFERROR(GETPIVOTDATA(("Sum of FDS"),Sheet8!$A$3,"ReportingLevel","2:LSO","lvl",$B59),0)</f>
        <v>0</v>
      </c>
      <c r="E59" s="82">
        <f>IFERROR(GETPIVOTDATA(("Sum of DD"),Sheet8!$A$3,"ReportingLevel","2:LSO","lvl",$B59),0)</f>
        <v>0</v>
      </c>
      <c r="F59" s="82">
        <f>IFERROR(GETPIVOTDATA(("Sum of WT Trainee"),Sheet8!$A$3,"ReportingLevel","2:LSO","lvl",$B59),0)</f>
        <v>0</v>
      </c>
      <c r="G59" s="82">
        <f t="shared" si="3"/>
        <v>0</v>
      </c>
    </row>
    <row r="60" spans="1:7" ht="15" customHeight="1" x14ac:dyDescent="0.25">
      <c r="A60" s="575" t="str">
        <f>IF(A11="2018-19","S39000012","S39000020")</f>
        <v>S39000020</v>
      </c>
      <c r="B60" s="69" t="s">
        <v>121</v>
      </c>
      <c r="C60" s="82">
        <f>IFERROR(GETPIVOTDATA(("Sum of RBC"),Sheet8!$A$3,"ReportingLevel","2:LSO","lvl",$B60),0)</f>
        <v>0</v>
      </c>
      <c r="D60" s="82">
        <f>IFERROR(GETPIVOTDATA(("Sum of FDS"),Sheet8!$A$3,"ReportingLevel","2:LSO","lvl",$B60),0)</f>
        <v>16</v>
      </c>
      <c r="E60" s="82">
        <f>IFERROR(GETPIVOTDATA(("Sum of DD"),Sheet8!$A$3,"ReportingLevel","2:LSO","lvl",$B60),0)</f>
        <v>9</v>
      </c>
      <c r="F60" s="82">
        <f>IFERROR(GETPIVOTDATA(("Sum of WT Trainee"),Sheet8!$A$3,"ReportingLevel","2:LSO","lvl",$B60),0)</f>
        <v>0</v>
      </c>
      <c r="G60" s="82">
        <f t="shared" si="3"/>
        <v>25</v>
      </c>
    </row>
    <row r="61" spans="1:7" ht="15" customHeight="1" x14ac:dyDescent="0.25">
      <c r="A61" s="575" t="s">
        <v>379</v>
      </c>
      <c r="B61" s="69" t="s">
        <v>70</v>
      </c>
      <c r="C61" s="82">
        <f>IFERROR(GETPIVOTDATA(("Sum of RBC"),Sheet8!$A$3,"ReportingLevel","2:LSO","lvl",$B61),0)</f>
        <v>0</v>
      </c>
      <c r="D61" s="82">
        <f>IFERROR(GETPIVOTDATA(("Sum of FDS"),Sheet8!$A$3,"ReportingLevel","2:LSO","lvl",$B61),0)</f>
        <v>18</v>
      </c>
      <c r="E61" s="82">
        <f>IFERROR(GETPIVOTDATA(("Sum of DD"),Sheet8!$A$3,"ReportingLevel","2:LSO","lvl",$B61),0)</f>
        <v>20</v>
      </c>
      <c r="F61" s="82">
        <f>IFERROR(GETPIVOTDATA(("Sum of WT Trainee"),Sheet8!$A$3,"ReportingLevel","2:LSO","lvl",$B61),0)</f>
        <v>0</v>
      </c>
      <c r="G61" s="82">
        <f t="shared" si="3"/>
        <v>38</v>
      </c>
    </row>
    <row r="62" spans="1:7" ht="15" customHeight="1" x14ac:dyDescent="0.25">
      <c r="A62" s="575" t="str">
        <f>IF(A11="2018-19","S39000014","S39000021")</f>
        <v>S39000021</v>
      </c>
      <c r="B62" s="69" t="s">
        <v>50</v>
      </c>
      <c r="C62" s="82">
        <f>IFERROR(GETPIVOTDATA(("Sum of RBC"),Sheet8!$A$3,"ReportingLevel","2:LSO","lvl",$B62),0)</f>
        <v>0</v>
      </c>
      <c r="D62" s="82">
        <f>IFERROR(GETPIVOTDATA(("Sum of FDS"),Sheet8!$A$3,"ReportingLevel","2:LSO","lvl",$B62),0)</f>
        <v>8</v>
      </c>
      <c r="E62" s="82">
        <f>IFERROR(GETPIVOTDATA(("Sum of DD"),Sheet8!$A$3,"ReportingLevel","2:LSO","lvl",$B62),0)</f>
        <v>8</v>
      </c>
      <c r="F62" s="82">
        <f>IFERROR(GETPIVOTDATA(("Sum of WT Trainee"),Sheet8!$A$3,"ReportingLevel","2:LSO","lvl",$B62),0)</f>
        <v>0</v>
      </c>
      <c r="G62" s="82">
        <f t="shared" si="3"/>
        <v>16</v>
      </c>
    </row>
    <row r="63" spans="1:7" ht="15" customHeight="1" x14ac:dyDescent="0.25">
      <c r="A63" s="575" t="s">
        <v>380</v>
      </c>
      <c r="B63" s="69" t="s">
        <v>57</v>
      </c>
      <c r="C63" s="82">
        <f>IFERROR(GETPIVOTDATA(("Sum of RBC"),Sheet8!$A$3,"ReportingLevel","2:LSO","lvl",$B63),0)</f>
        <v>0</v>
      </c>
      <c r="D63" s="82">
        <f>IFERROR(GETPIVOTDATA(("Sum of FDS"),Sheet8!$A$3,"ReportingLevel","2:LSO","lvl",$B63),0)</f>
        <v>9</v>
      </c>
      <c r="E63" s="82">
        <f>IFERROR(GETPIVOTDATA(("Sum of DD"),Sheet8!$A$3,"ReportingLevel","2:LSO","lvl",$B63),0)</f>
        <v>7</v>
      </c>
      <c r="F63" s="82">
        <f>IFERROR(GETPIVOTDATA(("Sum of WT Trainee"),Sheet8!$A$3,"ReportingLevel","2:LSO","lvl",$B63),0)</f>
        <v>0</v>
      </c>
      <c r="G63" s="82">
        <f t="shared" si="3"/>
        <v>16</v>
      </c>
    </row>
    <row r="64" spans="1:7" ht="15.75" customHeight="1" x14ac:dyDescent="0.25">
      <c r="A64" s="575" t="str">
        <f>IF(A11="2018-19","S39000016","LSO_E3")</f>
        <v>LSO_E3</v>
      </c>
      <c r="B64" s="437" t="str">
        <f>IF(A11="2018-19","Stirling and Clackmannanshire","Stirling, Clackmannanshire and Fife")</f>
        <v>Stirling, Clackmannanshire and Fife</v>
      </c>
      <c r="C64" s="82">
        <f>IFERROR(GETPIVOTDATA(("Sum of RBC"),Sheet8!$A$3,"ReportingLevel","2:LSO","lvl",$B64),0)</f>
        <v>0</v>
      </c>
      <c r="D64" s="82">
        <f>IFERROR(GETPIVOTDATA(("Sum of FDS"),Sheet8!$A$3,"ReportingLevel","2:LSO","lvl",$B64),0)</f>
        <v>17</v>
      </c>
      <c r="E64" s="82">
        <f>IFERROR(GETPIVOTDATA(("Sum of DD"),Sheet8!$A$3,"ReportingLevel","2:LSO","lvl",$B64),0)</f>
        <v>21</v>
      </c>
      <c r="F64" s="82">
        <f>IFERROR(GETPIVOTDATA(("Sum of WT Trainee"),Sheet8!$A$3,"ReportingLevel","2:LSO","lvl",$B64),0)</f>
        <v>0</v>
      </c>
      <c r="G64" s="82">
        <f t="shared" si="3"/>
        <v>38</v>
      </c>
    </row>
    <row r="65" spans="1:8" ht="12.75" customHeight="1" x14ac:dyDescent="0.25">
      <c r="A65" s="575" t="s">
        <v>381</v>
      </c>
      <c r="B65" s="69" t="s">
        <v>71</v>
      </c>
      <c r="C65" s="82">
        <f>IFERROR(GETPIVOTDATA(("Sum of RBC"),Sheet8!$A$3,"ReportingLevel","2:LSO","lvl",$B65),0)</f>
        <v>0</v>
      </c>
      <c r="D65" s="82">
        <f>IFERROR(GETPIVOTDATA(("Sum of FDS"),Sheet8!$A$3,"ReportingLevel","2:LSO","lvl",$B65),0)</f>
        <v>9</v>
      </c>
      <c r="E65" s="82">
        <f>IFERROR(GETPIVOTDATA(("Sum of DD"),Sheet8!$A$3,"ReportingLevel","2:LSO","lvl",$B65),0)</f>
        <v>5</v>
      </c>
      <c r="F65" s="82">
        <f>IFERROR(GETPIVOTDATA(("Sum of WT Trainee"),Sheet8!$A$3,"ReportingLevel","2:LSO","lvl",$B65),0)</f>
        <v>0</v>
      </c>
      <c r="G65" s="82">
        <f t="shared" si="3"/>
        <v>14</v>
      </c>
    </row>
    <row r="66" spans="1:8" ht="30" customHeight="1" thickBot="1" x14ac:dyDescent="0.3">
      <c r="A66" s="70"/>
      <c r="B66" s="70" t="s">
        <v>72</v>
      </c>
      <c r="C66" s="86">
        <f t="shared" ref="C66:F66" si="4">SUM(C49:C65)</f>
        <v>0</v>
      </c>
      <c r="D66" s="86">
        <f t="shared" si="4"/>
        <v>184</v>
      </c>
      <c r="E66" s="86">
        <f t="shared" si="4"/>
        <v>199</v>
      </c>
      <c r="F66" s="86">
        <f t="shared" si="4"/>
        <v>0</v>
      </c>
      <c r="G66" s="86">
        <f t="shared" si="3"/>
        <v>383</v>
      </c>
    </row>
    <row r="67" spans="1:8" ht="22.5" customHeight="1" x14ac:dyDescent="0.25">
      <c r="A67" s="64"/>
      <c r="B67" s="64"/>
      <c r="C67" s="90"/>
      <c r="D67" s="51"/>
      <c r="E67" s="51"/>
      <c r="F67" s="51"/>
      <c r="G67" s="51"/>
    </row>
    <row r="68" spans="1:8" ht="15" customHeight="1" x14ac:dyDescent="0.25">
      <c r="A68" s="72" t="s">
        <v>368</v>
      </c>
      <c r="B68" s="72" t="s">
        <v>15</v>
      </c>
      <c r="C68" s="53"/>
      <c r="D68" s="53"/>
      <c r="E68" s="53"/>
      <c r="F68" s="53"/>
      <c r="G68" s="53"/>
    </row>
    <row r="69" spans="1:8" ht="15" customHeight="1" x14ac:dyDescent="0.25">
      <c r="A69" s="725" t="s">
        <v>402</v>
      </c>
      <c r="B69" s="73" t="s">
        <v>174</v>
      </c>
      <c r="C69" s="82">
        <f>IFERROR(GETPIVOTDATA((("Sum of RBC")),'h4'!$A$3,"ReportingLevel","3:SDA","lvl",$B69),0)</f>
        <v>0</v>
      </c>
      <c r="D69" s="82">
        <f>IFERROR(GETPIVOTDATA((("Sum of FDS")),Sheet8!$A$3,"ReportingLevel","3:SDA","lvl",$B69),0)</f>
        <v>13</v>
      </c>
      <c r="E69" s="82">
        <f>IFERROR(GETPIVOTDATA((("Sum of DD")),Sheet8!$A$3,"ReportingLevel","3:SDA","lvl",$B69),0)</f>
        <v>39</v>
      </c>
      <c r="F69" s="82">
        <f>IFERROR(GETPIVOTDATA((("Sum of WT Trainee")),Sheet8!$A$3,"ReportingLevel","3:SDA","lvl",$B69),0)</f>
        <v>0</v>
      </c>
      <c r="G69" s="82">
        <f>SUM(C69:F69)</f>
        <v>52</v>
      </c>
    </row>
    <row r="70" spans="1:8" ht="16.5" customHeight="1" x14ac:dyDescent="0.25">
      <c r="A70" s="787" t="s">
        <v>404</v>
      </c>
      <c r="B70" s="58" t="s">
        <v>172</v>
      </c>
      <c r="C70" s="82">
        <f>IFERROR(GETPIVOTDATA((CONCATENATE("Sum of ", C$8)),'h4'!$A$3,"ReportingLevel","3:SDA","lvl",$B70),0)</f>
        <v>0</v>
      </c>
      <c r="D70" s="82">
        <f>IFERROR(GETPIVOTDATA((("Sum of FDS")),Sheet8!$A$3,"ReportingLevel","3:SDA","lvl",$B70),0)</f>
        <v>12</v>
      </c>
      <c r="E70" s="82">
        <f>IFERROR(GETPIVOTDATA((("Sum of DD")),Sheet8!$A$3,"ReportingLevel","3:SDA","lvl",$B70),0)</f>
        <v>30</v>
      </c>
      <c r="F70" s="82">
        <f>IFERROR(GETPIVOTDATA((("Sum of WT Trainee")),Sheet8!$A$3,"ReportingLevel","3:SDA","lvl",$B70),0)</f>
        <v>0</v>
      </c>
      <c r="G70" s="82">
        <f t="shared" ref="G70:G72" si="5">SUM(C70:F70)</f>
        <v>42</v>
      </c>
    </row>
    <row r="71" spans="1:8" x14ac:dyDescent="0.25">
      <c r="A71" s="679" t="s">
        <v>403</v>
      </c>
      <c r="B71" s="58" t="s">
        <v>173</v>
      </c>
      <c r="C71" s="82">
        <f>IFERROR(GETPIVOTDATA((CONCATENATE("Sum of ", C$8)),'h4'!$A$3,"ReportingLevel","3:SDA","lvl",$B71),0)</f>
        <v>0</v>
      </c>
      <c r="D71" s="82">
        <f>IFERROR(GETPIVOTDATA((("Sum of FDS")),Sheet8!$A$3,"ReportingLevel","3:SDA","lvl",$B71),0)</f>
        <v>27</v>
      </c>
      <c r="E71" s="82">
        <f>IFERROR(GETPIVOTDATA((("Sum of DD")),Sheet8!$A$3,"ReportingLevel","3:SDA","lvl",$B71),0)</f>
        <v>76</v>
      </c>
      <c r="F71" s="82">
        <f>IFERROR(GETPIVOTDATA((("Sum of WT Trainee")),Sheet8!$A$3,"ReportingLevel","3:SDA","lvl",$B71),0)</f>
        <v>0</v>
      </c>
      <c r="G71" s="82">
        <f t="shared" si="5"/>
        <v>103</v>
      </c>
    </row>
    <row r="72" spans="1:8" ht="16.5" customHeight="1" thickBot="1" x14ac:dyDescent="0.3">
      <c r="A72" s="75"/>
      <c r="B72" s="75" t="s">
        <v>77</v>
      </c>
      <c r="C72" s="86">
        <f>SUM(C69:C71)</f>
        <v>0</v>
      </c>
      <c r="D72" s="86">
        <f t="shared" ref="D72:F72" si="6">SUM(D69:D71)</f>
        <v>52</v>
      </c>
      <c r="E72" s="86">
        <f t="shared" si="6"/>
        <v>145</v>
      </c>
      <c r="F72" s="86">
        <f t="shared" si="6"/>
        <v>0</v>
      </c>
      <c r="G72" s="86">
        <f t="shared" si="5"/>
        <v>197</v>
      </c>
    </row>
    <row r="73" spans="1:8" ht="18.75" customHeight="1" x14ac:dyDescent="0.25">
      <c r="A73" s="72" t="s">
        <v>513</v>
      </c>
      <c r="B73" s="64"/>
      <c r="C73" s="54"/>
      <c r="D73" s="54"/>
      <c r="E73" s="54"/>
      <c r="F73" s="54"/>
      <c r="G73" s="54"/>
    </row>
    <row r="74" spans="1:8" ht="13.5" customHeight="1" thickBot="1" x14ac:dyDescent="0.3">
      <c r="A74" s="75" t="s">
        <v>382</v>
      </c>
      <c r="B74" s="94" t="s">
        <v>78</v>
      </c>
      <c r="C74" s="416">
        <f>IFERROR(GETPIVOTDATA((CONCATENATE("Sum of ", C$8)),'h4'!$A$3,"ReportingLevel","4:National","lvl","Scotland"),0)</f>
        <v>0</v>
      </c>
      <c r="D74" s="416">
        <f>IFERROR(GETPIVOTDATA((("Sum of FDS")),Sheet8!$A$3,"ReportingLevel","4:National","lvl","Scotland"),0)</f>
        <v>34</v>
      </c>
      <c r="E74" s="416">
        <f>IFERROR(GETPIVOTDATA((("Sum of DD")),Sheet8!$A$3,"ReportingLevel","4:National","lvl","Scotland"),0)</f>
        <v>7</v>
      </c>
      <c r="F74" s="416">
        <f>IFERROR(GETPIVOTDATA((("Sum of WT Trainee")),Sheet8!$A$3,"ReportingLevel","4:National","lvl","Scotland"),0)</f>
        <v>49</v>
      </c>
      <c r="G74" s="416">
        <f>SUM(C74:F74)</f>
        <v>90</v>
      </c>
    </row>
    <row r="75" spans="1:8" ht="13.5" customHeight="1" x14ac:dyDescent="0.25"/>
    <row r="76" spans="1:8" x14ac:dyDescent="0.25">
      <c r="A76" s="509" t="s">
        <v>8</v>
      </c>
      <c r="B76" s="510"/>
      <c r="C76" s="510"/>
      <c r="D76" s="510"/>
      <c r="E76" s="510"/>
      <c r="F76" s="510"/>
      <c r="G76" s="510"/>
    </row>
    <row r="77" spans="1:8" ht="30" customHeight="1" x14ac:dyDescent="0.25">
      <c r="A77" s="1076" t="s">
        <v>957</v>
      </c>
      <c r="B77" s="1076"/>
      <c r="C77" s="1076"/>
      <c r="D77" s="1076"/>
      <c r="E77" s="1076"/>
      <c r="F77" s="1076"/>
      <c r="G77" s="510"/>
    </row>
    <row r="78" spans="1:8" x14ac:dyDescent="0.25">
      <c r="A78" s="506" t="s">
        <v>231</v>
      </c>
      <c r="B78" s="498"/>
      <c r="C78" s="507"/>
      <c r="D78" s="622"/>
      <c r="E78" s="622"/>
      <c r="F78" s="622"/>
      <c r="G78" s="622"/>
    </row>
    <row r="79" spans="1:8" x14ac:dyDescent="0.25">
      <c r="A79" s="552"/>
      <c r="B79" s="974"/>
      <c r="C79" s="974"/>
      <c r="D79" s="974"/>
      <c r="E79" s="974"/>
      <c r="F79" s="974"/>
      <c r="G79" s="974"/>
      <c r="H79" s="547"/>
    </row>
    <row r="80" spans="1:8" x14ac:dyDescent="0.25">
      <c r="A80" s="506"/>
      <c r="B80" s="483"/>
      <c r="C80" s="1015"/>
      <c r="D80" s="1015"/>
      <c r="E80" s="1015"/>
      <c r="F80" s="1015"/>
      <c r="G80" s="1015"/>
    </row>
    <row r="81" spans="2:7" x14ac:dyDescent="0.25">
      <c r="B81" s="483"/>
      <c r="C81" s="1015"/>
      <c r="D81" s="1015"/>
      <c r="E81" s="1015"/>
      <c r="F81" s="1015"/>
      <c r="G81" s="1015"/>
    </row>
    <row r="82" spans="2:7" x14ac:dyDescent="0.25">
      <c r="B82" s="483"/>
      <c r="C82" s="1015"/>
      <c r="D82" s="1015"/>
      <c r="E82" s="1015"/>
      <c r="F82" s="1015"/>
      <c r="G82" s="1015"/>
    </row>
  </sheetData>
  <sheetProtection algorithmName="SHA-512" hashValue="OtmtrNz/G66YpuyW1qvWXwhmzrTv4VUPOXuCqbzbuPkwPooJM2v/L2GihO24aGb9hn7eDvEBBITmWJfBW6boaQ==" saltValue="LxU/hfdbv86BsBQr3iOJBw==" spinCount="100000" sheet="1" scenarios="1" formatCells="0" formatColumns="0" formatRows="0" sort="0" autoFilter="0" pivotTables="0"/>
  <mergeCells count="1">
    <mergeCell ref="A77:F77"/>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61"/>
  <sheetViews>
    <sheetView workbookViewId="0">
      <selection activeCell="A17" sqref="A5:A33 A36:A51 A54:A56 A59"/>
    </sheetView>
  </sheetViews>
  <sheetFormatPr defaultRowHeight="15" x14ac:dyDescent="0.25"/>
  <cols>
    <col min="1" max="1" width="61.7109375" bestFit="1" customWidth="1"/>
    <col min="2" max="2" width="11" bestFit="1" customWidth="1"/>
    <col min="3" max="3" width="10.85546875" bestFit="1" customWidth="1"/>
    <col min="4" max="4" width="10.140625" bestFit="1" customWidth="1"/>
    <col min="5" max="5" width="18" bestFit="1" customWidth="1"/>
  </cols>
  <sheetData>
    <row r="1" spans="1:5" x14ac:dyDescent="0.25">
      <c r="A1" s="565" t="s">
        <v>270</v>
      </c>
      <c r="B1" t="s">
        <v>851</v>
      </c>
      <c r="D1" t="str">
        <f>B1</f>
        <v>2019-20</v>
      </c>
    </row>
    <row r="3" spans="1:5" x14ac:dyDescent="0.25">
      <c r="A3" s="565" t="s">
        <v>246</v>
      </c>
      <c r="B3" t="s">
        <v>962</v>
      </c>
      <c r="C3" t="s">
        <v>963</v>
      </c>
      <c r="D3" t="s">
        <v>964</v>
      </c>
      <c r="E3" t="s">
        <v>965</v>
      </c>
    </row>
    <row r="4" spans="1:5" x14ac:dyDescent="0.25">
      <c r="A4" s="1068" t="s">
        <v>247</v>
      </c>
      <c r="B4" s="567"/>
      <c r="C4" s="567"/>
      <c r="D4" s="567"/>
      <c r="E4" s="567"/>
    </row>
    <row r="5" spans="1:5" x14ac:dyDescent="0.25">
      <c r="A5" s="568" t="s">
        <v>31</v>
      </c>
      <c r="B5" s="567">
        <v>155</v>
      </c>
      <c r="C5" s="567"/>
      <c r="D5" s="567"/>
      <c r="E5" s="567"/>
    </row>
    <row r="6" spans="1:5" x14ac:dyDescent="0.25">
      <c r="A6" s="568" t="s">
        <v>32</v>
      </c>
      <c r="B6" s="567">
        <v>32</v>
      </c>
      <c r="C6" s="567"/>
      <c r="D6" s="567"/>
      <c r="E6" s="567"/>
    </row>
    <row r="7" spans="1:5" x14ac:dyDescent="0.25">
      <c r="A7" s="568" t="s">
        <v>33</v>
      </c>
      <c r="B7" s="567">
        <v>27</v>
      </c>
      <c r="C7" s="567"/>
      <c r="D7" s="567"/>
      <c r="E7" s="567"/>
    </row>
    <row r="8" spans="1:5" x14ac:dyDescent="0.25">
      <c r="A8" s="568" t="s">
        <v>34</v>
      </c>
      <c r="B8" s="567">
        <v>53</v>
      </c>
      <c r="C8" s="567"/>
      <c r="D8" s="567"/>
      <c r="E8" s="567"/>
    </row>
    <row r="9" spans="1:5" x14ac:dyDescent="0.25">
      <c r="A9" s="568" t="s">
        <v>258</v>
      </c>
      <c r="B9" s="567">
        <v>306</v>
      </c>
      <c r="C9" s="567"/>
      <c r="D9" s="567"/>
      <c r="E9" s="567"/>
    </row>
    <row r="10" spans="1:5" x14ac:dyDescent="0.25">
      <c r="A10" s="568" t="s">
        <v>35</v>
      </c>
      <c r="B10" s="567">
        <v>25</v>
      </c>
      <c r="C10" s="567"/>
      <c r="D10" s="567"/>
      <c r="E10" s="567"/>
    </row>
    <row r="11" spans="1:5" x14ac:dyDescent="0.25">
      <c r="A11" s="568" t="s">
        <v>36</v>
      </c>
      <c r="B11" s="567">
        <v>52</v>
      </c>
      <c r="C11" s="567"/>
      <c r="D11" s="567"/>
      <c r="E11" s="567"/>
    </row>
    <row r="12" spans="1:5" x14ac:dyDescent="0.25">
      <c r="A12" s="568" t="s">
        <v>37</v>
      </c>
      <c r="B12" s="567">
        <v>182</v>
      </c>
      <c r="C12" s="567"/>
      <c r="D12" s="567"/>
      <c r="E12" s="567"/>
    </row>
    <row r="13" spans="1:5" x14ac:dyDescent="0.25">
      <c r="A13" s="568" t="s">
        <v>38</v>
      </c>
      <c r="B13" s="567">
        <v>49</v>
      </c>
      <c r="C13" s="567"/>
      <c r="D13" s="567"/>
      <c r="E13" s="567"/>
    </row>
    <row r="14" spans="1:5" x14ac:dyDescent="0.25">
      <c r="A14" s="568" t="s">
        <v>39</v>
      </c>
      <c r="B14" s="567">
        <v>79</v>
      </c>
      <c r="C14" s="567"/>
      <c r="D14" s="567"/>
      <c r="E14" s="567"/>
    </row>
    <row r="15" spans="1:5" x14ac:dyDescent="0.25">
      <c r="A15" s="568" t="s">
        <v>40</v>
      </c>
      <c r="B15" s="567">
        <v>25</v>
      </c>
      <c r="C15" s="567"/>
      <c r="D15" s="567"/>
      <c r="E15" s="567"/>
    </row>
    <row r="16" spans="1:5" x14ac:dyDescent="0.25">
      <c r="A16" s="568" t="s">
        <v>41</v>
      </c>
      <c r="B16" s="567">
        <v>50</v>
      </c>
      <c r="C16" s="567"/>
      <c r="D16" s="567"/>
      <c r="E16" s="567"/>
    </row>
    <row r="17" spans="1:5" x14ac:dyDescent="0.25">
      <c r="A17" s="568" t="s">
        <v>42</v>
      </c>
      <c r="B17" s="567">
        <v>88</v>
      </c>
      <c r="C17" s="567"/>
      <c r="D17" s="567"/>
      <c r="E17" s="567"/>
    </row>
    <row r="18" spans="1:5" x14ac:dyDescent="0.25">
      <c r="A18" s="568" t="s">
        <v>43</v>
      </c>
      <c r="B18" s="567">
        <v>269</v>
      </c>
      <c r="C18" s="567"/>
      <c r="D18" s="567"/>
      <c r="E18" s="567"/>
    </row>
    <row r="19" spans="1:5" x14ac:dyDescent="0.25">
      <c r="A19" s="568" t="s">
        <v>121</v>
      </c>
      <c r="B19" s="567">
        <v>517</v>
      </c>
      <c r="C19" s="567"/>
      <c r="D19" s="567"/>
      <c r="E19" s="567"/>
    </row>
    <row r="20" spans="1:5" x14ac:dyDescent="0.25">
      <c r="A20" s="568" t="s">
        <v>44</v>
      </c>
      <c r="B20" s="567">
        <v>71</v>
      </c>
      <c r="C20" s="567"/>
      <c r="D20" s="567"/>
      <c r="E20" s="567"/>
    </row>
    <row r="21" spans="1:5" x14ac:dyDescent="0.25">
      <c r="A21" s="568" t="s">
        <v>45</v>
      </c>
      <c r="B21" s="567">
        <v>70</v>
      </c>
      <c r="C21" s="567"/>
      <c r="D21" s="567"/>
      <c r="E21" s="567"/>
    </row>
    <row r="22" spans="1:5" x14ac:dyDescent="0.25">
      <c r="A22" s="568" t="s">
        <v>46</v>
      </c>
      <c r="B22" s="567">
        <v>26</v>
      </c>
      <c r="C22" s="567"/>
      <c r="D22" s="567"/>
      <c r="E22" s="567"/>
    </row>
    <row r="23" spans="1:5" x14ac:dyDescent="0.25">
      <c r="A23" s="568" t="s">
        <v>47</v>
      </c>
      <c r="B23" s="567">
        <v>30</v>
      </c>
      <c r="C23" s="567"/>
      <c r="D23" s="567"/>
      <c r="E23" s="567"/>
    </row>
    <row r="24" spans="1:5" x14ac:dyDescent="0.25">
      <c r="A24" s="568" t="s">
        <v>49</v>
      </c>
      <c r="B24" s="567">
        <v>75</v>
      </c>
      <c r="C24" s="567"/>
      <c r="D24" s="567"/>
      <c r="E24" s="567"/>
    </row>
    <row r="25" spans="1:5" x14ac:dyDescent="0.25">
      <c r="A25" s="568" t="s">
        <v>50</v>
      </c>
      <c r="B25" s="567">
        <v>163</v>
      </c>
      <c r="C25" s="567"/>
      <c r="D25" s="567"/>
      <c r="E25" s="567"/>
    </row>
    <row r="26" spans="1:5" x14ac:dyDescent="0.25">
      <c r="A26" s="568" t="s">
        <v>52</v>
      </c>
      <c r="B26" s="567">
        <v>67</v>
      </c>
      <c r="C26" s="567"/>
      <c r="D26" s="567"/>
      <c r="E26" s="567"/>
    </row>
    <row r="27" spans="1:5" x14ac:dyDescent="0.25">
      <c r="A27" s="568" t="s">
        <v>53</v>
      </c>
      <c r="B27" s="567">
        <v>102</v>
      </c>
      <c r="C27" s="567"/>
      <c r="D27" s="567"/>
      <c r="E27" s="567"/>
    </row>
    <row r="28" spans="1:5" x14ac:dyDescent="0.25">
      <c r="A28" s="568" t="s">
        <v>54</v>
      </c>
      <c r="B28" s="567">
        <v>53</v>
      </c>
      <c r="C28" s="567"/>
      <c r="D28" s="567"/>
      <c r="E28" s="567"/>
    </row>
    <row r="29" spans="1:5" x14ac:dyDescent="0.25">
      <c r="A29" s="568" t="s">
        <v>56</v>
      </c>
      <c r="B29" s="567">
        <v>50</v>
      </c>
      <c r="C29" s="567"/>
      <c r="D29" s="567"/>
      <c r="E29" s="567"/>
    </row>
    <row r="30" spans="1:5" x14ac:dyDescent="0.25">
      <c r="A30" s="568" t="s">
        <v>57</v>
      </c>
      <c r="B30" s="567">
        <v>168</v>
      </c>
      <c r="C30" s="567"/>
      <c r="D30" s="567"/>
      <c r="E30" s="567"/>
    </row>
    <row r="31" spans="1:5" x14ac:dyDescent="0.25">
      <c r="A31" s="568" t="s">
        <v>58</v>
      </c>
      <c r="B31" s="567">
        <v>51</v>
      </c>
      <c r="C31" s="567"/>
      <c r="D31" s="567"/>
      <c r="E31" s="567"/>
    </row>
    <row r="32" spans="1:5" x14ac:dyDescent="0.25">
      <c r="A32" s="568" t="s">
        <v>59</v>
      </c>
      <c r="B32" s="567">
        <v>73</v>
      </c>
      <c r="C32" s="567"/>
      <c r="D32" s="567"/>
      <c r="E32" s="567"/>
    </row>
    <row r="33" spans="1:5" x14ac:dyDescent="0.25">
      <c r="A33" s="568" t="s">
        <v>60</v>
      </c>
      <c r="B33" s="567">
        <v>58</v>
      </c>
      <c r="C33" s="567"/>
      <c r="D33" s="567"/>
      <c r="E33" s="567"/>
    </row>
    <row r="34" spans="1:5" x14ac:dyDescent="0.25">
      <c r="A34" s="1068" t="s">
        <v>958</v>
      </c>
      <c r="B34" s="567">
        <v>2966</v>
      </c>
      <c r="C34" s="567"/>
      <c r="D34" s="567"/>
      <c r="E34" s="567"/>
    </row>
    <row r="35" spans="1:5" x14ac:dyDescent="0.25">
      <c r="A35" s="1068" t="s">
        <v>248</v>
      </c>
      <c r="B35" s="567"/>
      <c r="C35" s="567"/>
      <c r="D35" s="567"/>
      <c r="E35" s="567"/>
    </row>
    <row r="36" spans="1:5" x14ac:dyDescent="0.25">
      <c r="A36" s="568" t="s">
        <v>31</v>
      </c>
      <c r="B36" s="567"/>
      <c r="C36" s="567">
        <v>6</v>
      </c>
      <c r="D36" s="567">
        <v>7</v>
      </c>
      <c r="E36" s="567"/>
    </row>
    <row r="37" spans="1:5" x14ac:dyDescent="0.25">
      <c r="A37" s="568" t="s">
        <v>63</v>
      </c>
      <c r="B37" s="567"/>
      <c r="C37" s="567">
        <v>13</v>
      </c>
      <c r="D37" s="567">
        <v>12</v>
      </c>
      <c r="E37" s="567"/>
    </row>
    <row r="38" spans="1:5" x14ac:dyDescent="0.25">
      <c r="A38" s="568" t="s">
        <v>64</v>
      </c>
      <c r="B38" s="567"/>
      <c r="C38" s="567">
        <v>12</v>
      </c>
      <c r="D38" s="567">
        <v>16</v>
      </c>
      <c r="E38" s="567"/>
    </row>
    <row r="39" spans="1:5" x14ac:dyDescent="0.25">
      <c r="A39" s="568" t="s">
        <v>36</v>
      </c>
      <c r="B39" s="567"/>
      <c r="C39" s="567">
        <v>9</v>
      </c>
      <c r="D39" s="567">
        <v>13</v>
      </c>
      <c r="E39" s="567"/>
    </row>
    <row r="40" spans="1:5" x14ac:dyDescent="0.25">
      <c r="A40" s="568" t="s">
        <v>65</v>
      </c>
      <c r="B40" s="567"/>
      <c r="C40" s="567">
        <v>14</v>
      </c>
      <c r="D40" s="567">
        <v>17</v>
      </c>
      <c r="E40" s="567"/>
    </row>
    <row r="41" spans="1:5" x14ac:dyDescent="0.25">
      <c r="A41" s="568" t="s">
        <v>66</v>
      </c>
      <c r="B41" s="567"/>
      <c r="C41" s="567">
        <v>14</v>
      </c>
      <c r="D41" s="567">
        <v>14</v>
      </c>
      <c r="E41" s="567"/>
    </row>
    <row r="42" spans="1:5" x14ac:dyDescent="0.25">
      <c r="A42" s="568" t="s">
        <v>67</v>
      </c>
      <c r="B42" s="567"/>
      <c r="C42" s="567">
        <v>11</v>
      </c>
      <c r="D42" s="567">
        <v>18</v>
      </c>
      <c r="E42" s="567"/>
    </row>
    <row r="43" spans="1:5" x14ac:dyDescent="0.25">
      <c r="A43" s="568" t="s">
        <v>68</v>
      </c>
      <c r="B43" s="567"/>
      <c r="C43" s="567">
        <v>9</v>
      </c>
      <c r="D43" s="567">
        <v>4</v>
      </c>
      <c r="E43" s="567"/>
    </row>
    <row r="44" spans="1:5" x14ac:dyDescent="0.25">
      <c r="A44" s="568" t="s">
        <v>175</v>
      </c>
      <c r="B44" s="567"/>
      <c r="C44" s="567">
        <v>10</v>
      </c>
      <c r="D44" s="567">
        <v>18</v>
      </c>
      <c r="E44" s="567"/>
    </row>
    <row r="45" spans="1:5" x14ac:dyDescent="0.25">
      <c r="A45" s="568" t="s">
        <v>69</v>
      </c>
      <c r="B45" s="567"/>
      <c r="C45" s="567">
        <v>9</v>
      </c>
      <c r="D45" s="567">
        <v>10</v>
      </c>
      <c r="E45" s="567"/>
    </row>
    <row r="46" spans="1:5" x14ac:dyDescent="0.25">
      <c r="A46" s="568" t="s">
        <v>121</v>
      </c>
      <c r="B46" s="567"/>
      <c r="C46" s="567">
        <v>16</v>
      </c>
      <c r="D46" s="567">
        <v>9</v>
      </c>
      <c r="E46" s="567"/>
    </row>
    <row r="47" spans="1:5" x14ac:dyDescent="0.25">
      <c r="A47" s="568" t="s">
        <v>70</v>
      </c>
      <c r="B47" s="567"/>
      <c r="C47" s="567">
        <v>18</v>
      </c>
      <c r="D47" s="567">
        <v>20</v>
      </c>
      <c r="E47" s="567"/>
    </row>
    <row r="48" spans="1:5" x14ac:dyDescent="0.25">
      <c r="A48" s="568" t="s">
        <v>50</v>
      </c>
      <c r="B48" s="567"/>
      <c r="C48" s="567">
        <v>8</v>
      </c>
      <c r="D48" s="567">
        <v>8</v>
      </c>
      <c r="E48" s="567"/>
    </row>
    <row r="49" spans="1:5" x14ac:dyDescent="0.25">
      <c r="A49" s="568" t="s">
        <v>57</v>
      </c>
      <c r="B49" s="567"/>
      <c r="C49" s="567">
        <v>9</v>
      </c>
      <c r="D49" s="567">
        <v>7</v>
      </c>
      <c r="E49" s="567"/>
    </row>
    <row r="50" spans="1:5" x14ac:dyDescent="0.25">
      <c r="A50" s="568" t="s">
        <v>853</v>
      </c>
      <c r="B50" s="567"/>
      <c r="C50" s="567">
        <v>17</v>
      </c>
      <c r="D50" s="567">
        <v>21</v>
      </c>
      <c r="E50" s="567"/>
    </row>
    <row r="51" spans="1:5" x14ac:dyDescent="0.25">
      <c r="A51" s="568" t="s">
        <v>71</v>
      </c>
      <c r="B51" s="567"/>
      <c r="C51" s="567">
        <v>9</v>
      </c>
      <c r="D51" s="567">
        <v>5</v>
      </c>
      <c r="E51" s="567"/>
    </row>
    <row r="52" spans="1:5" x14ac:dyDescent="0.25">
      <c r="A52" s="1068" t="s">
        <v>959</v>
      </c>
      <c r="B52" s="567"/>
      <c r="C52" s="567">
        <v>184</v>
      </c>
      <c r="D52" s="567">
        <v>199</v>
      </c>
      <c r="E52" s="567"/>
    </row>
    <row r="53" spans="1:5" x14ac:dyDescent="0.25">
      <c r="A53" s="1068" t="s">
        <v>249</v>
      </c>
      <c r="B53" s="567"/>
      <c r="C53" s="567"/>
      <c r="D53" s="567"/>
      <c r="E53" s="567"/>
    </row>
    <row r="54" spans="1:5" x14ac:dyDescent="0.25">
      <c r="A54" s="568" t="s">
        <v>174</v>
      </c>
      <c r="B54" s="567"/>
      <c r="C54" s="567">
        <v>13</v>
      </c>
      <c r="D54" s="567">
        <v>39</v>
      </c>
      <c r="E54" s="567"/>
    </row>
    <row r="55" spans="1:5" x14ac:dyDescent="0.25">
      <c r="A55" s="568" t="s">
        <v>172</v>
      </c>
      <c r="B55" s="567"/>
      <c r="C55" s="567">
        <v>12</v>
      </c>
      <c r="D55" s="567">
        <v>30</v>
      </c>
      <c r="E55" s="567"/>
    </row>
    <row r="56" spans="1:5" x14ac:dyDescent="0.25">
      <c r="A56" s="568" t="s">
        <v>173</v>
      </c>
      <c r="B56" s="567"/>
      <c r="C56" s="567">
        <v>27</v>
      </c>
      <c r="D56" s="567">
        <v>76</v>
      </c>
      <c r="E56" s="567"/>
    </row>
    <row r="57" spans="1:5" x14ac:dyDescent="0.25">
      <c r="A57" s="1068" t="s">
        <v>960</v>
      </c>
      <c r="B57" s="567"/>
      <c r="C57" s="567">
        <v>52</v>
      </c>
      <c r="D57" s="567">
        <v>145</v>
      </c>
      <c r="E57" s="567"/>
    </row>
    <row r="58" spans="1:5" x14ac:dyDescent="0.25">
      <c r="A58" s="1068" t="s">
        <v>250</v>
      </c>
      <c r="B58" s="567"/>
      <c r="C58" s="567"/>
      <c r="D58" s="567"/>
      <c r="E58" s="567"/>
    </row>
    <row r="59" spans="1:5" x14ac:dyDescent="0.25">
      <c r="A59" s="568" t="s">
        <v>259</v>
      </c>
      <c r="B59" s="567"/>
      <c r="C59" s="567">
        <v>34</v>
      </c>
      <c r="D59" s="567">
        <v>7</v>
      </c>
      <c r="E59" s="567">
        <v>49</v>
      </c>
    </row>
    <row r="60" spans="1:5" x14ac:dyDescent="0.25">
      <c r="A60" s="1068" t="s">
        <v>961</v>
      </c>
      <c r="B60" s="567"/>
      <c r="C60" s="567">
        <v>34</v>
      </c>
      <c r="D60" s="567">
        <v>7</v>
      </c>
      <c r="E60" s="567">
        <v>49</v>
      </c>
    </row>
    <row r="61" spans="1:5" x14ac:dyDescent="0.25">
      <c r="A61" s="1068" t="s">
        <v>251</v>
      </c>
      <c r="B61" s="567">
        <v>2966</v>
      </c>
      <c r="C61" s="567">
        <v>270</v>
      </c>
      <c r="D61" s="567">
        <v>351</v>
      </c>
      <c r="E61" s="567">
        <v>49</v>
      </c>
    </row>
  </sheetData>
  <sheetProtection algorithmName="SHA-512" hashValue="LWk+WtBN72EG0CI5LKp0LvOs5bIzbT6WCcBD0mR/OrfHnnXv9V3PY1Zu7ubb+dg/dL0iHxHlKj6e79Cm49a55A==" saltValue="4q7NM2j6aMvytziFL77uSA=="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59"/>
  <sheetViews>
    <sheetView showGridLines="0" workbookViewId="0">
      <pane ySplit="2" topLeftCell="A3" activePane="bottomLeft" state="frozen"/>
      <selection pane="bottomLeft"/>
    </sheetView>
  </sheetViews>
  <sheetFormatPr defaultRowHeight="15" x14ac:dyDescent="0.25"/>
  <cols>
    <col min="1" max="1" width="50.42578125" customWidth="1"/>
    <col min="2" max="2" width="12.42578125" customWidth="1"/>
    <col min="3" max="4" width="11.85546875" customWidth="1"/>
    <col min="5" max="5" width="9.140625" customWidth="1"/>
    <col min="6" max="6" width="10.42578125" customWidth="1"/>
    <col min="7" max="7" width="11.140625" customWidth="1"/>
    <col min="8" max="8" width="10.85546875" customWidth="1"/>
  </cols>
  <sheetData>
    <row r="1" spans="1:10" ht="15.75" x14ac:dyDescent="0.25">
      <c r="A1" s="1014" t="s">
        <v>505</v>
      </c>
      <c r="B1" s="1014"/>
      <c r="C1" s="1014"/>
      <c r="D1" s="1014"/>
      <c r="E1" s="1014"/>
      <c r="F1" s="1014"/>
      <c r="G1" s="1014"/>
      <c r="H1" s="1014"/>
      <c r="I1" s="1014"/>
      <c r="J1" s="1014"/>
    </row>
    <row r="2" spans="1:10" ht="18" x14ac:dyDescent="0.25">
      <c r="A2" s="772" t="s">
        <v>578</v>
      </c>
      <c r="B2" s="1"/>
      <c r="C2" s="1"/>
      <c r="D2" s="1"/>
      <c r="E2" s="1"/>
      <c r="F2" s="1"/>
      <c r="G2" s="1"/>
      <c r="H2" s="1"/>
      <c r="I2" s="1"/>
      <c r="J2" s="1"/>
    </row>
    <row r="3" spans="1:10" ht="18" x14ac:dyDescent="0.25">
      <c r="A3" s="1"/>
      <c r="I3" s="1"/>
      <c r="J3" s="1"/>
    </row>
    <row r="4" spans="1:10" ht="24" customHeight="1" x14ac:dyDescent="0.25">
      <c r="A4" s="656" t="s">
        <v>536</v>
      </c>
      <c r="B4" s="656"/>
      <c r="C4" s="656"/>
      <c r="D4" s="656"/>
      <c r="E4" s="656"/>
      <c r="F4" s="656"/>
      <c r="G4" s="656"/>
      <c r="H4" s="656"/>
      <c r="I4" s="656"/>
      <c r="J4" s="656"/>
    </row>
    <row r="5" spans="1:10" ht="15.75" x14ac:dyDescent="0.25">
      <c r="A5" t="s">
        <v>511</v>
      </c>
      <c r="B5" s="623"/>
      <c r="C5" s="623"/>
      <c r="D5" s="1022"/>
      <c r="E5" s="623"/>
      <c r="F5" s="623"/>
      <c r="G5" s="623"/>
      <c r="H5" s="623"/>
      <c r="I5" s="623"/>
      <c r="J5" s="623"/>
    </row>
    <row r="6" spans="1:10" x14ac:dyDescent="0.25">
      <c r="A6" t="s">
        <v>363</v>
      </c>
      <c r="B6" t="s">
        <v>724</v>
      </c>
    </row>
    <row r="7" spans="1:10" x14ac:dyDescent="0.25">
      <c r="A7" t="s">
        <v>364</v>
      </c>
      <c r="B7" t="s">
        <v>366</v>
      </c>
    </row>
    <row r="8" spans="1:10" x14ac:dyDescent="0.25">
      <c r="A8" t="s">
        <v>365</v>
      </c>
      <c r="B8" t="s">
        <v>367</v>
      </c>
    </row>
    <row r="10" spans="1:10" ht="30" customHeight="1" x14ac:dyDescent="0.25">
      <c r="A10" s="2" t="s">
        <v>493</v>
      </c>
      <c r="B10" s="3" t="s">
        <v>176</v>
      </c>
      <c r="C10" s="3" t="s">
        <v>28</v>
      </c>
      <c r="D10" s="3" t="s">
        <v>956</v>
      </c>
      <c r="E10" s="3" t="s">
        <v>2</v>
      </c>
      <c r="F10" s="3" t="s">
        <v>3</v>
      </c>
      <c r="G10" s="3" t="s">
        <v>29</v>
      </c>
      <c r="H10" s="643" t="s">
        <v>26</v>
      </c>
    </row>
    <row r="11" spans="1:10" ht="20.25" customHeight="1" x14ac:dyDescent="0.25">
      <c r="A11" s="5" t="str">
        <f>hdep!$A6</f>
        <v>Asset Management</v>
      </c>
      <c r="B11" s="393">
        <f>GETPIVOTDATA("Total",hdep!$A$4,"Unit",A11,"StaffType","WT")</f>
        <v>5</v>
      </c>
      <c r="C11" s="393">
        <f>GETPIVOTDATA("Total",hdep!$A$4,"Unit",A11,"StaffType","RDS")</f>
        <v>0</v>
      </c>
      <c r="D11" s="393">
        <f>GETPIVOTDATA("Total",hdep!$A$4,"Unit",A11,"StaffType","RDS Fulltime")</f>
        <v>0</v>
      </c>
      <c r="E11" s="393">
        <f>GETPIVOTDATA("Total",hdep!$A$4,"Unit",A11,"StaffType","Control")</f>
        <v>0</v>
      </c>
      <c r="F11" s="393">
        <f>GETPIVOTDATA("Total",hdep!$A$4,"Unit",A11,"StaffType","Support")</f>
        <v>185</v>
      </c>
      <c r="G11" s="393">
        <f>GETPIVOTDATA("Total",hdep!$A$4,"Unit",A11,"StaffType","Vol")</f>
        <v>0</v>
      </c>
      <c r="H11" s="665">
        <f t="shared" ref="H11:H24" si="0">SUM(B11:G11)</f>
        <v>190</v>
      </c>
    </row>
    <row r="12" spans="1:10" x14ac:dyDescent="0.25">
      <c r="A12" s="5" t="str">
        <f>hdep!$A7</f>
        <v>Business Support</v>
      </c>
      <c r="B12" s="393">
        <f>GETPIVOTDATA("Total",hdep!$A$4,"Unit",A12,"StaffType","WT")</f>
        <v>2</v>
      </c>
      <c r="C12" s="393">
        <f>GETPIVOTDATA("Total",hdep!$A$4,"Unit",A12,"StaffType","RDS")</f>
        <v>0</v>
      </c>
      <c r="D12" s="393">
        <f>GETPIVOTDATA("Total",hdep!$A$4,"Unit",A12,"StaffType","RDS Fulltime")</f>
        <v>0</v>
      </c>
      <c r="E12" s="393">
        <f>GETPIVOTDATA("Total",hdep!$A$4,"Unit",A12,"StaffType","Control")</f>
        <v>0</v>
      </c>
      <c r="F12" s="393">
        <f>GETPIVOTDATA("Total",hdep!$A$4,"Unit",A12,"StaffType","Support")</f>
        <v>71</v>
      </c>
      <c r="G12" s="393">
        <f>GETPIVOTDATA("Total",hdep!$A$4,"Unit",A12,"StaffType","Vol")</f>
        <v>0</v>
      </c>
      <c r="H12" s="665">
        <f t="shared" si="0"/>
        <v>73</v>
      </c>
    </row>
    <row r="13" spans="1:10" x14ac:dyDescent="0.25">
      <c r="A13" s="5" t="str">
        <f>hdep!$A8</f>
        <v>Finance &amp; Procurement</v>
      </c>
      <c r="B13" s="393">
        <f>GETPIVOTDATA("Total",hdep!$A$4,"Unit",A13,"StaffType","WT")</f>
        <v>0</v>
      </c>
      <c r="C13" s="393">
        <f>GETPIVOTDATA("Total",hdep!$A$4,"Unit",A13,"StaffType","RDS")</f>
        <v>0</v>
      </c>
      <c r="D13" s="393">
        <f>GETPIVOTDATA("Total",hdep!$A$4,"Unit",A13,"StaffType","RDS Fulltime")</f>
        <v>0</v>
      </c>
      <c r="E13" s="393">
        <f>GETPIVOTDATA("Total",hdep!$A$4,"Unit",A13,"StaffType","Control")</f>
        <v>0</v>
      </c>
      <c r="F13" s="393">
        <f>GETPIVOTDATA("Total",hdep!$A$4,"Unit",A13,"StaffType","Support")</f>
        <v>68</v>
      </c>
      <c r="G13" s="393">
        <f>GETPIVOTDATA("Total",hdep!$A$4,"Unit",A13,"StaffType","Vol")</f>
        <v>0</v>
      </c>
      <c r="H13" s="665">
        <f t="shared" si="0"/>
        <v>68</v>
      </c>
    </row>
    <row r="14" spans="1:10" x14ac:dyDescent="0.25">
      <c r="A14" s="5" t="str">
        <f>hdep!$A9</f>
        <v>Health and Safety</v>
      </c>
      <c r="B14" s="393">
        <f>GETPIVOTDATA("Total",hdep!$A$4,"Unit",A14,"StaffType","WT")</f>
        <v>2</v>
      </c>
      <c r="C14" s="393">
        <f>GETPIVOTDATA("Total",hdep!$A$4,"Unit",A14,"StaffType","RDS")</f>
        <v>0</v>
      </c>
      <c r="D14" s="393">
        <f>GETPIVOTDATA("Total",hdep!$A$4,"Unit",A14,"StaffType","RDS Fulltime")</f>
        <v>0</v>
      </c>
      <c r="E14" s="393">
        <f>GETPIVOTDATA("Total",hdep!$A$4,"Unit",A14,"StaffType","Control")</f>
        <v>0</v>
      </c>
      <c r="F14" s="393">
        <f>GETPIVOTDATA("Total",hdep!$A$4,"Unit",A14,"StaffType","Support")</f>
        <v>17</v>
      </c>
      <c r="G14" s="393">
        <f>GETPIVOTDATA("Total",hdep!$A$4,"Unit",A14,"StaffType","Vol")</f>
        <v>0</v>
      </c>
      <c r="H14" s="665">
        <f t="shared" si="0"/>
        <v>19</v>
      </c>
    </row>
    <row r="15" spans="1:10" x14ac:dyDescent="0.25">
      <c r="A15" s="5" t="str">
        <f>hdep!$A10</f>
        <v xml:space="preserve">Information Communication Technology </v>
      </c>
      <c r="B15" s="393">
        <f>GETPIVOTDATA("Total",hdep!$A$4,"Unit",A15,"StaffType","WT")</f>
        <v>0</v>
      </c>
      <c r="C15" s="393">
        <f>GETPIVOTDATA("Total",hdep!$A$4,"Unit",A15,"StaffType","RDS")</f>
        <v>0</v>
      </c>
      <c r="D15" s="393">
        <f>GETPIVOTDATA("Total",hdep!$A$4,"Unit",A15,"StaffType","RDS Fulltime")</f>
        <v>0</v>
      </c>
      <c r="E15" s="393">
        <f>GETPIVOTDATA("Total",hdep!$A$4,"Unit",A15,"StaffType","Control")</f>
        <v>0</v>
      </c>
      <c r="F15" s="393">
        <f>GETPIVOTDATA("Total",hdep!$A$4,"Unit",A15,"StaffType","Support")</f>
        <v>73</v>
      </c>
      <c r="G15" s="393">
        <f>GETPIVOTDATA("Total",hdep!$A$4,"Unit",A15,"StaffType","Vol")</f>
        <v>0</v>
      </c>
      <c r="H15" s="665">
        <f t="shared" si="0"/>
        <v>73</v>
      </c>
    </row>
    <row r="16" spans="1:10" x14ac:dyDescent="0.25">
      <c r="A16" s="5" t="str">
        <f>hdep!$A11</f>
        <v>People &amp; Organisational Development</v>
      </c>
      <c r="B16" s="393">
        <f>GETPIVOTDATA("Total",hdep!$A$4,"Unit",A16,"StaffType","WT")</f>
        <v>2</v>
      </c>
      <c r="C16" s="393">
        <f>GETPIVOTDATA("Total",hdep!$A$4,"Unit",A16,"StaffType","RDS")</f>
        <v>0</v>
      </c>
      <c r="D16" s="393">
        <f>GETPIVOTDATA("Total",hdep!$A$4,"Unit",A16,"StaffType","RDS Fulltime")</f>
        <v>0</v>
      </c>
      <c r="E16" s="393">
        <f>GETPIVOTDATA("Total",hdep!$A$4,"Unit",A16,"StaffType","Control")</f>
        <v>0</v>
      </c>
      <c r="F16" s="393">
        <f>GETPIVOTDATA("Total",hdep!$A$4,"Unit",A16,"StaffType","Support")</f>
        <v>95</v>
      </c>
      <c r="G16" s="393">
        <f>GETPIVOTDATA("Total",hdep!$A$4,"Unit",A16,"StaffType","Vol")</f>
        <v>0</v>
      </c>
      <c r="H16" s="665">
        <f t="shared" si="0"/>
        <v>97</v>
      </c>
    </row>
    <row r="17" spans="1:10" x14ac:dyDescent="0.25">
      <c r="A17" s="5" t="str">
        <f>hdep!$A12</f>
        <v>Prevention and Protection</v>
      </c>
      <c r="B17" s="393">
        <f>GETPIVOTDATA("Total",hdep!$A$4,"Unit",A17,"StaffType","WT")</f>
        <v>51</v>
      </c>
      <c r="C17" s="393">
        <f>GETPIVOTDATA("Total",hdep!$A$4,"Unit",A17,"StaffType","RDS")</f>
        <v>0</v>
      </c>
      <c r="D17" s="393">
        <f>GETPIVOTDATA("Total",hdep!$A$4,"Unit",A17,"StaffType","RDS Fulltime")</f>
        <v>0</v>
      </c>
      <c r="E17" s="393">
        <f>GETPIVOTDATA("Total",hdep!$A$4,"Unit",A17,"StaffType","Control")</f>
        <v>0</v>
      </c>
      <c r="F17" s="393">
        <f>GETPIVOTDATA("Total",hdep!$A$4,"Unit",A17,"StaffType","Support")</f>
        <v>17</v>
      </c>
      <c r="G17" s="393">
        <f>GETPIVOTDATA("Total",hdep!$A$4,"Unit",A17,"StaffType","Vol")</f>
        <v>0</v>
      </c>
      <c r="H17" s="665">
        <f t="shared" si="0"/>
        <v>68</v>
      </c>
    </row>
    <row r="18" spans="1:10" x14ac:dyDescent="0.25">
      <c r="A18" s="5" t="str">
        <f>hdep!$A13</f>
        <v>Response and Resilience</v>
      </c>
      <c r="B18" s="393">
        <f>GETPIVOTDATA("Total",hdep!$A$4,"Unit",A18,"StaffType","WT")</f>
        <v>52</v>
      </c>
      <c r="C18" s="393">
        <f>GETPIVOTDATA("Total",hdep!$A$4,"Unit",A18,"StaffType","RDS")</f>
        <v>0</v>
      </c>
      <c r="D18" s="393">
        <f>GETPIVOTDATA("Total",hdep!$A$4,"Unit",A18,"StaffType","RDS Fulltime")</f>
        <v>0</v>
      </c>
      <c r="E18" s="393">
        <f>GETPIVOTDATA("Total",hdep!$A$4,"Unit",A18,"StaffType","Control")</f>
        <v>186</v>
      </c>
      <c r="F18" s="393">
        <f>GETPIVOTDATA("Total",hdep!$A$4,"Unit",A18,"StaffType","Support")</f>
        <v>77</v>
      </c>
      <c r="G18" s="393">
        <f>GETPIVOTDATA("Total",hdep!$A$4,"Unit",A18,"StaffType","Vol")</f>
        <v>0</v>
      </c>
      <c r="H18" s="665">
        <f t="shared" si="0"/>
        <v>315</v>
      </c>
    </row>
    <row r="19" spans="1:10" x14ac:dyDescent="0.25">
      <c r="A19" s="5" t="str">
        <f>hdep!$A14</f>
        <v>Senior Leadership Team</v>
      </c>
      <c r="B19" s="393">
        <f>GETPIVOTDATA("Total",hdep!$A$4,"Unit",A19,"StaffType","WT")</f>
        <v>6</v>
      </c>
      <c r="C19" s="393">
        <f>GETPIVOTDATA("Total",hdep!$A$4,"Unit",A19,"StaffType","RDS")</f>
        <v>0</v>
      </c>
      <c r="D19" s="393">
        <f>GETPIVOTDATA("Total",hdep!$A$4,"Unit",A19,"StaffType","RDS Fulltime")</f>
        <v>0</v>
      </c>
      <c r="E19" s="393">
        <f>GETPIVOTDATA("Total",hdep!$A$4,"Unit",A19,"StaffType","Control")</f>
        <v>0</v>
      </c>
      <c r="F19" s="393">
        <f>GETPIVOTDATA("Total",hdep!$A$4,"Unit",A19,"StaffType","Support")</f>
        <v>3</v>
      </c>
      <c r="G19" s="393">
        <f>GETPIVOTDATA("Total",hdep!$A$4,"Unit",A19,"StaffType","Vol")</f>
        <v>0</v>
      </c>
      <c r="H19" s="665">
        <f t="shared" si="0"/>
        <v>9</v>
      </c>
    </row>
    <row r="20" spans="1:10" x14ac:dyDescent="0.25">
      <c r="A20" s="5" t="str">
        <f>hdep!$A15</f>
        <v>Service Delivery</v>
      </c>
      <c r="B20" s="393">
        <f>GETPIVOTDATA("Total",hdep!$A$4,"Unit",A20,"StaffType","WT")</f>
        <v>3358</v>
      </c>
      <c r="C20" s="393">
        <f>GETPIVOTDATA("Total",hdep!$A$4,"Unit",A20,"StaffType","RDS")</f>
        <v>2937</v>
      </c>
      <c r="D20" s="393">
        <f>GETPIVOTDATA("Total",hdep!$A$4,"Unit",A20,"StaffType","RDS Fulltime")</f>
        <v>36</v>
      </c>
      <c r="E20" s="393">
        <f>GETPIVOTDATA("Total",hdep!$A$4,"Unit",A20,"StaffType","Control")</f>
        <v>0</v>
      </c>
      <c r="F20" s="393">
        <f>GETPIVOTDATA("Total",hdep!$A$4,"Unit",A20,"StaffType","Support")</f>
        <v>96</v>
      </c>
      <c r="G20" s="393">
        <f>GETPIVOTDATA("Total",hdep!$A$4,"Unit",A20,"StaffType","Vol")</f>
        <v>315</v>
      </c>
      <c r="H20" s="665">
        <f t="shared" si="0"/>
        <v>6742</v>
      </c>
    </row>
    <row r="21" spans="1:10" x14ac:dyDescent="0.25">
      <c r="A21" s="5" t="str">
        <f>hdep!$A16</f>
        <v>Service Transformation</v>
      </c>
      <c r="B21" s="393">
        <f>GETPIVOTDATA("Total",hdep!$A$4,"Unit",A21,"StaffType","WT")</f>
        <v>5</v>
      </c>
      <c r="C21" s="393">
        <f>GETPIVOTDATA("Total",hdep!$A$4,"Unit",A21,"StaffType","RDS")</f>
        <v>0</v>
      </c>
      <c r="D21" s="393">
        <f>GETPIVOTDATA("Total",hdep!$A$4,"Unit",A21,"StaffType","RDS Fulltime")</f>
        <v>0</v>
      </c>
      <c r="E21" s="393">
        <f>GETPIVOTDATA("Total",hdep!$A$4,"Unit",A21,"StaffType","Control")</f>
        <v>0</v>
      </c>
      <c r="F21" s="393">
        <f>GETPIVOTDATA("Total",hdep!$A$4,"Unit",A21,"StaffType","Support")</f>
        <v>1</v>
      </c>
      <c r="G21" s="393">
        <f>GETPIVOTDATA("Total",hdep!$A$4,"Unit",A21,"StaffType","Vol")</f>
        <v>0</v>
      </c>
      <c r="H21" s="665">
        <f t="shared" si="0"/>
        <v>6</v>
      </c>
    </row>
    <row r="22" spans="1:10" x14ac:dyDescent="0.25">
      <c r="A22" s="5" t="str">
        <f>hdep!$A17</f>
        <v>Strategic Planning Performance and Communication</v>
      </c>
      <c r="B22" s="393">
        <f>GETPIVOTDATA("Total",hdep!$A$4,"Unit",A22,"StaffType","WT")</f>
        <v>2</v>
      </c>
      <c r="C22" s="393">
        <f>GETPIVOTDATA("Total",hdep!$A$4,"Unit",A22,"StaffType","RDS")</f>
        <v>0</v>
      </c>
      <c r="D22" s="393">
        <f>GETPIVOTDATA("Total",hdep!$A$4,"Unit",A22,"StaffType","RDS Fulltime")</f>
        <v>0</v>
      </c>
      <c r="E22" s="393">
        <f>GETPIVOTDATA("Total",hdep!$A$4,"Unit",A22,"StaffType","Control")</f>
        <v>0</v>
      </c>
      <c r="F22" s="393">
        <f>GETPIVOTDATA("Total",hdep!$A$4,"Unit",A22,"StaffType","Support")</f>
        <v>61</v>
      </c>
      <c r="G22" s="393">
        <f>GETPIVOTDATA("Total",hdep!$A$4,"Unit",A22,"StaffType","Vol")</f>
        <v>0</v>
      </c>
      <c r="H22" s="665">
        <f t="shared" si="0"/>
        <v>63</v>
      </c>
    </row>
    <row r="23" spans="1:10" x14ac:dyDescent="0.25">
      <c r="A23" s="5" t="str">
        <f>hdep!$A18</f>
        <v>Trainees</v>
      </c>
      <c r="B23" s="393">
        <f>GETPIVOTDATA("Total",hdep!$A$4,"Unit",A23,"StaffType","WT")</f>
        <v>53</v>
      </c>
      <c r="C23" s="393">
        <f>GETPIVOTDATA("Total",hdep!$A$4,"Unit",A23,"StaffType","RDS")</f>
        <v>0</v>
      </c>
      <c r="D23" s="393">
        <f>GETPIVOTDATA("Total",hdep!$A$4,"Unit",A23,"StaffType","RDS Fulltime")</f>
        <v>0</v>
      </c>
      <c r="E23" s="393">
        <f>GETPIVOTDATA("Total",hdep!$A$4,"Unit",A23,"StaffType","Control")</f>
        <v>2</v>
      </c>
      <c r="F23" s="393">
        <f>GETPIVOTDATA("Total",hdep!$A$4,"Unit",A23,"StaffType","Support")</f>
        <v>2</v>
      </c>
      <c r="G23" s="393">
        <f>GETPIVOTDATA("Total",hdep!$A$4,"Unit",A23,"StaffType","Vol")</f>
        <v>0</v>
      </c>
      <c r="H23" s="665">
        <f t="shared" si="0"/>
        <v>57</v>
      </c>
    </row>
    <row r="24" spans="1:10" x14ac:dyDescent="0.25">
      <c r="A24" s="5" t="str">
        <f>hdep!$A19</f>
        <v>Training and Employee Development</v>
      </c>
      <c r="B24" s="393">
        <f>GETPIVOTDATA("Total",hdep!$A$4,"Unit",A24,"StaffType","WT")</f>
        <v>98</v>
      </c>
      <c r="C24" s="393">
        <f>GETPIVOTDATA("Total",hdep!$A$4,"Unit",A24,"StaffType","RDS")</f>
        <v>0</v>
      </c>
      <c r="D24" s="393">
        <f>GETPIVOTDATA("Total",hdep!$A$4,"Unit",A24,"StaffType","RDS Fulltime")</f>
        <v>0</v>
      </c>
      <c r="E24" s="393">
        <f>GETPIVOTDATA("Total",hdep!$A$4,"Unit",A24,"StaffType","Control")</f>
        <v>0</v>
      </c>
      <c r="F24" s="393">
        <f>GETPIVOTDATA("Total",hdep!$A$4,"Unit",A24,"StaffType","Support")</f>
        <v>52</v>
      </c>
      <c r="G24" s="393">
        <f>GETPIVOTDATA("Total",hdep!$A$4,"Unit",A24,"StaffType","Vol")</f>
        <v>0</v>
      </c>
      <c r="H24" s="665">
        <f t="shared" si="0"/>
        <v>150</v>
      </c>
    </row>
    <row r="25" spans="1:10" x14ac:dyDescent="0.25">
      <c r="A25" s="1062"/>
      <c r="B25" s="436"/>
      <c r="C25" s="436"/>
      <c r="D25" s="436"/>
      <c r="E25" s="436"/>
      <c r="F25" s="436"/>
      <c r="G25" s="436"/>
      <c r="H25" s="1063"/>
    </row>
    <row r="26" spans="1:10" ht="15" customHeight="1" x14ac:dyDescent="0.25"/>
    <row r="27" spans="1:10" ht="15" customHeight="1" x14ac:dyDescent="0.25">
      <c r="A27" s="437" t="s">
        <v>8</v>
      </c>
    </row>
    <row r="28" spans="1:10" ht="30" customHeight="1" x14ac:dyDescent="0.25">
      <c r="A28" s="1092" t="s">
        <v>802</v>
      </c>
      <c r="B28" s="1092"/>
      <c r="C28" s="1092"/>
      <c r="D28" s="1092"/>
      <c r="E28" s="1092"/>
      <c r="F28" s="1092"/>
      <c r="G28" s="1092"/>
      <c r="H28" s="1092"/>
    </row>
    <row r="29" spans="1:10" ht="15" customHeight="1" x14ac:dyDescent="0.25">
      <c r="A29" t="s">
        <v>512</v>
      </c>
    </row>
    <row r="30" spans="1:10" ht="15" customHeight="1" x14ac:dyDescent="0.25"/>
    <row r="31" spans="1:10" ht="24" customHeight="1" x14ac:dyDescent="0.25">
      <c r="A31" s="657" t="s">
        <v>537</v>
      </c>
      <c r="B31" s="657"/>
      <c r="C31" s="657"/>
      <c r="D31" s="657"/>
      <c r="E31" s="657"/>
      <c r="F31" s="657"/>
      <c r="G31" s="657"/>
      <c r="H31" s="657"/>
      <c r="I31" s="657"/>
      <c r="J31" s="657"/>
    </row>
    <row r="32" spans="1:10" ht="15" customHeight="1" x14ac:dyDescent="0.25">
      <c r="A32" t="s">
        <v>511</v>
      </c>
      <c r="B32" s="623"/>
      <c r="C32" s="623"/>
      <c r="D32" s="1022"/>
      <c r="E32" s="623"/>
      <c r="F32" s="623"/>
      <c r="G32" s="623"/>
      <c r="H32" s="623"/>
      <c r="I32" s="623"/>
      <c r="J32" s="623"/>
    </row>
    <row r="33" spans="1:7" ht="15" customHeight="1" x14ac:dyDescent="0.25">
      <c r="A33" t="s">
        <v>363</v>
      </c>
      <c r="B33" t="s">
        <v>723</v>
      </c>
    </row>
    <row r="34" spans="1:7" ht="15" customHeight="1" x14ac:dyDescent="0.25">
      <c r="A34" t="s">
        <v>364</v>
      </c>
      <c r="B34" t="s">
        <v>366</v>
      </c>
    </row>
    <row r="35" spans="1:7" ht="15" customHeight="1" x14ac:dyDescent="0.25">
      <c r="A35" t="s">
        <v>365</v>
      </c>
      <c r="B35" t="s">
        <v>367</v>
      </c>
    </row>
    <row r="36" spans="1:7" ht="15" customHeight="1" x14ac:dyDescent="0.25"/>
    <row r="37" spans="1:7" ht="39" customHeight="1" x14ac:dyDescent="0.25">
      <c r="A37" s="2" t="s">
        <v>493</v>
      </c>
      <c r="B37" s="3" t="s">
        <v>176</v>
      </c>
      <c r="C37" s="3" t="s">
        <v>28</v>
      </c>
      <c r="D37" s="3" t="s">
        <v>956</v>
      </c>
      <c r="E37" s="3" t="s">
        <v>2</v>
      </c>
      <c r="F37" s="3" t="s">
        <v>3</v>
      </c>
      <c r="G37" s="3" t="s">
        <v>91</v>
      </c>
    </row>
    <row r="38" spans="1:7" ht="21" customHeight="1" x14ac:dyDescent="0.25">
      <c r="A38" s="5" t="str">
        <f>hdep!$A32</f>
        <v>Asset Management</v>
      </c>
      <c r="B38" s="393">
        <f>GETPIVOTDATA("Total",hdep!$A$32,"Unit",A38,"StaffType","WT")</f>
        <v>5</v>
      </c>
      <c r="C38" s="393">
        <f>GETPIVOTDATA("Total",hdep!$A$32,"Unit",A38,"StaffType","RDS")</f>
        <v>0</v>
      </c>
      <c r="D38" s="393">
        <f>GETPIVOTDATA("Total",hdep!$A$30,"Unit",A38,"StaffType","RDS Fulltime")</f>
        <v>0</v>
      </c>
      <c r="E38" s="393">
        <f>GETPIVOTDATA("Total",hdep!$A$32,"Unit",A38,"StaffType","Control")</f>
        <v>0</v>
      </c>
      <c r="F38" s="393">
        <f>GETPIVOTDATA("Total",hdep!$A$32,"Unit",A38,"StaffType","Support")</f>
        <v>182.2</v>
      </c>
      <c r="G38" s="1034">
        <f>SUM(B38:F38)</f>
        <v>187.2</v>
      </c>
    </row>
    <row r="39" spans="1:7" x14ac:dyDescent="0.25">
      <c r="A39" s="5" t="str">
        <f>hdep!$A33</f>
        <v>Business Support</v>
      </c>
      <c r="B39" s="393">
        <f>GETPIVOTDATA("Total",hdep!$A$32,"Unit",A39,"StaffType","WT")</f>
        <v>2</v>
      </c>
      <c r="C39" s="393">
        <f>GETPIVOTDATA("Total",hdep!$A$32,"Unit",A39,"StaffType","RDS")</f>
        <v>0</v>
      </c>
      <c r="D39" s="393">
        <f>GETPIVOTDATA("Total",hdep!$A$30,"Unit",A39,"StaffType","RDS Fulltime")</f>
        <v>0</v>
      </c>
      <c r="E39" s="393">
        <f>GETPIVOTDATA("Total",hdep!$A$32,"Unit",A39,"StaffType","Control")</f>
        <v>0</v>
      </c>
      <c r="F39" s="393">
        <f>GETPIVOTDATA("Total",hdep!$A$32,"Unit",A39,"StaffType","Support")</f>
        <v>63.31</v>
      </c>
      <c r="G39" s="1034">
        <f t="shared" ref="G39:G51" si="1">SUM(B39:F39)</f>
        <v>65.31</v>
      </c>
    </row>
    <row r="40" spans="1:7" x14ac:dyDescent="0.25">
      <c r="A40" s="5" t="str">
        <f>hdep!$A34</f>
        <v>Finance &amp; Procurement</v>
      </c>
      <c r="B40" s="393">
        <f>GETPIVOTDATA("Total",hdep!$A$32,"Unit",A40,"StaffType","WT")</f>
        <v>0</v>
      </c>
      <c r="C40" s="393">
        <f>GETPIVOTDATA("Total",hdep!$A$32,"Unit",A40,"StaffType","RDS")</f>
        <v>0</v>
      </c>
      <c r="D40" s="393">
        <f>GETPIVOTDATA("Total",hdep!$A$30,"Unit",A40,"StaffType","RDS Fulltime")</f>
        <v>0</v>
      </c>
      <c r="E40" s="393">
        <f>GETPIVOTDATA("Total",hdep!$A$32,"Unit",A40,"StaffType","Control")</f>
        <v>0</v>
      </c>
      <c r="F40" s="393">
        <f>GETPIVOTDATA("Total",hdep!$A$32,"Unit",A40,"StaffType","Support")</f>
        <v>62.3</v>
      </c>
      <c r="G40" s="1034">
        <f t="shared" si="1"/>
        <v>62.3</v>
      </c>
    </row>
    <row r="41" spans="1:7" x14ac:dyDescent="0.25">
      <c r="A41" s="5" t="str">
        <f>hdep!$A35</f>
        <v>Health and Safety</v>
      </c>
      <c r="B41" s="393">
        <f>GETPIVOTDATA("Total",hdep!$A$32,"Unit",A41,"StaffType","WT")</f>
        <v>2</v>
      </c>
      <c r="C41" s="393">
        <f>GETPIVOTDATA("Total",hdep!$A$32,"Unit",A41,"StaffType","RDS")</f>
        <v>0</v>
      </c>
      <c r="D41" s="393">
        <f>GETPIVOTDATA("Total",hdep!$A$30,"Unit",A41,"StaffType","RDS Fulltime")</f>
        <v>0</v>
      </c>
      <c r="E41" s="393">
        <f>GETPIVOTDATA("Total",hdep!$A$32,"Unit",A41,"StaffType","Control")</f>
        <v>0</v>
      </c>
      <c r="F41" s="393">
        <f>GETPIVOTDATA("Total",hdep!$A$32,"Unit",A41,"StaffType","Support")</f>
        <v>16.86</v>
      </c>
      <c r="G41" s="1034">
        <f t="shared" si="1"/>
        <v>18.86</v>
      </c>
    </row>
    <row r="42" spans="1:7" x14ac:dyDescent="0.25">
      <c r="A42" s="5" t="str">
        <f>hdep!$A36</f>
        <v xml:space="preserve">Information Communication Technology </v>
      </c>
      <c r="B42" s="393">
        <f>GETPIVOTDATA("Total",hdep!$A$32,"Unit",A42,"StaffType","WT")</f>
        <v>0</v>
      </c>
      <c r="C42" s="393">
        <f>GETPIVOTDATA("Total",hdep!$A$32,"Unit",A42,"StaffType","RDS")</f>
        <v>0</v>
      </c>
      <c r="D42" s="393">
        <f>GETPIVOTDATA("Total",hdep!$A$30,"Unit",A42,"StaffType","RDS Fulltime")</f>
        <v>0</v>
      </c>
      <c r="E42" s="393">
        <f>GETPIVOTDATA("Total",hdep!$A$32,"Unit",A42,"StaffType","Control")</f>
        <v>0</v>
      </c>
      <c r="F42" s="393">
        <f>GETPIVOTDATA("Total",hdep!$A$32,"Unit",A42,"StaffType","Support")</f>
        <v>71.489999999999995</v>
      </c>
      <c r="G42" s="1034">
        <f t="shared" si="1"/>
        <v>71.489999999999995</v>
      </c>
    </row>
    <row r="43" spans="1:7" x14ac:dyDescent="0.25">
      <c r="A43" s="5" t="str">
        <f>hdep!$A37</f>
        <v>People &amp; Organisational Development</v>
      </c>
      <c r="B43" s="393">
        <f>GETPIVOTDATA("Total",hdep!$A$32,"Unit",A43,"StaffType","WT")</f>
        <v>2</v>
      </c>
      <c r="C43" s="393">
        <f>GETPIVOTDATA("Total",hdep!$A$32,"Unit",A43,"StaffType","RDS")</f>
        <v>0</v>
      </c>
      <c r="D43" s="393">
        <f>GETPIVOTDATA("Total",hdep!$A$30,"Unit",A43,"StaffType","RDS Fulltime")</f>
        <v>0</v>
      </c>
      <c r="E43" s="393">
        <f>GETPIVOTDATA("Total",hdep!$A$32,"Unit",A43,"StaffType","Control")</f>
        <v>0</v>
      </c>
      <c r="F43" s="393">
        <f>GETPIVOTDATA("Total",hdep!$A$32,"Unit",A43,"StaffType","Support")</f>
        <v>90.619999999999976</v>
      </c>
      <c r="G43" s="1034">
        <f t="shared" si="1"/>
        <v>92.619999999999976</v>
      </c>
    </row>
    <row r="44" spans="1:7" x14ac:dyDescent="0.25">
      <c r="A44" s="5" t="str">
        <f>hdep!$A38</f>
        <v>Prevention and Protection</v>
      </c>
      <c r="B44" s="393">
        <f>GETPIVOTDATA("Total",hdep!$A$32,"Unit",A44,"StaffType","WT")</f>
        <v>51</v>
      </c>
      <c r="C44" s="393">
        <f>GETPIVOTDATA("Total",hdep!$A$32,"Unit",A44,"StaffType","RDS")</f>
        <v>0</v>
      </c>
      <c r="D44" s="393">
        <f>GETPIVOTDATA("Total",hdep!$A$30,"Unit",A44,"StaffType","RDS Fulltime")</f>
        <v>0</v>
      </c>
      <c r="E44" s="393">
        <f>GETPIVOTDATA("Total",hdep!$A$32,"Unit",A44,"StaffType","Control")</f>
        <v>0</v>
      </c>
      <c r="F44" s="393">
        <f>GETPIVOTDATA("Total",hdep!$A$32,"Unit",A44,"StaffType","Support")</f>
        <v>16.689999999999998</v>
      </c>
      <c r="G44" s="1034">
        <f t="shared" si="1"/>
        <v>67.69</v>
      </c>
    </row>
    <row r="45" spans="1:7" x14ac:dyDescent="0.25">
      <c r="A45" s="5" t="str">
        <f>hdep!$A39</f>
        <v>Response and Resilience</v>
      </c>
      <c r="B45" s="393">
        <f>GETPIVOTDATA("Total",hdep!$A$32,"Unit",A45,"StaffType","WT")</f>
        <v>52</v>
      </c>
      <c r="C45" s="393">
        <f>GETPIVOTDATA("Total",hdep!$A$32,"Unit",A45,"StaffType","RDS")</f>
        <v>0</v>
      </c>
      <c r="D45" s="393">
        <f>GETPIVOTDATA("Total",hdep!$A$30,"Unit",A45,"StaffType","RDS Fulltime")</f>
        <v>0</v>
      </c>
      <c r="E45" s="393">
        <f>GETPIVOTDATA("Total",hdep!$A$32,"Unit",A45,"StaffType","Control")</f>
        <v>181.83</v>
      </c>
      <c r="F45" s="393">
        <f>GETPIVOTDATA("Total",hdep!$A$32,"Unit",A45,"StaffType","Support")</f>
        <v>72.069999999999993</v>
      </c>
      <c r="G45" s="1034">
        <f t="shared" si="1"/>
        <v>305.89999999999998</v>
      </c>
    </row>
    <row r="46" spans="1:7" x14ac:dyDescent="0.25">
      <c r="A46" s="5" t="str">
        <f>hdep!$A40</f>
        <v>Senior Leadership Team</v>
      </c>
      <c r="B46" s="393">
        <f>GETPIVOTDATA("Total",hdep!$A$32,"Unit",A46,"StaffType","WT")</f>
        <v>6</v>
      </c>
      <c r="C46" s="393">
        <f>GETPIVOTDATA("Total",hdep!$A$32,"Unit",A46,"StaffType","RDS")</f>
        <v>0</v>
      </c>
      <c r="D46" s="393">
        <f>GETPIVOTDATA("Total",hdep!$A$30,"Unit",A46,"StaffType","RDS Fulltime")</f>
        <v>0</v>
      </c>
      <c r="E46" s="393">
        <f>GETPIVOTDATA("Total",hdep!$A$32,"Unit",A46,"StaffType","Control")</f>
        <v>0</v>
      </c>
      <c r="F46" s="393">
        <f>GETPIVOTDATA("Total",hdep!$A$32,"Unit",A46,"StaffType","Support")</f>
        <v>3</v>
      </c>
      <c r="G46" s="1034">
        <f t="shared" si="1"/>
        <v>9</v>
      </c>
    </row>
    <row r="47" spans="1:7" x14ac:dyDescent="0.25">
      <c r="A47" s="5" t="str">
        <f>hdep!$A41</f>
        <v>Service Delivery</v>
      </c>
      <c r="B47" s="393">
        <f>GETPIVOTDATA("Total",hdep!$A$32,"Unit",A47,"StaffType","WT")</f>
        <v>3355.93</v>
      </c>
      <c r="C47" s="393">
        <f>GETPIVOTDATA("Total",hdep!$A$32,"Unit",A47,"StaffType","RDS")</f>
        <v>2551.73</v>
      </c>
      <c r="D47" s="393">
        <f>GETPIVOTDATA("Total",hdep!$A$30,"Unit",A47,"StaffType","RDS Fulltime")</f>
        <v>36</v>
      </c>
      <c r="E47" s="393">
        <f>GETPIVOTDATA("Total",hdep!$A$32,"Unit",A47,"StaffType","Control")</f>
        <v>0</v>
      </c>
      <c r="F47" s="393">
        <f>GETPIVOTDATA("Total",hdep!$A$32,"Unit",A47,"StaffType","Support")</f>
        <v>78.53</v>
      </c>
      <c r="G47" s="1034">
        <f t="shared" si="1"/>
        <v>6022.19</v>
      </c>
    </row>
    <row r="48" spans="1:7" x14ac:dyDescent="0.25">
      <c r="A48" s="5" t="str">
        <f>hdep!$A42</f>
        <v>Service Transformation</v>
      </c>
      <c r="B48" s="393">
        <f>GETPIVOTDATA("Total",hdep!$A$32,"Unit",A48,"StaffType","WT")</f>
        <v>5</v>
      </c>
      <c r="C48" s="393">
        <f>GETPIVOTDATA("Total",hdep!$A$32,"Unit",A48,"StaffType","RDS")</f>
        <v>0</v>
      </c>
      <c r="D48" s="393">
        <f>GETPIVOTDATA("Total",hdep!$A$30,"Unit",A48,"StaffType","RDS Fulltime")</f>
        <v>0</v>
      </c>
      <c r="E48" s="393">
        <f>GETPIVOTDATA("Total",hdep!$A$32,"Unit",A48,"StaffType","Control")</f>
        <v>0</v>
      </c>
      <c r="F48" s="393">
        <f>GETPIVOTDATA("Total",hdep!$A$32,"Unit",A48,"StaffType","Support")</f>
        <v>1</v>
      </c>
      <c r="G48" s="1034">
        <f t="shared" si="1"/>
        <v>6</v>
      </c>
    </row>
    <row r="49" spans="1:10" x14ac:dyDescent="0.25">
      <c r="A49" s="5" t="str">
        <f>hdep!$A43</f>
        <v>Strategic Planning Performance and Communication</v>
      </c>
      <c r="B49" s="393">
        <f>GETPIVOTDATA("Total",hdep!$A$32,"Unit",A49,"StaffType","WT")</f>
        <v>2</v>
      </c>
      <c r="C49" s="393">
        <f>GETPIVOTDATA("Total",hdep!$A$32,"Unit",A49,"StaffType","RDS")</f>
        <v>0</v>
      </c>
      <c r="D49" s="393">
        <f>GETPIVOTDATA("Total",hdep!$A$30,"Unit",A49,"StaffType","RDS Fulltime")</f>
        <v>0</v>
      </c>
      <c r="E49" s="393">
        <f>GETPIVOTDATA("Total",hdep!$A$32,"Unit",A49,"StaffType","Control")</f>
        <v>0</v>
      </c>
      <c r="F49" s="393">
        <f>GETPIVOTDATA("Total",hdep!$A$32,"Unit",A49,"StaffType","Support")</f>
        <v>58.52</v>
      </c>
      <c r="G49" s="1034">
        <f t="shared" si="1"/>
        <v>60.52</v>
      </c>
    </row>
    <row r="50" spans="1:10" x14ac:dyDescent="0.25">
      <c r="A50" s="5" t="str">
        <f>hdep!$A44</f>
        <v>Trainees</v>
      </c>
      <c r="B50" s="393">
        <f>GETPIVOTDATA("Total",hdep!$A$32,"Unit",A50,"StaffType","WT")</f>
        <v>53</v>
      </c>
      <c r="C50" s="393">
        <f>GETPIVOTDATA("Total",hdep!$A$32,"Unit",A50,"StaffType","RDS")</f>
        <v>0</v>
      </c>
      <c r="D50" s="393">
        <f>GETPIVOTDATA("Total",hdep!$A$30,"Unit",A50,"StaffType","RDS Fulltime")</f>
        <v>0</v>
      </c>
      <c r="E50" s="393">
        <f>GETPIVOTDATA("Total",hdep!$A$32,"Unit",A50,"StaffType","Control")</f>
        <v>2</v>
      </c>
      <c r="F50" s="393">
        <f>GETPIVOTDATA("Total",hdep!$A$32,"Unit",A50,"StaffType","Support")</f>
        <v>2</v>
      </c>
      <c r="G50" s="1034">
        <f t="shared" si="1"/>
        <v>57</v>
      </c>
    </row>
    <row r="51" spans="1:10" x14ac:dyDescent="0.25">
      <c r="A51" s="5" t="str">
        <f>hdep!$A45</f>
        <v>Training and Employee Development</v>
      </c>
      <c r="B51" s="393">
        <f>GETPIVOTDATA("Total",hdep!$A$32,"Unit",A51,"StaffType","WT")</f>
        <v>98</v>
      </c>
      <c r="C51" s="393">
        <f>GETPIVOTDATA("Total",hdep!$A$32,"Unit",A51,"StaffType","RDS")</f>
        <v>0</v>
      </c>
      <c r="D51" s="393">
        <f>GETPIVOTDATA("Total",hdep!$A$30,"Unit",A51,"StaffType","RDS Fulltime")</f>
        <v>0</v>
      </c>
      <c r="E51" s="393">
        <f>GETPIVOTDATA("Total",hdep!$A$32,"Unit",A51,"StaffType","Control")</f>
        <v>0</v>
      </c>
      <c r="F51" s="393">
        <f>GETPIVOTDATA("Total",hdep!$A$32,"Unit",A51,"StaffType","Support")</f>
        <v>46.81</v>
      </c>
      <c r="G51" s="1034">
        <f t="shared" si="1"/>
        <v>144.81</v>
      </c>
    </row>
    <row r="52" spans="1:10" x14ac:dyDescent="0.25">
      <c r="A52" s="1062"/>
      <c r="B52" s="436"/>
      <c r="C52" s="436"/>
      <c r="D52" s="436"/>
      <c r="E52" s="436"/>
      <c r="F52" s="436"/>
      <c r="G52" s="1064"/>
    </row>
    <row r="53" spans="1:10" x14ac:dyDescent="0.25">
      <c r="A53" s="5"/>
      <c r="B53" s="393"/>
      <c r="C53" s="393"/>
      <c r="D53" s="393"/>
      <c r="E53" s="393"/>
      <c r="F53" s="393"/>
      <c r="G53" s="393"/>
      <c r="H53" s="665"/>
    </row>
    <row r="54" spans="1:10" x14ac:dyDescent="0.25">
      <c r="A54" s="437" t="s">
        <v>8</v>
      </c>
    </row>
    <row r="55" spans="1:10" ht="30" customHeight="1" x14ac:dyDescent="0.25">
      <c r="A55" s="1092" t="s">
        <v>802</v>
      </c>
      <c r="B55" s="1092"/>
      <c r="C55" s="1092"/>
      <c r="D55" s="1092"/>
      <c r="E55" s="1092"/>
      <c r="F55" s="1092"/>
      <c r="G55" s="1092"/>
      <c r="H55" s="1092"/>
    </row>
    <row r="56" spans="1:10" x14ac:dyDescent="0.25">
      <c r="A56" t="s">
        <v>512</v>
      </c>
    </row>
    <row r="57" spans="1:10" ht="19.5" customHeight="1" x14ac:dyDescent="0.25">
      <c r="A57" s="1075" t="s">
        <v>226</v>
      </c>
      <c r="B57" s="1075"/>
      <c r="C57" s="1075"/>
      <c r="D57" s="1075"/>
      <c r="E57" s="1075"/>
      <c r="F57" s="1075"/>
      <c r="G57" s="1075"/>
      <c r="H57" s="1075"/>
      <c r="I57" s="548"/>
      <c r="J57" s="548"/>
    </row>
    <row r="58" spans="1:10" x14ac:dyDescent="0.25">
      <c r="A58" t="s">
        <v>225</v>
      </c>
      <c r="E58" s="544"/>
    </row>
    <row r="59" spans="1:10" x14ac:dyDescent="0.25">
      <c r="A59" s="544" t="s">
        <v>506</v>
      </c>
    </row>
  </sheetData>
  <sheetProtection algorithmName="SHA-512" hashValue="PjwWGbb5LvCpEpv2R2u+jFqIWRSdBDXIBcfhaJKWLixe+hOCo/phEBfpCo6w+7hvfQzjniKMOMYNdlggYg1B4Q==" saltValue="5JrpX+TH4g6RUcvTae4UZw==" spinCount="100000" sheet="1" scenarios="1" formatCells="0" formatColumns="0" formatRows="0" sort="0" autoFilter="0" pivotTables="0"/>
  <mergeCells count="3">
    <mergeCell ref="A28:H28"/>
    <mergeCell ref="A55:H55"/>
    <mergeCell ref="A57:H57"/>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46"/>
  <sheetViews>
    <sheetView topLeftCell="A21" workbookViewId="0">
      <selection activeCell="A13" sqref="A13"/>
    </sheetView>
  </sheetViews>
  <sheetFormatPr defaultRowHeight="15" x14ac:dyDescent="0.25"/>
  <cols>
    <col min="1" max="1" width="48.140625" bestFit="1" customWidth="1"/>
    <col min="2" max="2" width="16.28515625" bestFit="1" customWidth="1"/>
    <col min="3" max="3" width="8" bestFit="1" customWidth="1"/>
    <col min="4" max="4" width="12.28515625" bestFit="1" customWidth="1"/>
    <col min="5" max="5" width="8" bestFit="1" customWidth="1"/>
    <col min="6" max="6" width="4" bestFit="1" customWidth="1"/>
    <col min="7" max="7" width="8" bestFit="1" customWidth="1"/>
    <col min="8" max="8" width="11.28515625" bestFit="1" customWidth="1"/>
    <col min="9" max="9" width="10.5703125" bestFit="1" customWidth="1"/>
    <col min="10" max="10" width="17.42578125" bestFit="1" customWidth="1"/>
    <col min="11" max="11" width="9.85546875" bestFit="1" customWidth="1"/>
    <col min="12" max="12" width="10.5703125" bestFit="1" customWidth="1"/>
    <col min="13" max="13" width="12.85546875" bestFit="1" customWidth="1"/>
    <col min="14" max="14" width="5.85546875" bestFit="1" customWidth="1"/>
    <col min="15" max="15" width="10.5703125" bestFit="1" customWidth="1"/>
    <col min="16" max="16" width="8.85546875" bestFit="1" customWidth="1"/>
    <col min="17" max="17" width="8" bestFit="1" customWidth="1"/>
    <col min="18" max="18" width="10.5703125" bestFit="1" customWidth="1"/>
    <col min="19" max="19" width="9" bestFit="1" customWidth="1"/>
    <col min="20" max="20" width="11.28515625" bestFit="1" customWidth="1"/>
  </cols>
  <sheetData>
    <row r="1" spans="1:8" x14ac:dyDescent="0.25">
      <c r="A1" s="565" t="s">
        <v>329</v>
      </c>
      <c r="B1" t="s">
        <v>851</v>
      </c>
      <c r="D1" t="str">
        <f>B1</f>
        <v>2019-20</v>
      </c>
    </row>
    <row r="2" spans="1:8" x14ac:dyDescent="0.25">
      <c r="A2" s="565" t="s">
        <v>566</v>
      </c>
      <c r="B2" t="s">
        <v>88</v>
      </c>
    </row>
    <row r="4" spans="1:8" x14ac:dyDescent="0.25">
      <c r="A4" s="565" t="s">
        <v>252</v>
      </c>
      <c r="B4" s="565" t="s">
        <v>271</v>
      </c>
    </row>
    <row r="5" spans="1:8" x14ac:dyDescent="0.25">
      <c r="A5" s="565" t="s">
        <v>246</v>
      </c>
      <c r="B5" t="s">
        <v>2</v>
      </c>
      <c r="C5" t="s">
        <v>9</v>
      </c>
      <c r="D5" t="s">
        <v>852</v>
      </c>
      <c r="E5" t="s">
        <v>3</v>
      </c>
      <c r="F5" t="s">
        <v>315</v>
      </c>
      <c r="G5" t="s">
        <v>316</v>
      </c>
      <c r="H5" t="s">
        <v>251</v>
      </c>
    </row>
    <row r="6" spans="1:8" x14ac:dyDescent="0.25">
      <c r="A6" s="1068" t="s">
        <v>1013</v>
      </c>
      <c r="B6" s="567"/>
      <c r="C6" s="567"/>
      <c r="D6" s="567"/>
      <c r="E6" s="567">
        <v>185</v>
      </c>
      <c r="F6" s="567"/>
      <c r="G6" s="567">
        <v>5</v>
      </c>
      <c r="H6" s="567">
        <v>190</v>
      </c>
    </row>
    <row r="7" spans="1:8" x14ac:dyDescent="0.25">
      <c r="A7" s="1068" t="s">
        <v>1014</v>
      </c>
      <c r="B7" s="567"/>
      <c r="C7" s="567"/>
      <c r="D7" s="567"/>
      <c r="E7" s="567">
        <v>71</v>
      </c>
      <c r="F7" s="567"/>
      <c r="G7" s="567">
        <v>2</v>
      </c>
      <c r="H7" s="567">
        <v>73</v>
      </c>
    </row>
    <row r="8" spans="1:8" x14ac:dyDescent="0.25">
      <c r="A8" s="1068" t="s">
        <v>1015</v>
      </c>
      <c r="B8" s="567"/>
      <c r="C8" s="567"/>
      <c r="D8" s="567"/>
      <c r="E8" s="567">
        <v>68</v>
      </c>
      <c r="F8" s="567"/>
      <c r="G8" s="567"/>
      <c r="H8" s="567">
        <v>68</v>
      </c>
    </row>
    <row r="9" spans="1:8" x14ac:dyDescent="0.25">
      <c r="A9" s="1068" t="s">
        <v>1016</v>
      </c>
      <c r="B9" s="567"/>
      <c r="C9" s="567"/>
      <c r="D9" s="567"/>
      <c r="E9" s="567">
        <v>17</v>
      </c>
      <c r="F9" s="567"/>
      <c r="G9" s="567">
        <v>2</v>
      </c>
      <c r="H9" s="567">
        <v>19</v>
      </c>
    </row>
    <row r="10" spans="1:8" x14ac:dyDescent="0.25">
      <c r="A10" s="1068" t="s">
        <v>1017</v>
      </c>
      <c r="B10" s="567"/>
      <c r="C10" s="567"/>
      <c r="D10" s="567"/>
      <c r="E10" s="567">
        <v>73</v>
      </c>
      <c r="F10" s="567"/>
      <c r="G10" s="567"/>
      <c r="H10" s="567">
        <v>73</v>
      </c>
    </row>
    <row r="11" spans="1:8" x14ac:dyDescent="0.25">
      <c r="A11" s="1068" t="s">
        <v>1018</v>
      </c>
      <c r="B11" s="567"/>
      <c r="C11" s="567"/>
      <c r="D11" s="567"/>
      <c r="E11" s="567">
        <v>95</v>
      </c>
      <c r="F11" s="567"/>
      <c r="G11" s="567">
        <v>2</v>
      </c>
      <c r="H11" s="567">
        <v>97</v>
      </c>
    </row>
    <row r="12" spans="1:8" x14ac:dyDescent="0.25">
      <c r="A12" s="1068" t="s">
        <v>1019</v>
      </c>
      <c r="B12" s="567"/>
      <c r="C12" s="567"/>
      <c r="D12" s="567"/>
      <c r="E12" s="567">
        <v>17</v>
      </c>
      <c r="F12" s="567"/>
      <c r="G12" s="567">
        <v>51</v>
      </c>
      <c r="H12" s="567">
        <v>68</v>
      </c>
    </row>
    <row r="13" spans="1:8" x14ac:dyDescent="0.25">
      <c r="A13" s="1068" t="s">
        <v>1020</v>
      </c>
      <c r="B13" s="567">
        <v>186</v>
      </c>
      <c r="C13" s="567"/>
      <c r="D13" s="567"/>
      <c r="E13" s="567">
        <v>77</v>
      </c>
      <c r="F13" s="567"/>
      <c r="G13" s="567">
        <v>52</v>
      </c>
      <c r="H13" s="567">
        <v>315</v>
      </c>
    </row>
    <row r="14" spans="1:8" x14ac:dyDescent="0.25">
      <c r="A14" s="1068" t="s">
        <v>1021</v>
      </c>
      <c r="B14" s="567"/>
      <c r="C14" s="567"/>
      <c r="D14" s="567"/>
      <c r="E14" s="567">
        <v>3</v>
      </c>
      <c r="F14" s="567"/>
      <c r="G14" s="567">
        <v>6</v>
      </c>
      <c r="H14" s="567">
        <v>9</v>
      </c>
    </row>
    <row r="15" spans="1:8" x14ac:dyDescent="0.25">
      <c r="A15" s="1068" t="s">
        <v>1022</v>
      </c>
      <c r="B15" s="567"/>
      <c r="C15" s="567">
        <v>2937</v>
      </c>
      <c r="D15" s="567">
        <v>36</v>
      </c>
      <c r="E15" s="567">
        <v>96</v>
      </c>
      <c r="F15" s="567">
        <v>315</v>
      </c>
      <c r="G15" s="567">
        <v>3358</v>
      </c>
      <c r="H15" s="567">
        <v>6742</v>
      </c>
    </row>
    <row r="16" spans="1:8" x14ac:dyDescent="0.25">
      <c r="A16" s="1068" t="s">
        <v>1023</v>
      </c>
      <c r="B16" s="567"/>
      <c r="C16" s="567"/>
      <c r="D16" s="567"/>
      <c r="E16" s="567">
        <v>1</v>
      </c>
      <c r="F16" s="567"/>
      <c r="G16" s="567">
        <v>5</v>
      </c>
      <c r="H16" s="567">
        <v>6</v>
      </c>
    </row>
    <row r="17" spans="1:8" x14ac:dyDescent="0.25">
      <c r="A17" s="1068" t="s">
        <v>1024</v>
      </c>
      <c r="B17" s="567"/>
      <c r="C17" s="567"/>
      <c r="D17" s="567"/>
      <c r="E17" s="567">
        <v>61</v>
      </c>
      <c r="F17" s="567"/>
      <c r="G17" s="567">
        <v>2</v>
      </c>
      <c r="H17" s="567">
        <v>63</v>
      </c>
    </row>
    <row r="18" spans="1:8" x14ac:dyDescent="0.25">
      <c r="A18" s="1068" t="s">
        <v>862</v>
      </c>
      <c r="B18" s="567">
        <v>2</v>
      </c>
      <c r="C18" s="567"/>
      <c r="D18" s="567"/>
      <c r="E18" s="567">
        <v>2</v>
      </c>
      <c r="F18" s="567"/>
      <c r="G18" s="567">
        <v>53</v>
      </c>
      <c r="H18" s="567">
        <v>57</v>
      </c>
    </row>
    <row r="19" spans="1:8" x14ac:dyDescent="0.25">
      <c r="A19" s="1068" t="s">
        <v>1025</v>
      </c>
      <c r="B19" s="567"/>
      <c r="C19" s="567"/>
      <c r="D19" s="567"/>
      <c r="E19" s="567">
        <v>52</v>
      </c>
      <c r="F19" s="567"/>
      <c r="G19" s="567">
        <v>98</v>
      </c>
      <c r="H19" s="567">
        <v>150</v>
      </c>
    </row>
    <row r="20" spans="1:8" x14ac:dyDescent="0.25">
      <c r="A20" s="1068" t="s">
        <v>251</v>
      </c>
      <c r="B20" s="567">
        <v>188</v>
      </c>
      <c r="C20" s="567">
        <v>2937</v>
      </c>
      <c r="D20" s="567">
        <v>36</v>
      </c>
      <c r="E20" s="567">
        <v>818</v>
      </c>
      <c r="F20" s="567">
        <v>315</v>
      </c>
      <c r="G20" s="567">
        <v>3636</v>
      </c>
      <c r="H20" s="567">
        <v>7930</v>
      </c>
    </row>
    <row r="27" spans="1:8" x14ac:dyDescent="0.25">
      <c r="A27" s="565" t="s">
        <v>329</v>
      </c>
      <c r="B27" t="s">
        <v>851</v>
      </c>
      <c r="D27" t="str">
        <f>B27</f>
        <v>2019-20</v>
      </c>
    </row>
    <row r="28" spans="1:8" x14ac:dyDescent="0.25">
      <c r="A28" s="565" t="s">
        <v>566</v>
      </c>
      <c r="B28" t="s">
        <v>1012</v>
      </c>
    </row>
    <row r="30" spans="1:8" x14ac:dyDescent="0.25">
      <c r="A30" s="565" t="s">
        <v>252</v>
      </c>
      <c r="B30" s="565" t="s">
        <v>271</v>
      </c>
    </row>
    <row r="31" spans="1:8" x14ac:dyDescent="0.25">
      <c r="A31" s="565" t="s">
        <v>246</v>
      </c>
      <c r="B31" t="s">
        <v>2</v>
      </c>
      <c r="C31" t="s">
        <v>9</v>
      </c>
      <c r="D31" t="s">
        <v>852</v>
      </c>
      <c r="E31" t="s">
        <v>3</v>
      </c>
      <c r="F31" t="s">
        <v>315</v>
      </c>
      <c r="G31" t="s">
        <v>316</v>
      </c>
      <c r="H31" t="s">
        <v>251</v>
      </c>
    </row>
    <row r="32" spans="1:8" x14ac:dyDescent="0.25">
      <c r="A32" s="1068" t="s">
        <v>1013</v>
      </c>
      <c r="B32" s="567"/>
      <c r="C32" s="567"/>
      <c r="D32" s="567"/>
      <c r="E32" s="567">
        <v>182.2</v>
      </c>
      <c r="F32" s="567"/>
      <c r="G32" s="567">
        <v>5</v>
      </c>
      <c r="H32" s="567">
        <v>187.2</v>
      </c>
    </row>
    <row r="33" spans="1:8" x14ac:dyDescent="0.25">
      <c r="A33" s="1068" t="s">
        <v>1014</v>
      </c>
      <c r="B33" s="567"/>
      <c r="C33" s="567"/>
      <c r="D33" s="567"/>
      <c r="E33" s="567">
        <v>63.31</v>
      </c>
      <c r="F33" s="567"/>
      <c r="G33" s="567">
        <v>2</v>
      </c>
      <c r="H33" s="567">
        <v>65.31</v>
      </c>
    </row>
    <row r="34" spans="1:8" x14ac:dyDescent="0.25">
      <c r="A34" s="1068" t="s">
        <v>1015</v>
      </c>
      <c r="B34" s="567"/>
      <c r="C34" s="567"/>
      <c r="D34" s="567"/>
      <c r="E34" s="567">
        <v>62.3</v>
      </c>
      <c r="F34" s="567"/>
      <c r="G34" s="567"/>
      <c r="H34" s="567">
        <v>62.3</v>
      </c>
    </row>
    <row r="35" spans="1:8" x14ac:dyDescent="0.25">
      <c r="A35" s="1068" t="s">
        <v>1016</v>
      </c>
      <c r="B35" s="567"/>
      <c r="C35" s="567"/>
      <c r="D35" s="567"/>
      <c r="E35" s="567">
        <v>16.86</v>
      </c>
      <c r="F35" s="567"/>
      <c r="G35" s="567">
        <v>2</v>
      </c>
      <c r="H35" s="567">
        <v>18.86</v>
      </c>
    </row>
    <row r="36" spans="1:8" x14ac:dyDescent="0.25">
      <c r="A36" s="1068" t="s">
        <v>1017</v>
      </c>
      <c r="B36" s="567"/>
      <c r="C36" s="567"/>
      <c r="D36" s="567"/>
      <c r="E36" s="567">
        <v>71.489999999999995</v>
      </c>
      <c r="F36" s="567"/>
      <c r="G36" s="567"/>
      <c r="H36" s="567">
        <v>71.489999999999995</v>
      </c>
    </row>
    <row r="37" spans="1:8" x14ac:dyDescent="0.25">
      <c r="A37" s="1068" t="s">
        <v>1018</v>
      </c>
      <c r="B37" s="567"/>
      <c r="C37" s="567"/>
      <c r="D37" s="567"/>
      <c r="E37" s="567">
        <v>90.619999999999976</v>
      </c>
      <c r="F37" s="567"/>
      <c r="G37" s="567">
        <v>2</v>
      </c>
      <c r="H37" s="567">
        <v>92.619999999999976</v>
      </c>
    </row>
    <row r="38" spans="1:8" x14ac:dyDescent="0.25">
      <c r="A38" s="1068" t="s">
        <v>1019</v>
      </c>
      <c r="B38" s="567"/>
      <c r="C38" s="567"/>
      <c r="D38" s="567"/>
      <c r="E38" s="567">
        <v>16.689999999999998</v>
      </c>
      <c r="F38" s="567"/>
      <c r="G38" s="567">
        <v>51</v>
      </c>
      <c r="H38" s="567">
        <v>67.69</v>
      </c>
    </row>
    <row r="39" spans="1:8" x14ac:dyDescent="0.25">
      <c r="A39" s="1068" t="s">
        <v>1020</v>
      </c>
      <c r="B39" s="567">
        <v>181.83</v>
      </c>
      <c r="C39" s="567"/>
      <c r="D39" s="567"/>
      <c r="E39" s="567">
        <v>72.069999999999993</v>
      </c>
      <c r="F39" s="567"/>
      <c r="G39" s="567">
        <v>52</v>
      </c>
      <c r="H39" s="567">
        <v>305.89999999999998</v>
      </c>
    </row>
    <row r="40" spans="1:8" x14ac:dyDescent="0.25">
      <c r="A40" s="1068" t="s">
        <v>1021</v>
      </c>
      <c r="B40" s="567"/>
      <c r="C40" s="567"/>
      <c r="D40" s="567"/>
      <c r="E40" s="567">
        <v>3</v>
      </c>
      <c r="F40" s="567"/>
      <c r="G40" s="567">
        <v>6</v>
      </c>
      <c r="H40" s="567">
        <v>9</v>
      </c>
    </row>
    <row r="41" spans="1:8" x14ac:dyDescent="0.25">
      <c r="A41" s="1068" t="s">
        <v>1022</v>
      </c>
      <c r="B41" s="567"/>
      <c r="C41" s="567">
        <v>2551.73</v>
      </c>
      <c r="D41" s="567">
        <v>36</v>
      </c>
      <c r="E41" s="567">
        <v>78.53</v>
      </c>
      <c r="F41" s="567">
        <v>0</v>
      </c>
      <c r="G41" s="567">
        <v>3355.93</v>
      </c>
      <c r="H41" s="567">
        <v>6022.1900000000005</v>
      </c>
    </row>
    <row r="42" spans="1:8" x14ac:dyDescent="0.25">
      <c r="A42" s="1068" t="s">
        <v>1023</v>
      </c>
      <c r="B42" s="567"/>
      <c r="C42" s="567"/>
      <c r="D42" s="567"/>
      <c r="E42" s="567">
        <v>1</v>
      </c>
      <c r="F42" s="567"/>
      <c r="G42" s="567">
        <v>5</v>
      </c>
      <c r="H42" s="567">
        <v>6</v>
      </c>
    </row>
    <row r="43" spans="1:8" x14ac:dyDescent="0.25">
      <c r="A43" s="1068" t="s">
        <v>1024</v>
      </c>
      <c r="B43" s="567"/>
      <c r="C43" s="567"/>
      <c r="D43" s="567"/>
      <c r="E43" s="567">
        <v>58.52</v>
      </c>
      <c r="F43" s="567"/>
      <c r="G43" s="567">
        <v>2</v>
      </c>
      <c r="H43" s="567">
        <v>60.52</v>
      </c>
    </row>
    <row r="44" spans="1:8" x14ac:dyDescent="0.25">
      <c r="A44" s="1068" t="s">
        <v>862</v>
      </c>
      <c r="B44" s="567">
        <v>2</v>
      </c>
      <c r="C44" s="567"/>
      <c r="D44" s="567"/>
      <c r="E44" s="567">
        <v>2</v>
      </c>
      <c r="F44" s="567"/>
      <c r="G44" s="567">
        <v>53</v>
      </c>
      <c r="H44" s="567">
        <v>57</v>
      </c>
    </row>
    <row r="45" spans="1:8" x14ac:dyDescent="0.25">
      <c r="A45" s="1068" t="s">
        <v>1025</v>
      </c>
      <c r="B45" s="567"/>
      <c r="C45" s="567"/>
      <c r="D45" s="567"/>
      <c r="E45" s="567">
        <v>46.81</v>
      </c>
      <c r="F45" s="567"/>
      <c r="G45" s="567">
        <v>98</v>
      </c>
      <c r="H45" s="567">
        <v>144.81</v>
      </c>
    </row>
    <row r="46" spans="1:8" x14ac:dyDescent="0.25">
      <c r="A46" s="1068" t="s">
        <v>251</v>
      </c>
      <c r="B46" s="567">
        <v>183.83</v>
      </c>
      <c r="C46" s="567">
        <v>2551.73</v>
      </c>
      <c r="D46" s="567">
        <v>36</v>
      </c>
      <c r="E46" s="567">
        <v>765.39999999999986</v>
      </c>
      <c r="F46" s="567">
        <v>0</v>
      </c>
      <c r="G46" s="567">
        <v>3633.93</v>
      </c>
      <c r="H46" s="567">
        <v>7170.8900000000012</v>
      </c>
    </row>
  </sheetData>
  <sheetProtection algorithmName="SHA-512" hashValue="KpZ3rmCHI4WtGGRfk1BPu9vKdeXiQdoyfpR4TlJx4klQUuJP/yc1le/YsF1q/+kdi88vdIHnBh6NQ2rn9PKiHw==" saltValue="gJrLVPKnEZ/OQs9iZxdb7Q==" spinCount="100000" sheet="1" scenarios="1" formatCells="0" formatColumns="0" formatRows="0" sort="0" autoFilter="0" pivotTables="0"/>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N40"/>
  <sheetViews>
    <sheetView showGridLines="0" workbookViewId="0">
      <pane ySplit="2" topLeftCell="A3" activePane="bottomLeft" state="frozen"/>
      <selection pane="bottomLeft" sqref="A1:H1"/>
    </sheetView>
  </sheetViews>
  <sheetFormatPr defaultRowHeight="15" x14ac:dyDescent="0.25"/>
  <cols>
    <col min="1" max="1" width="32.5703125" customWidth="1"/>
    <col min="2" max="2" width="12.42578125" bestFit="1" customWidth="1"/>
    <col min="3" max="3" width="9.28515625" customWidth="1"/>
    <col min="4" max="5" width="9" bestFit="1" customWidth="1"/>
    <col min="6" max="6" width="10.5703125" customWidth="1"/>
    <col min="7" max="7" width="11.140625" customWidth="1"/>
    <col min="8" max="8" width="10.7109375" customWidth="1"/>
    <col min="9" max="9" width="9.28515625" customWidth="1"/>
    <col min="10" max="10" width="11.42578125" customWidth="1"/>
    <col min="11" max="11" width="12.42578125" customWidth="1"/>
  </cols>
  <sheetData>
    <row r="1" spans="1:14" ht="15.75" x14ac:dyDescent="0.25">
      <c r="A1" s="1077" t="s">
        <v>505</v>
      </c>
      <c r="B1" s="1077"/>
      <c r="C1" s="1077"/>
      <c r="D1" s="1077"/>
      <c r="E1" s="1077"/>
      <c r="F1" s="1077"/>
      <c r="G1" s="1077"/>
      <c r="H1" s="1077"/>
    </row>
    <row r="2" spans="1:14" ht="18" x14ac:dyDescent="0.25">
      <c r="A2" s="772" t="s">
        <v>578</v>
      </c>
      <c r="B2" s="1"/>
      <c r="C2" s="1"/>
      <c r="D2" s="1"/>
      <c r="E2" s="1"/>
      <c r="F2" s="1"/>
      <c r="G2" s="1"/>
      <c r="H2" s="1"/>
    </row>
    <row r="3" spans="1:14" ht="18" x14ac:dyDescent="0.25">
      <c r="A3" s="1"/>
      <c r="B3" s="1"/>
      <c r="C3" s="1"/>
      <c r="D3" s="1"/>
      <c r="E3" s="1"/>
      <c r="F3" s="1"/>
      <c r="G3" s="1"/>
      <c r="H3" s="1"/>
      <c r="I3" s="31"/>
      <c r="J3" s="31"/>
    </row>
    <row r="4" spans="1:14" ht="37.5" customHeight="1" x14ac:dyDescent="0.25">
      <c r="A4" s="658" t="s">
        <v>568</v>
      </c>
      <c r="B4" s="658"/>
      <c r="C4" s="658"/>
      <c r="D4" s="658"/>
      <c r="E4" s="658"/>
      <c r="F4" s="658"/>
      <c r="G4" s="658"/>
      <c r="H4" s="658"/>
      <c r="I4" s="658"/>
      <c r="J4" s="658"/>
    </row>
    <row r="5" spans="1:14" ht="15" customHeight="1" x14ac:dyDescent="0.25">
      <c r="A5" t="s">
        <v>363</v>
      </c>
      <c r="B5" t="s">
        <v>725</v>
      </c>
      <c r="C5" s="624"/>
      <c r="D5" s="624"/>
      <c r="E5" s="624"/>
      <c r="F5" s="624"/>
      <c r="G5" s="624"/>
      <c r="H5" s="624"/>
      <c r="I5" s="624"/>
      <c r="J5" s="624"/>
    </row>
    <row r="6" spans="1:14" ht="15" customHeight="1" x14ac:dyDescent="0.25">
      <c r="A6" t="s">
        <v>364</v>
      </c>
      <c r="B6" t="s">
        <v>366</v>
      </c>
      <c r="C6" s="624"/>
      <c r="D6" s="624"/>
      <c r="E6" s="624"/>
      <c r="F6" s="624"/>
      <c r="G6" s="624"/>
      <c r="H6" s="624"/>
      <c r="I6" s="624"/>
      <c r="J6" s="624"/>
    </row>
    <row r="7" spans="1:14" ht="15" customHeight="1" x14ac:dyDescent="0.25">
      <c r="A7" t="s">
        <v>365</v>
      </c>
      <c r="B7" t="s">
        <v>367</v>
      </c>
      <c r="C7" s="624"/>
      <c r="D7" s="624"/>
      <c r="E7" s="624"/>
      <c r="F7" s="624"/>
      <c r="G7" s="624"/>
      <c r="H7" s="624"/>
      <c r="I7" s="624"/>
      <c r="J7" s="624"/>
      <c r="K7" s="664"/>
    </row>
    <row r="8" spans="1:14" ht="17.25" customHeight="1" x14ac:dyDescent="0.25">
      <c r="A8" s="310"/>
      <c r="B8" s="32"/>
      <c r="C8" s="32"/>
      <c r="D8" s="32"/>
      <c r="E8" s="32"/>
      <c r="F8" s="32"/>
      <c r="G8" s="661"/>
      <c r="H8" s="637" t="s">
        <v>6</v>
      </c>
      <c r="I8" s="637"/>
      <c r="J8" s="637" t="s">
        <v>7</v>
      </c>
      <c r="K8" s="664"/>
    </row>
    <row r="9" spans="1:14" ht="40.5" customHeight="1" x14ac:dyDescent="0.25">
      <c r="A9" s="2" t="s">
        <v>218</v>
      </c>
      <c r="B9" s="3" t="s">
        <v>27</v>
      </c>
      <c r="C9" s="3" t="s">
        <v>9</v>
      </c>
      <c r="D9" s="4" t="s">
        <v>2</v>
      </c>
      <c r="E9" s="4" t="s">
        <v>3</v>
      </c>
      <c r="F9" s="269" t="s">
        <v>29</v>
      </c>
      <c r="G9" s="663" t="s">
        <v>10</v>
      </c>
      <c r="H9" s="628" t="s">
        <v>11</v>
      </c>
      <c r="I9" s="663" t="s">
        <v>10</v>
      </c>
      <c r="J9" s="662" t="s">
        <v>12</v>
      </c>
    </row>
    <row r="10" spans="1:14" ht="22.5" customHeight="1" x14ac:dyDescent="0.25">
      <c r="A10" s="5" t="s">
        <v>13</v>
      </c>
      <c r="B10" s="393">
        <f>GETPIVOTDATA("Sum of WT",'h2'!$A$3,"ReportingLevel","1:LA")</f>
        <v>2966</v>
      </c>
      <c r="C10" s="393">
        <f>GETPIVOTDATA("Sum of RDS",'h2'!$A$3,"ReportingLevel","1:LA")</f>
        <v>2937</v>
      </c>
      <c r="D10" s="436">
        <f>GETPIVOTDATA("Sum of Control",'h2'!$A$3,"ReportingLevel","1:LA")</f>
        <v>0</v>
      </c>
      <c r="E10" s="436">
        <f>GETPIVOTDATA("Sum of Support",'h2'!$A$3,"ReportingLevel","1:LA")</f>
        <v>0</v>
      </c>
      <c r="F10" s="393">
        <f>GETPIVOTDATA("Sum of Vol",'h2'!$A$3,"ReportingLevel","1:LA")</f>
        <v>315</v>
      </c>
      <c r="G10" s="394">
        <f>SUM(B10:F10)</f>
        <v>6218</v>
      </c>
      <c r="H10" s="394">
        <f>SUM(B10:E10)</f>
        <v>5903</v>
      </c>
      <c r="I10" s="403">
        <f>G10/$G$14</f>
        <v>0.78768685077273881</v>
      </c>
      <c r="J10" s="402">
        <f>H10/$H$14</f>
        <v>0.77886264678717509</v>
      </c>
    </row>
    <row r="11" spans="1:14" ht="15" customHeight="1" x14ac:dyDescent="0.25">
      <c r="A11" s="5" t="s">
        <v>14</v>
      </c>
      <c r="B11" s="393">
        <f>GETPIVOTDATA("Sum of WT",'h2'!$A$3,"ReportingLevel","2:LSO")</f>
        <v>383</v>
      </c>
      <c r="C11" s="393">
        <f>GETPIVOTDATA("Sum of RDS",'h2'!$A$3,"ReportingLevel","2:LSO")</f>
        <v>0</v>
      </c>
      <c r="D11" s="393">
        <f>GETPIVOTDATA("Sum of Control",'h2'!$A$3,"ReportingLevel","2:LSO")</f>
        <v>0</v>
      </c>
      <c r="E11" s="393">
        <f>IF(ISBLANK('T2'!E6),0,'T2'!E6)</f>
        <v>0</v>
      </c>
      <c r="F11" s="393">
        <f>IF(ISBLANK('T2'!F6),0,'T2'!F6)</f>
        <v>0</v>
      </c>
      <c r="G11" s="394">
        <f>SUM(B11:F11)</f>
        <v>383</v>
      </c>
      <c r="H11" s="394">
        <f>SUM(B11:E11)</f>
        <v>383</v>
      </c>
      <c r="I11" s="403">
        <f>G11/$G$14</f>
        <v>4.8517861667088928E-2</v>
      </c>
      <c r="J11" s="403">
        <f>H11/$H$14</f>
        <v>5.0534371289088269E-2</v>
      </c>
    </row>
    <row r="12" spans="1:14" ht="15" customHeight="1" x14ac:dyDescent="0.25">
      <c r="A12" s="5" t="s">
        <v>15</v>
      </c>
      <c r="B12" s="393">
        <f>GETPIVOTDATA("Sum of WT",'h2'!$A$3,"ReportingLevel","3:SDA")</f>
        <v>197</v>
      </c>
      <c r="C12" s="393">
        <f>GETPIVOTDATA("Sum of RDS",'h2'!$A$3,"ReportingLevel","3:SDA")</f>
        <v>0</v>
      </c>
      <c r="D12" s="393">
        <f>GETPIVOTDATA("Sum of Control",'h2'!$A$3,"ReportingLevel","3:SDA")</f>
        <v>0</v>
      </c>
      <c r="E12" s="393">
        <f>GETPIVOTDATA("Sum of Support",'h2'!$A$3,"ReportingLevel","3:SDA")</f>
        <v>469</v>
      </c>
      <c r="F12" s="393">
        <f>GETPIVOTDATA("Sum of Vol",'h2'!$A$3,"ReportingLevel","3:SDA")</f>
        <v>0</v>
      </c>
      <c r="G12" s="394">
        <f>SUM(B12:F12)</f>
        <v>666</v>
      </c>
      <c r="H12" s="394">
        <f>SUM(B12:E12)</f>
        <v>666</v>
      </c>
      <c r="I12" s="403">
        <f>G12/$G$14</f>
        <v>8.4367874334937934E-2</v>
      </c>
      <c r="J12" s="403">
        <f>H12/$H$14</f>
        <v>8.7874389761182212E-2</v>
      </c>
    </row>
    <row r="13" spans="1:14" ht="15" customHeight="1" x14ac:dyDescent="0.25">
      <c r="A13" s="19" t="s">
        <v>16</v>
      </c>
      <c r="B13" s="393">
        <f>GETPIVOTDATA("Sum of WT",'h2'!$A$3,"ReportingLevel","4:National")</f>
        <v>90</v>
      </c>
      <c r="C13" s="393">
        <f>GETPIVOTDATA("Sum of RDS",'h2'!$A$3,"ReportingLevel","4:National")</f>
        <v>0</v>
      </c>
      <c r="D13" s="393">
        <f>GETPIVOTDATA("Sum of Control",'h2'!$A$3,"ReportingLevel","4:National")</f>
        <v>188</v>
      </c>
      <c r="E13" s="651">
        <f>GETPIVOTDATA("Sum of Support",'h2'!$A$3,"ReportingLevel","4:National")</f>
        <v>349</v>
      </c>
      <c r="F13" s="651">
        <f>GETPIVOTDATA("Sum of Vol",'h2'!$A$3,"ReportingLevel","4:National")</f>
        <v>0</v>
      </c>
      <c r="G13" s="667">
        <f>SUM(B13:F13)</f>
        <v>627</v>
      </c>
      <c r="H13" s="667">
        <f>SUM(B13:E13)</f>
        <v>627</v>
      </c>
      <c r="I13" s="668">
        <f>G13/$G$14</f>
        <v>7.9427413225234361E-2</v>
      </c>
      <c r="J13" s="403">
        <f>H13/$H$14</f>
        <v>8.2728592162554432E-2</v>
      </c>
    </row>
    <row r="14" spans="1:14" ht="30" customHeight="1" thickBot="1" x14ac:dyDescent="0.3">
      <c r="A14" s="34" t="s">
        <v>17</v>
      </c>
      <c r="B14" s="398">
        <f t="shared" ref="B14:H14" si="0">SUM(B10:B13)</f>
        <v>3636</v>
      </c>
      <c r="C14" s="398">
        <f t="shared" si="0"/>
        <v>2937</v>
      </c>
      <c r="D14" s="398">
        <f t="shared" si="0"/>
        <v>188</v>
      </c>
      <c r="E14" s="404">
        <f t="shared" si="0"/>
        <v>818</v>
      </c>
      <c r="F14" s="404">
        <f t="shared" si="0"/>
        <v>315</v>
      </c>
      <c r="G14" s="404">
        <f t="shared" si="0"/>
        <v>7894</v>
      </c>
      <c r="H14" s="404">
        <f t="shared" si="0"/>
        <v>7579</v>
      </c>
      <c r="I14" s="666">
        <f>G14/G14</f>
        <v>1</v>
      </c>
      <c r="J14" s="35">
        <f>H14/H14</f>
        <v>1</v>
      </c>
    </row>
    <row r="15" spans="1:14" ht="15" customHeight="1" x14ac:dyDescent="0.25">
      <c r="A15" s="512"/>
    </row>
    <row r="16" spans="1:14" ht="15" customHeight="1" x14ac:dyDescent="0.25">
      <c r="A16" s="509" t="s">
        <v>8</v>
      </c>
      <c r="B16" s="366"/>
      <c r="C16" s="366"/>
      <c r="D16" s="366"/>
      <c r="E16" s="366"/>
      <c r="F16" s="366"/>
      <c r="G16" s="366"/>
      <c r="H16" s="366"/>
      <c r="I16" s="366"/>
      <c r="J16" s="366"/>
      <c r="K16" s="366"/>
      <c r="L16" s="366"/>
      <c r="M16" s="366"/>
      <c r="N16" s="366"/>
    </row>
    <row r="17" spans="1:10" ht="15" customHeight="1" x14ac:dyDescent="0.25">
      <c r="A17" s="947" t="s">
        <v>803</v>
      </c>
    </row>
    <row r="18" spans="1:10" ht="62.25" customHeight="1" x14ac:dyDescent="0.25">
      <c r="A18" s="1093" t="s">
        <v>804</v>
      </c>
      <c r="B18" s="1093"/>
      <c r="C18" s="1093"/>
      <c r="D18" s="1093"/>
      <c r="E18" s="1093"/>
      <c r="F18" s="1093"/>
      <c r="G18" s="1093"/>
      <c r="H18" s="1093"/>
      <c r="I18" s="1093"/>
      <c r="J18" s="1093"/>
    </row>
    <row r="19" spans="1:10" ht="15" customHeight="1" x14ac:dyDescent="0.25"/>
    <row r="20" spans="1:10" ht="15" customHeight="1" x14ac:dyDescent="0.25"/>
    <row r="21" spans="1:10" ht="15" customHeight="1" x14ac:dyDescent="0.25">
      <c r="B21" s="623"/>
    </row>
    <row r="22" spans="1:10" ht="15" customHeight="1" x14ac:dyDescent="0.25"/>
    <row r="23" spans="1:10" ht="15" customHeight="1" x14ac:dyDescent="0.25"/>
    <row r="24" spans="1:10" ht="15" customHeight="1" x14ac:dyDescent="0.25"/>
    <row r="25" spans="1:10" ht="15" customHeight="1" x14ac:dyDescent="0.25"/>
    <row r="26" spans="1:10" ht="15" customHeight="1" x14ac:dyDescent="0.25">
      <c r="A26" s="36"/>
      <c r="B26" s="405"/>
      <c r="C26" s="405"/>
      <c r="D26" s="405"/>
      <c r="E26" s="405"/>
      <c r="F26" s="405"/>
      <c r="G26" s="405"/>
      <c r="H26" s="405"/>
      <c r="I26" s="38"/>
      <c r="J26" s="407"/>
    </row>
    <row r="27" spans="1:10" ht="15" customHeight="1" x14ac:dyDescent="0.25"/>
    <row r="28" spans="1:10" ht="15" customHeight="1" x14ac:dyDescent="0.25"/>
    <row r="29" spans="1:10" ht="33" customHeight="1" x14ac:dyDescent="0.25"/>
    <row r="30" spans="1:10" ht="15" customHeight="1" x14ac:dyDescent="0.25"/>
    <row r="31" spans="1:10" ht="15" customHeight="1" x14ac:dyDescent="0.25"/>
    <row r="32" spans="1:10" ht="15" customHeight="1" x14ac:dyDescent="0.25"/>
    <row r="33" ht="15" customHeight="1" x14ac:dyDescent="0.25"/>
    <row r="34" ht="15" customHeight="1" x14ac:dyDescent="0.25"/>
    <row r="35" ht="15" customHeight="1" x14ac:dyDescent="0.25"/>
    <row r="36" ht="15" customHeight="1" x14ac:dyDescent="0.25"/>
    <row r="37" ht="15" customHeight="1" x14ac:dyDescent="0.25"/>
    <row r="40" ht="30" customHeight="1" x14ac:dyDescent="0.25"/>
  </sheetData>
  <sheetProtection algorithmName="SHA-512" hashValue="nQhLgXtSXaHfh9E9m/rMlXQL/dCrYwkc36VKcAvhlIlltBhRlNRVmMHEYMR5vwbk7juLcBtwyMNkyMV5j0jgpA==" saltValue="XtVEALkGz+tbSzuQVkKkOA==" spinCount="100000" sheet="1" scenarios="1" formatCells="0" formatColumns="0" formatRows="0" sort="0" autoFilter="0" pivotTables="0"/>
  <mergeCells count="2">
    <mergeCell ref="A18:J18"/>
    <mergeCell ref="A1:H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9" orientation="portrait" r:id="rId1"/>
  <drawing r:id="rId2"/>
  <extLst>
    <ext xmlns:x14="http://schemas.microsoft.com/office/spreadsheetml/2009/9/main" uri="{A8765BA9-456A-4dab-B4F3-ACF838C121DE}">
      <x14:slicerList>
        <x14:slicer r:id="rId3"/>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60"/>
  <sheetViews>
    <sheetView workbookViewId="0">
      <selection activeCell="S11" sqref="R11:S11"/>
    </sheetView>
  </sheetViews>
  <sheetFormatPr defaultRowHeight="15" x14ac:dyDescent="0.25"/>
  <cols>
    <col min="1" max="1" width="61.7109375" customWidth="1"/>
    <col min="2" max="2" width="10.5703125" customWidth="1"/>
    <col min="3" max="3" width="11" customWidth="1"/>
    <col min="4" max="4" width="19.140625" bestFit="1" customWidth="1"/>
    <col min="5" max="5" width="14.28515625" bestFit="1" customWidth="1"/>
    <col min="6" max="6" width="14.7109375" bestFit="1" customWidth="1"/>
    <col min="7" max="7" width="10.5703125" bestFit="1" customWidth="1"/>
    <col min="8" max="80" width="3" bestFit="1" customWidth="1"/>
    <col min="81" max="127" width="4" bestFit="1" customWidth="1"/>
    <col min="128" max="128" width="7.28515625" bestFit="1" customWidth="1"/>
    <col min="129" max="129" width="11.28515625" bestFit="1" customWidth="1"/>
  </cols>
  <sheetData>
    <row r="1" spans="1:7" x14ac:dyDescent="0.25">
      <c r="A1" s="565" t="s">
        <v>270</v>
      </c>
      <c r="B1" t="s">
        <v>851</v>
      </c>
      <c r="D1" t="str">
        <f>B1</f>
        <v>2019-20</v>
      </c>
    </row>
    <row r="3" spans="1:7" x14ac:dyDescent="0.25">
      <c r="A3" s="565" t="s">
        <v>246</v>
      </c>
      <c r="B3" t="s">
        <v>253</v>
      </c>
      <c r="C3" t="s">
        <v>260</v>
      </c>
      <c r="D3" t="s">
        <v>863</v>
      </c>
      <c r="E3" t="s">
        <v>261</v>
      </c>
      <c r="F3" t="s">
        <v>262</v>
      </c>
      <c r="G3" t="s">
        <v>263</v>
      </c>
    </row>
    <row r="4" spans="1:7" x14ac:dyDescent="0.25">
      <c r="A4" s="1068" t="s">
        <v>247</v>
      </c>
      <c r="B4" s="567">
        <v>2966</v>
      </c>
      <c r="C4" s="567">
        <v>2937</v>
      </c>
      <c r="D4" s="567"/>
      <c r="E4" s="567"/>
      <c r="F4" s="567"/>
      <c r="G4" s="567">
        <v>315</v>
      </c>
    </row>
    <row r="5" spans="1:7" x14ac:dyDescent="0.25">
      <c r="A5" s="568" t="s">
        <v>31</v>
      </c>
      <c r="B5" s="567">
        <v>155</v>
      </c>
      <c r="C5" s="567">
        <v>8</v>
      </c>
      <c r="D5" s="567"/>
      <c r="E5" s="567"/>
      <c r="F5" s="567"/>
      <c r="G5" s="567"/>
    </row>
    <row r="6" spans="1:7" x14ac:dyDescent="0.25">
      <c r="A6" s="568" t="s">
        <v>32</v>
      </c>
      <c r="B6" s="567">
        <v>32</v>
      </c>
      <c r="C6" s="567">
        <v>285</v>
      </c>
      <c r="D6" s="567"/>
      <c r="E6" s="567"/>
      <c r="F6" s="567"/>
      <c r="G6" s="567"/>
    </row>
    <row r="7" spans="1:7" x14ac:dyDescent="0.25">
      <c r="A7" s="568" t="s">
        <v>33</v>
      </c>
      <c r="B7" s="567">
        <v>27</v>
      </c>
      <c r="C7" s="567">
        <v>103</v>
      </c>
      <c r="D7" s="567"/>
      <c r="E7" s="567"/>
      <c r="F7" s="567"/>
      <c r="G7" s="567"/>
    </row>
    <row r="8" spans="1:7" x14ac:dyDescent="0.25">
      <c r="A8" s="568" t="s">
        <v>34</v>
      </c>
      <c r="B8" s="567">
        <v>53</v>
      </c>
      <c r="C8" s="567">
        <v>174</v>
      </c>
      <c r="D8" s="567"/>
      <c r="E8" s="567"/>
      <c r="F8" s="567"/>
      <c r="G8" s="567">
        <v>212</v>
      </c>
    </row>
    <row r="9" spans="1:7" x14ac:dyDescent="0.25">
      <c r="A9" s="568" t="s">
        <v>258</v>
      </c>
      <c r="B9" s="567">
        <v>306</v>
      </c>
      <c r="C9" s="567">
        <v>8</v>
      </c>
      <c r="D9" s="567"/>
      <c r="E9" s="567"/>
      <c r="F9" s="567"/>
      <c r="G9" s="567"/>
    </row>
    <row r="10" spans="1:7" x14ac:dyDescent="0.25">
      <c r="A10" s="568" t="s">
        <v>35</v>
      </c>
      <c r="B10" s="567">
        <v>25</v>
      </c>
      <c r="C10" s="567">
        <v>25</v>
      </c>
      <c r="D10" s="567"/>
      <c r="E10" s="567"/>
      <c r="F10" s="567"/>
      <c r="G10" s="567"/>
    </row>
    <row r="11" spans="1:7" x14ac:dyDescent="0.25">
      <c r="A11" s="568" t="s">
        <v>36</v>
      </c>
      <c r="B11" s="567">
        <v>52</v>
      </c>
      <c r="C11" s="567">
        <v>192</v>
      </c>
      <c r="D11" s="567"/>
      <c r="E11" s="567"/>
      <c r="F11" s="567"/>
      <c r="G11" s="567">
        <v>5</v>
      </c>
    </row>
    <row r="12" spans="1:7" x14ac:dyDescent="0.25">
      <c r="A12" s="568" t="s">
        <v>37</v>
      </c>
      <c r="B12" s="567">
        <v>182</v>
      </c>
      <c r="C12" s="567">
        <v>12</v>
      </c>
      <c r="D12" s="567"/>
      <c r="E12" s="567"/>
      <c r="F12" s="567"/>
      <c r="G12" s="567"/>
    </row>
    <row r="13" spans="1:7" x14ac:dyDescent="0.25">
      <c r="A13" s="568" t="s">
        <v>38</v>
      </c>
      <c r="B13" s="567">
        <v>49</v>
      </c>
      <c r="C13" s="567">
        <v>80</v>
      </c>
      <c r="D13" s="567"/>
      <c r="E13" s="567"/>
      <c r="F13" s="567"/>
      <c r="G13" s="567"/>
    </row>
    <row r="14" spans="1:7" x14ac:dyDescent="0.25">
      <c r="A14" s="568" t="s">
        <v>39</v>
      </c>
      <c r="B14" s="567">
        <v>79</v>
      </c>
      <c r="C14" s="567"/>
      <c r="D14" s="567"/>
      <c r="E14" s="567"/>
      <c r="F14" s="567"/>
      <c r="G14" s="567"/>
    </row>
    <row r="15" spans="1:7" x14ac:dyDescent="0.25">
      <c r="A15" s="568" t="s">
        <v>40</v>
      </c>
      <c r="B15" s="567">
        <v>25</v>
      </c>
      <c r="C15" s="567">
        <v>65</v>
      </c>
      <c r="D15" s="567"/>
      <c r="E15" s="567"/>
      <c r="F15" s="567"/>
      <c r="G15" s="567"/>
    </row>
    <row r="16" spans="1:7" x14ac:dyDescent="0.25">
      <c r="A16" s="568" t="s">
        <v>41</v>
      </c>
      <c r="B16" s="567">
        <v>50</v>
      </c>
      <c r="C16" s="567"/>
      <c r="D16" s="567"/>
      <c r="E16" s="567"/>
      <c r="F16" s="567"/>
      <c r="G16" s="567"/>
    </row>
    <row r="17" spans="1:7" x14ac:dyDescent="0.25">
      <c r="A17" s="568" t="s">
        <v>42</v>
      </c>
      <c r="B17" s="567">
        <v>88</v>
      </c>
      <c r="C17" s="567">
        <v>57</v>
      </c>
      <c r="D17" s="567"/>
      <c r="E17" s="567"/>
      <c r="F17" s="567"/>
      <c r="G17" s="567"/>
    </row>
    <row r="18" spans="1:7" x14ac:dyDescent="0.25">
      <c r="A18" s="568" t="s">
        <v>43</v>
      </c>
      <c r="B18" s="567">
        <v>269</v>
      </c>
      <c r="C18" s="567">
        <v>113</v>
      </c>
      <c r="D18" s="567"/>
      <c r="E18" s="567"/>
      <c r="F18" s="567"/>
      <c r="G18" s="567"/>
    </row>
    <row r="19" spans="1:7" x14ac:dyDescent="0.25">
      <c r="A19" s="568" t="s">
        <v>121</v>
      </c>
      <c r="B19" s="567">
        <v>517</v>
      </c>
      <c r="C19" s="567"/>
      <c r="D19" s="567"/>
      <c r="E19" s="567"/>
      <c r="F19" s="567"/>
      <c r="G19" s="567"/>
    </row>
    <row r="20" spans="1:7" x14ac:dyDescent="0.25">
      <c r="A20" s="568" t="s">
        <v>44</v>
      </c>
      <c r="B20" s="567">
        <v>71</v>
      </c>
      <c r="C20" s="567">
        <v>525</v>
      </c>
      <c r="D20" s="567"/>
      <c r="E20" s="567"/>
      <c r="F20" s="567"/>
      <c r="G20" s="567">
        <v>49</v>
      </c>
    </row>
    <row r="21" spans="1:7" x14ac:dyDescent="0.25">
      <c r="A21" s="568" t="s">
        <v>45</v>
      </c>
      <c r="B21" s="567">
        <v>70</v>
      </c>
      <c r="C21" s="567">
        <v>42</v>
      </c>
      <c r="D21" s="567"/>
      <c r="E21" s="567"/>
      <c r="F21" s="567"/>
      <c r="G21" s="567"/>
    </row>
    <row r="22" spans="1:7" x14ac:dyDescent="0.25">
      <c r="A22" s="568" t="s">
        <v>46</v>
      </c>
      <c r="B22" s="567">
        <v>26</v>
      </c>
      <c r="C22" s="567">
        <v>13</v>
      </c>
      <c r="D22" s="567"/>
      <c r="E22" s="567"/>
      <c r="F22" s="567"/>
      <c r="G22" s="567"/>
    </row>
    <row r="23" spans="1:7" x14ac:dyDescent="0.25">
      <c r="A23" s="568" t="s">
        <v>47</v>
      </c>
      <c r="B23" s="567">
        <v>30</v>
      </c>
      <c r="C23" s="567">
        <v>121</v>
      </c>
      <c r="D23" s="567"/>
      <c r="E23" s="567"/>
      <c r="F23" s="567"/>
      <c r="G23" s="567">
        <v>4</v>
      </c>
    </row>
    <row r="24" spans="1:7" x14ac:dyDescent="0.25">
      <c r="A24" s="568" t="s">
        <v>48</v>
      </c>
      <c r="B24" s="567"/>
      <c r="C24" s="567">
        <v>135</v>
      </c>
      <c r="D24" s="567"/>
      <c r="E24" s="567"/>
      <c r="F24" s="567"/>
      <c r="G24" s="567"/>
    </row>
    <row r="25" spans="1:7" x14ac:dyDescent="0.25">
      <c r="A25" s="568" t="s">
        <v>49</v>
      </c>
      <c r="B25" s="567">
        <v>75</v>
      </c>
      <c r="C25" s="567">
        <v>104</v>
      </c>
      <c r="D25" s="567"/>
      <c r="E25" s="567"/>
      <c r="F25" s="567"/>
      <c r="G25" s="567">
        <v>22</v>
      </c>
    </row>
    <row r="26" spans="1:7" x14ac:dyDescent="0.25">
      <c r="A26" s="568" t="s">
        <v>50</v>
      </c>
      <c r="B26" s="567">
        <v>163</v>
      </c>
      <c r="C26" s="567">
        <v>37</v>
      </c>
      <c r="D26" s="567"/>
      <c r="E26" s="567"/>
      <c r="F26" s="567"/>
      <c r="G26" s="567"/>
    </row>
    <row r="27" spans="1:7" x14ac:dyDescent="0.25">
      <c r="A27" s="568" t="s">
        <v>51</v>
      </c>
      <c r="B27" s="567"/>
      <c r="C27" s="567">
        <v>109</v>
      </c>
      <c r="D27" s="567"/>
      <c r="E27" s="567"/>
      <c r="F27" s="567"/>
      <c r="G27" s="567"/>
    </row>
    <row r="28" spans="1:7" x14ac:dyDescent="0.25">
      <c r="A28" s="568" t="s">
        <v>52</v>
      </c>
      <c r="B28" s="567">
        <v>67</v>
      </c>
      <c r="C28" s="567">
        <v>131</v>
      </c>
      <c r="D28" s="567"/>
      <c r="E28" s="567"/>
      <c r="F28" s="567"/>
      <c r="G28" s="567">
        <v>21</v>
      </c>
    </row>
    <row r="29" spans="1:7" x14ac:dyDescent="0.25">
      <c r="A29" s="568" t="s">
        <v>53</v>
      </c>
      <c r="B29" s="567">
        <v>102</v>
      </c>
      <c r="C29" s="567">
        <v>15</v>
      </c>
      <c r="D29" s="567"/>
      <c r="E29" s="567"/>
      <c r="F29" s="567"/>
      <c r="G29" s="567"/>
    </row>
    <row r="30" spans="1:7" x14ac:dyDescent="0.25">
      <c r="A30" s="568" t="s">
        <v>54</v>
      </c>
      <c r="B30" s="567">
        <v>53</v>
      </c>
      <c r="C30" s="567">
        <v>148</v>
      </c>
      <c r="D30" s="567"/>
      <c r="E30" s="567"/>
      <c r="F30" s="567"/>
      <c r="G30" s="567"/>
    </row>
    <row r="31" spans="1:7" x14ac:dyDescent="0.25">
      <c r="A31" s="568" t="s">
        <v>55</v>
      </c>
      <c r="B31" s="567"/>
      <c r="C31" s="567">
        <v>134</v>
      </c>
      <c r="D31" s="567"/>
      <c r="E31" s="567"/>
      <c r="F31" s="567"/>
      <c r="G31" s="567"/>
    </row>
    <row r="32" spans="1:7" x14ac:dyDescent="0.25">
      <c r="A32" s="568" t="s">
        <v>56</v>
      </c>
      <c r="B32" s="567">
        <v>50</v>
      </c>
      <c r="C32" s="567">
        <v>55</v>
      </c>
      <c r="D32" s="567"/>
      <c r="E32" s="567"/>
      <c r="F32" s="567"/>
      <c r="G32" s="567"/>
    </row>
    <row r="33" spans="1:7" x14ac:dyDescent="0.25">
      <c r="A33" s="568" t="s">
        <v>57</v>
      </c>
      <c r="B33" s="567">
        <v>168</v>
      </c>
      <c r="C33" s="567">
        <v>86</v>
      </c>
      <c r="D33" s="567"/>
      <c r="E33" s="567"/>
      <c r="F33" s="567"/>
      <c r="G33" s="567">
        <v>2</v>
      </c>
    </row>
    <row r="34" spans="1:7" x14ac:dyDescent="0.25">
      <c r="A34" s="568" t="s">
        <v>58</v>
      </c>
      <c r="B34" s="567">
        <v>51</v>
      </c>
      <c r="C34" s="567">
        <v>75</v>
      </c>
      <c r="D34" s="567"/>
      <c r="E34" s="567"/>
      <c r="F34" s="567"/>
      <c r="G34" s="567"/>
    </row>
    <row r="35" spans="1:7" x14ac:dyDescent="0.25">
      <c r="A35" s="568" t="s">
        <v>59</v>
      </c>
      <c r="B35" s="567">
        <v>73</v>
      </c>
      <c r="C35" s="567">
        <v>20</v>
      </c>
      <c r="D35" s="567"/>
      <c r="E35" s="567"/>
      <c r="F35" s="567"/>
      <c r="G35" s="567"/>
    </row>
    <row r="36" spans="1:7" x14ac:dyDescent="0.25">
      <c r="A36" s="568" t="s">
        <v>60</v>
      </c>
      <c r="B36" s="567">
        <v>58</v>
      </c>
      <c r="C36" s="567">
        <v>65</v>
      </c>
      <c r="D36" s="567"/>
      <c r="E36" s="567"/>
      <c r="F36" s="567"/>
      <c r="G36" s="567"/>
    </row>
    <row r="37" spans="1:7" x14ac:dyDescent="0.25">
      <c r="A37" s="1068" t="s">
        <v>248</v>
      </c>
      <c r="B37" s="567">
        <v>383</v>
      </c>
      <c r="C37" s="567"/>
      <c r="D37" s="567">
        <v>36</v>
      </c>
      <c r="E37" s="567"/>
      <c r="F37" s="567"/>
      <c r="G37" s="567"/>
    </row>
    <row r="38" spans="1:7" x14ac:dyDescent="0.25">
      <c r="A38" s="568" t="s">
        <v>31</v>
      </c>
      <c r="B38" s="567">
        <v>13</v>
      </c>
      <c r="C38" s="567"/>
      <c r="D38" s="567"/>
      <c r="E38" s="567"/>
      <c r="F38" s="567"/>
      <c r="G38" s="567"/>
    </row>
    <row r="39" spans="1:7" x14ac:dyDescent="0.25">
      <c r="A39" s="568" t="s">
        <v>63</v>
      </c>
      <c r="B39" s="567">
        <v>25</v>
      </c>
      <c r="C39" s="567"/>
      <c r="D39" s="567">
        <v>5</v>
      </c>
      <c r="E39" s="567"/>
      <c r="F39" s="567"/>
      <c r="G39" s="567"/>
    </row>
    <row r="40" spans="1:7" x14ac:dyDescent="0.25">
      <c r="A40" s="568" t="s">
        <v>64</v>
      </c>
      <c r="B40" s="567">
        <v>28</v>
      </c>
      <c r="C40" s="567"/>
      <c r="D40" s="567">
        <v>3</v>
      </c>
      <c r="E40" s="567"/>
      <c r="F40" s="567"/>
      <c r="G40" s="567"/>
    </row>
    <row r="41" spans="1:7" x14ac:dyDescent="0.25">
      <c r="A41" s="568" t="s">
        <v>36</v>
      </c>
      <c r="B41" s="567">
        <v>22</v>
      </c>
      <c r="C41" s="567"/>
      <c r="D41" s="567">
        <v>2</v>
      </c>
      <c r="E41" s="567"/>
      <c r="F41" s="567"/>
      <c r="G41" s="567"/>
    </row>
    <row r="42" spans="1:7" x14ac:dyDescent="0.25">
      <c r="A42" s="568" t="s">
        <v>65</v>
      </c>
      <c r="B42" s="567">
        <v>31</v>
      </c>
      <c r="C42" s="567"/>
      <c r="D42" s="567">
        <v>2</v>
      </c>
      <c r="E42" s="567"/>
      <c r="F42" s="567"/>
      <c r="G42" s="567"/>
    </row>
    <row r="43" spans="1:7" x14ac:dyDescent="0.25">
      <c r="A43" s="568" t="s">
        <v>66</v>
      </c>
      <c r="B43" s="567">
        <v>28</v>
      </c>
      <c r="C43" s="567"/>
      <c r="D43" s="567">
        <v>2</v>
      </c>
      <c r="E43" s="567"/>
      <c r="F43" s="567"/>
      <c r="G43" s="567"/>
    </row>
    <row r="44" spans="1:7" x14ac:dyDescent="0.25">
      <c r="A44" s="568" t="s">
        <v>67</v>
      </c>
      <c r="B44" s="567">
        <v>29</v>
      </c>
      <c r="C44" s="567"/>
      <c r="D44" s="567">
        <v>3</v>
      </c>
      <c r="E44" s="567"/>
      <c r="F44" s="567"/>
      <c r="G44" s="567"/>
    </row>
    <row r="45" spans="1:7" x14ac:dyDescent="0.25">
      <c r="A45" s="568" t="s">
        <v>68</v>
      </c>
      <c r="B45" s="567">
        <v>13</v>
      </c>
      <c r="C45" s="567"/>
      <c r="D45" s="567"/>
      <c r="E45" s="567"/>
      <c r="F45" s="567"/>
      <c r="G45" s="567"/>
    </row>
    <row r="46" spans="1:7" x14ac:dyDescent="0.25">
      <c r="A46" s="568" t="s">
        <v>175</v>
      </c>
      <c r="B46" s="567">
        <v>28</v>
      </c>
      <c r="C46" s="567"/>
      <c r="D46" s="567"/>
      <c r="E46" s="567"/>
      <c r="F46" s="567"/>
      <c r="G46" s="567"/>
    </row>
    <row r="47" spans="1:7" x14ac:dyDescent="0.25">
      <c r="A47" s="568" t="s">
        <v>69</v>
      </c>
      <c r="B47" s="567">
        <v>19</v>
      </c>
      <c r="C47" s="567"/>
      <c r="D47" s="567">
        <v>1</v>
      </c>
      <c r="E47" s="567"/>
      <c r="F47" s="567"/>
      <c r="G47" s="567"/>
    </row>
    <row r="48" spans="1:7" x14ac:dyDescent="0.25">
      <c r="A48" s="568" t="s">
        <v>121</v>
      </c>
      <c r="B48" s="567">
        <v>25</v>
      </c>
      <c r="C48" s="567"/>
      <c r="D48" s="567"/>
      <c r="E48" s="567"/>
      <c r="F48" s="567"/>
      <c r="G48" s="567"/>
    </row>
    <row r="49" spans="1:7" x14ac:dyDescent="0.25">
      <c r="A49" s="568" t="s">
        <v>70</v>
      </c>
      <c r="B49" s="567">
        <v>38</v>
      </c>
      <c r="C49" s="567"/>
      <c r="D49" s="567">
        <v>7</v>
      </c>
      <c r="E49" s="567"/>
      <c r="F49" s="567"/>
      <c r="G49" s="567"/>
    </row>
    <row r="50" spans="1:7" x14ac:dyDescent="0.25">
      <c r="A50" s="568" t="s">
        <v>50</v>
      </c>
      <c r="B50" s="567">
        <v>16</v>
      </c>
      <c r="C50" s="567"/>
      <c r="D50" s="567"/>
      <c r="E50" s="567"/>
      <c r="F50" s="567"/>
      <c r="G50" s="567"/>
    </row>
    <row r="51" spans="1:7" x14ac:dyDescent="0.25">
      <c r="A51" s="568" t="s">
        <v>57</v>
      </c>
      <c r="B51" s="567">
        <v>16</v>
      </c>
      <c r="C51" s="567"/>
      <c r="D51" s="567">
        <v>2</v>
      </c>
      <c r="E51" s="567"/>
      <c r="F51" s="567"/>
      <c r="G51" s="567"/>
    </row>
    <row r="52" spans="1:7" x14ac:dyDescent="0.25">
      <c r="A52" s="568" t="s">
        <v>71</v>
      </c>
      <c r="B52" s="567">
        <v>14</v>
      </c>
      <c r="C52" s="567"/>
      <c r="D52" s="567">
        <v>5</v>
      </c>
      <c r="E52" s="567"/>
      <c r="F52" s="567"/>
      <c r="G52" s="567"/>
    </row>
    <row r="53" spans="1:7" x14ac:dyDescent="0.25">
      <c r="A53" s="568" t="s">
        <v>853</v>
      </c>
      <c r="B53" s="567">
        <v>38</v>
      </c>
      <c r="C53" s="567"/>
      <c r="D53" s="567">
        <v>4</v>
      </c>
      <c r="E53" s="567"/>
      <c r="F53" s="567"/>
      <c r="G53" s="567"/>
    </row>
    <row r="54" spans="1:7" x14ac:dyDescent="0.25">
      <c r="A54" s="1068" t="s">
        <v>249</v>
      </c>
      <c r="B54" s="567">
        <v>197</v>
      </c>
      <c r="C54" s="567"/>
      <c r="D54" s="567"/>
      <c r="E54" s="567"/>
      <c r="F54" s="567">
        <v>469</v>
      </c>
      <c r="G54" s="567"/>
    </row>
    <row r="55" spans="1:7" x14ac:dyDescent="0.25">
      <c r="A55" s="568" t="s">
        <v>174</v>
      </c>
      <c r="B55" s="567">
        <v>52</v>
      </c>
      <c r="C55" s="567"/>
      <c r="D55" s="567"/>
      <c r="E55" s="567"/>
      <c r="F55" s="567">
        <v>95</v>
      </c>
      <c r="G55" s="567"/>
    </row>
    <row r="56" spans="1:7" x14ac:dyDescent="0.25">
      <c r="A56" s="568" t="s">
        <v>172</v>
      </c>
      <c r="B56" s="567">
        <v>42</v>
      </c>
      <c r="C56" s="567"/>
      <c r="D56" s="567"/>
      <c r="E56" s="567"/>
      <c r="F56" s="567">
        <v>132</v>
      </c>
      <c r="G56" s="567"/>
    </row>
    <row r="57" spans="1:7" x14ac:dyDescent="0.25">
      <c r="A57" s="568" t="s">
        <v>173</v>
      </c>
      <c r="B57" s="567">
        <v>103</v>
      </c>
      <c r="C57" s="567"/>
      <c r="D57" s="567"/>
      <c r="E57" s="567"/>
      <c r="F57" s="567">
        <v>242</v>
      </c>
      <c r="G57" s="567"/>
    </row>
    <row r="58" spans="1:7" x14ac:dyDescent="0.25">
      <c r="A58" s="1068" t="s">
        <v>250</v>
      </c>
      <c r="B58" s="567">
        <v>90</v>
      </c>
      <c r="C58" s="567"/>
      <c r="D58" s="567"/>
      <c r="E58" s="567">
        <v>188</v>
      </c>
      <c r="F58" s="567">
        <v>349</v>
      </c>
      <c r="G58" s="567"/>
    </row>
    <row r="59" spans="1:7" x14ac:dyDescent="0.25">
      <c r="A59" s="568" t="s">
        <v>259</v>
      </c>
      <c r="B59" s="567">
        <v>90</v>
      </c>
      <c r="C59" s="567"/>
      <c r="D59" s="567"/>
      <c r="E59" s="567">
        <v>188</v>
      </c>
      <c r="F59" s="567">
        <v>349</v>
      </c>
      <c r="G59" s="567"/>
    </row>
    <row r="60" spans="1:7" x14ac:dyDescent="0.25">
      <c r="A60" s="1068" t="s">
        <v>251</v>
      </c>
      <c r="B60" s="567">
        <v>3636</v>
      </c>
      <c r="C60" s="567">
        <v>2937</v>
      </c>
      <c r="D60" s="567">
        <v>36</v>
      </c>
      <c r="E60" s="567">
        <v>188</v>
      </c>
      <c r="F60" s="567">
        <v>818</v>
      </c>
      <c r="G60" s="567">
        <v>315</v>
      </c>
    </row>
  </sheetData>
  <sheetProtection algorithmName="SHA-512" hashValue="/BFiW3w572qsPtALyu/ldEvATpK7fNrkenrkQryKgKgjIQRtui/z+xhJwhT7/tIgQMziYXGptOUffBrwqVi/tA==" saltValue="0p3WTJLkvo/8karhZoIVig=="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39997558519241921"/>
    <pageSetUpPr fitToPage="1"/>
  </sheetPr>
  <dimension ref="A1:J78"/>
  <sheetViews>
    <sheetView showGridLines="0" workbookViewId="0">
      <pane ySplit="2" topLeftCell="A3" activePane="bottomLeft" state="frozen"/>
      <selection pane="bottomLeft" sqref="A1:H1"/>
    </sheetView>
  </sheetViews>
  <sheetFormatPr defaultRowHeight="15" x14ac:dyDescent="0.25"/>
  <cols>
    <col min="1" max="1" width="17.140625" customWidth="1"/>
    <col min="2" max="2" width="59.42578125" bestFit="1" customWidth="1"/>
    <col min="3" max="3" width="24.28515625" customWidth="1"/>
    <col min="4" max="4" width="23" customWidth="1"/>
    <col min="5" max="5" width="9.7109375" customWidth="1"/>
    <col min="6" max="6" width="10.85546875" customWidth="1"/>
    <col min="7" max="7" width="12" customWidth="1"/>
    <col min="8" max="8" width="12.7109375" customWidth="1"/>
    <col min="9" max="9" width="19.7109375" customWidth="1"/>
    <col min="10" max="10" width="12" customWidth="1"/>
  </cols>
  <sheetData>
    <row r="1" spans="1:10" ht="15.75" x14ac:dyDescent="0.25">
      <c r="A1" s="1077" t="s">
        <v>505</v>
      </c>
      <c r="B1" s="1077"/>
      <c r="C1" s="1077"/>
      <c r="D1" s="1077"/>
      <c r="E1" s="1077"/>
      <c r="F1" s="1077"/>
      <c r="G1" s="1077"/>
      <c r="H1" s="1077"/>
    </row>
    <row r="2" spans="1:10" ht="18" x14ac:dyDescent="0.25">
      <c r="A2" s="772" t="s">
        <v>578</v>
      </c>
      <c r="B2" s="1"/>
      <c r="C2" s="1"/>
      <c r="D2" s="1"/>
      <c r="E2" s="1"/>
      <c r="F2" s="1"/>
      <c r="G2" s="1"/>
      <c r="H2" s="1"/>
    </row>
    <row r="3" spans="1:10" ht="18" x14ac:dyDescent="0.25">
      <c r="A3" s="1"/>
      <c r="B3" s="1"/>
      <c r="C3" s="1"/>
      <c r="D3" s="1"/>
      <c r="E3" s="1"/>
      <c r="F3" s="1"/>
      <c r="G3" s="1"/>
      <c r="H3" s="1"/>
      <c r="I3" s="45"/>
    </row>
    <row r="4" spans="1:10" ht="30" customHeight="1" x14ac:dyDescent="0.25">
      <c r="A4" s="1094" t="s">
        <v>567</v>
      </c>
      <c r="B4" s="1094"/>
      <c r="C4" s="1094"/>
      <c r="D4" s="1094"/>
      <c r="E4" s="1094"/>
      <c r="F4" s="1094"/>
      <c r="G4" s="1094"/>
      <c r="H4" s="1094"/>
      <c r="I4" s="1094"/>
    </row>
    <row r="5" spans="1:10" ht="15" customHeight="1" x14ac:dyDescent="0.25">
      <c r="A5" t="s">
        <v>363</v>
      </c>
      <c r="B5" t="s">
        <v>726</v>
      </c>
      <c r="C5" s="624"/>
      <c r="D5" s="624"/>
      <c r="E5" s="624"/>
      <c r="F5" s="624"/>
      <c r="G5" s="624"/>
      <c r="H5" s="624"/>
      <c r="I5" s="624"/>
    </row>
    <row r="6" spans="1:10" ht="15" customHeight="1" x14ac:dyDescent="0.25">
      <c r="A6" t="s">
        <v>364</v>
      </c>
      <c r="B6" t="s">
        <v>366</v>
      </c>
      <c r="C6" s="624"/>
      <c r="D6" s="624"/>
      <c r="E6" s="624"/>
      <c r="F6" s="624"/>
      <c r="G6" s="624"/>
      <c r="H6" s="624"/>
      <c r="I6" s="624"/>
    </row>
    <row r="7" spans="1:10" ht="15" customHeight="1" x14ac:dyDescent="0.25">
      <c r="A7" t="s">
        <v>365</v>
      </c>
      <c r="B7" t="s">
        <v>367</v>
      </c>
      <c r="C7" s="624"/>
      <c r="D7" s="624"/>
      <c r="E7" s="624"/>
      <c r="F7" s="624"/>
      <c r="G7" s="624"/>
      <c r="H7" s="624"/>
      <c r="I7" s="624"/>
    </row>
    <row r="8" spans="1:10" ht="39.75" customHeight="1" x14ac:dyDescent="0.25">
      <c r="A8" s="46" t="s">
        <v>1</v>
      </c>
      <c r="B8" s="46"/>
      <c r="C8" s="47" t="s">
        <v>27</v>
      </c>
      <c r="D8" s="47" t="s">
        <v>28</v>
      </c>
      <c r="E8" s="47" t="s">
        <v>956</v>
      </c>
      <c r="F8" s="47" t="s">
        <v>2</v>
      </c>
      <c r="G8" s="47" t="s">
        <v>3</v>
      </c>
      <c r="H8" s="47" t="s">
        <v>29</v>
      </c>
      <c r="I8" s="4" t="s">
        <v>10</v>
      </c>
      <c r="J8" s="4" t="s">
        <v>102</v>
      </c>
    </row>
    <row r="9" spans="1:10" ht="22.5" customHeight="1" thickBot="1" x14ac:dyDescent="0.3">
      <c r="A9" s="48" t="str">
        <f>'h3'!D1</f>
        <v>2019-20</v>
      </c>
      <c r="B9" s="48" t="s">
        <v>79</v>
      </c>
      <c r="C9" s="401">
        <f t="shared" ref="C9:D9" si="0">C44+C64+C70+C73</f>
        <v>3636</v>
      </c>
      <c r="D9" s="401">
        <f t="shared" si="0"/>
        <v>2937</v>
      </c>
      <c r="E9" s="401">
        <f>E44+E64+E70+E73</f>
        <v>36</v>
      </c>
      <c r="F9" s="401">
        <f t="shared" ref="F9:H9" si="1">F44+F64+F70+F73</f>
        <v>188</v>
      </c>
      <c r="G9" s="401">
        <f t="shared" si="1"/>
        <v>818</v>
      </c>
      <c r="H9" s="401">
        <f t="shared" si="1"/>
        <v>315</v>
      </c>
      <c r="I9" s="401">
        <f>I44+I64+I70+I73</f>
        <v>7930</v>
      </c>
      <c r="J9" s="401">
        <f>J44+J64+J70+J73</f>
        <v>7615</v>
      </c>
    </row>
    <row r="10" spans="1:10" ht="15.75" customHeight="1" x14ac:dyDescent="0.25">
      <c r="B10" s="49"/>
      <c r="C10" s="50"/>
      <c r="D10" s="50"/>
      <c r="E10" s="50"/>
      <c r="F10" s="50"/>
      <c r="G10" s="50"/>
      <c r="H10" s="50"/>
      <c r="I10" s="51"/>
      <c r="J10" s="51"/>
    </row>
    <row r="11" spans="1:10" ht="40.5" customHeight="1" x14ac:dyDescent="0.25">
      <c r="A11" s="52" t="s">
        <v>515</v>
      </c>
      <c r="B11" s="52" t="s">
        <v>30</v>
      </c>
      <c r="C11" s="97" t="s">
        <v>27</v>
      </c>
      <c r="D11" s="97" t="s">
        <v>28</v>
      </c>
      <c r="E11" s="97" t="s">
        <v>956</v>
      </c>
      <c r="F11" s="97" t="s">
        <v>2</v>
      </c>
      <c r="G11" s="97" t="s">
        <v>3</v>
      </c>
      <c r="H11" s="97" t="s">
        <v>29</v>
      </c>
      <c r="I11" s="3" t="s">
        <v>10</v>
      </c>
      <c r="J11" s="3" t="s">
        <v>102</v>
      </c>
    </row>
    <row r="12" spans="1:10" ht="19.5" customHeight="1" x14ac:dyDescent="0.25">
      <c r="A12" s="572" t="s">
        <v>301</v>
      </c>
      <c r="B12" s="55" t="s">
        <v>31</v>
      </c>
      <c r="C12" s="59">
        <f>'h3'!B5</f>
        <v>155</v>
      </c>
      <c r="D12" s="59">
        <f>'h3'!C5</f>
        <v>8</v>
      </c>
      <c r="E12" s="645">
        <f>'h3'!D5</f>
        <v>0</v>
      </c>
      <c r="F12" s="645">
        <f>'h3'!E5</f>
        <v>0</v>
      </c>
      <c r="G12" s="645">
        <f>'h3'!F5</f>
        <v>0</v>
      </c>
      <c r="H12" s="59">
        <f>'h3'!G5</f>
        <v>0</v>
      </c>
      <c r="I12" s="57">
        <f t="shared" ref="I12:I43" si="2">SUM(C12:H12)</f>
        <v>163</v>
      </c>
      <c r="J12" s="57">
        <f t="shared" ref="J12:J43" si="3">I12-H12</f>
        <v>163</v>
      </c>
    </row>
    <row r="13" spans="1:10" ht="15" customHeight="1" x14ac:dyDescent="0.25">
      <c r="A13" s="573" t="s">
        <v>302</v>
      </c>
      <c r="B13" s="58" t="s">
        <v>32</v>
      </c>
      <c r="C13" s="59">
        <f>'h3'!B6</f>
        <v>32</v>
      </c>
      <c r="D13" s="59">
        <f>'h3'!C6</f>
        <v>285</v>
      </c>
      <c r="E13" s="645">
        <f>'h3'!D6</f>
        <v>0</v>
      </c>
      <c r="F13" s="645">
        <f>'h3'!E6</f>
        <v>0</v>
      </c>
      <c r="G13" s="645">
        <f>'h3'!F6</f>
        <v>0</v>
      </c>
      <c r="H13" s="59">
        <f>'h3'!G6</f>
        <v>0</v>
      </c>
      <c r="I13" s="57">
        <f t="shared" si="2"/>
        <v>317</v>
      </c>
      <c r="J13" s="57">
        <f t="shared" si="3"/>
        <v>317</v>
      </c>
    </row>
    <row r="14" spans="1:10" ht="15" customHeight="1" x14ac:dyDescent="0.25">
      <c r="A14" s="573" t="s">
        <v>308</v>
      </c>
      <c r="B14" s="58" t="s">
        <v>33</v>
      </c>
      <c r="C14" s="59">
        <f>'h3'!B7</f>
        <v>27</v>
      </c>
      <c r="D14" s="59">
        <f>'h3'!C7</f>
        <v>103</v>
      </c>
      <c r="E14" s="645">
        <f>'h3'!D7</f>
        <v>0</v>
      </c>
      <c r="F14" s="645">
        <f>'h3'!E7</f>
        <v>0</v>
      </c>
      <c r="G14" s="645">
        <f>'h3'!F7</f>
        <v>0</v>
      </c>
      <c r="H14" s="59">
        <f>'h3'!G7</f>
        <v>0</v>
      </c>
      <c r="I14" s="57">
        <f t="shared" si="2"/>
        <v>130</v>
      </c>
      <c r="J14" s="57">
        <f t="shared" si="3"/>
        <v>130</v>
      </c>
    </row>
    <row r="15" spans="1:10" ht="15" customHeight="1" x14ac:dyDescent="0.25">
      <c r="A15" s="573" t="s">
        <v>303</v>
      </c>
      <c r="B15" s="58" t="s">
        <v>34</v>
      </c>
      <c r="C15" s="59">
        <f>'h3'!B8</f>
        <v>53</v>
      </c>
      <c r="D15" s="59">
        <f>'h3'!C8</f>
        <v>174</v>
      </c>
      <c r="E15" s="645">
        <f>'h3'!D8</f>
        <v>0</v>
      </c>
      <c r="F15" s="645">
        <f>'h3'!E8</f>
        <v>0</v>
      </c>
      <c r="G15" s="645">
        <f>'h3'!F8</f>
        <v>0</v>
      </c>
      <c r="H15" s="59">
        <f>'h3'!G8</f>
        <v>212</v>
      </c>
      <c r="I15" s="57">
        <f t="shared" si="2"/>
        <v>439</v>
      </c>
      <c r="J15" s="57">
        <f t="shared" si="3"/>
        <v>227</v>
      </c>
    </row>
    <row r="16" spans="1:10" ht="15" customHeight="1" x14ac:dyDescent="0.25">
      <c r="A16" s="573" t="s">
        <v>304</v>
      </c>
      <c r="B16" s="58" t="s">
        <v>258</v>
      </c>
      <c r="C16" s="59">
        <f>'h3'!B9</f>
        <v>306</v>
      </c>
      <c r="D16" s="59">
        <f>'h3'!C9</f>
        <v>8</v>
      </c>
      <c r="E16" s="645">
        <f>'h3'!D9</f>
        <v>0</v>
      </c>
      <c r="F16" s="645">
        <f>'h3'!E9</f>
        <v>0</v>
      </c>
      <c r="G16" s="645">
        <f>'h3'!F9</f>
        <v>0</v>
      </c>
      <c r="H16" s="59">
        <f>'h3'!G9</f>
        <v>0</v>
      </c>
      <c r="I16" s="57">
        <f t="shared" si="2"/>
        <v>314</v>
      </c>
      <c r="J16" s="57">
        <f t="shared" si="3"/>
        <v>314</v>
      </c>
    </row>
    <row r="17" spans="1:10" ht="15" customHeight="1" x14ac:dyDescent="0.25">
      <c r="A17" s="573" t="s">
        <v>282</v>
      </c>
      <c r="B17" s="58" t="s">
        <v>35</v>
      </c>
      <c r="C17" s="59">
        <f>'h3'!B10</f>
        <v>25</v>
      </c>
      <c r="D17" s="59">
        <f>'h3'!C10</f>
        <v>25</v>
      </c>
      <c r="E17" s="645">
        <f>'h3'!D10</f>
        <v>0</v>
      </c>
      <c r="F17" s="645">
        <f>'h3'!E10</f>
        <v>0</v>
      </c>
      <c r="G17" s="645">
        <f>'h3'!F10</f>
        <v>0</v>
      </c>
      <c r="H17" s="59">
        <f>'h3'!G10</f>
        <v>0</v>
      </c>
      <c r="I17" s="57">
        <f t="shared" si="2"/>
        <v>50</v>
      </c>
      <c r="J17" s="57">
        <f t="shared" si="3"/>
        <v>50</v>
      </c>
    </row>
    <row r="18" spans="1:10" ht="15" customHeight="1" x14ac:dyDescent="0.25">
      <c r="A18" s="573" t="s">
        <v>283</v>
      </c>
      <c r="B18" s="58" t="s">
        <v>36</v>
      </c>
      <c r="C18" s="59">
        <f>'h3'!B11</f>
        <v>52</v>
      </c>
      <c r="D18" s="59">
        <f>'h3'!C11</f>
        <v>192</v>
      </c>
      <c r="E18" s="645">
        <f>'h3'!D11</f>
        <v>0</v>
      </c>
      <c r="F18" s="645">
        <f>'h3'!E11</f>
        <v>0</v>
      </c>
      <c r="G18" s="645">
        <f>'h3'!F11</f>
        <v>0</v>
      </c>
      <c r="H18" s="59">
        <f>'h3'!G11</f>
        <v>5</v>
      </c>
      <c r="I18" s="57">
        <f t="shared" si="2"/>
        <v>249</v>
      </c>
      <c r="J18" s="57">
        <f t="shared" si="3"/>
        <v>244</v>
      </c>
    </row>
    <row r="19" spans="1:10" ht="15" customHeight="1" x14ac:dyDescent="0.25">
      <c r="A19" s="573" t="s">
        <v>309</v>
      </c>
      <c r="B19" s="58" t="s">
        <v>37</v>
      </c>
      <c r="C19" s="59">
        <f>'h3'!B12</f>
        <v>182</v>
      </c>
      <c r="D19" s="59">
        <f>'h3'!C12</f>
        <v>12</v>
      </c>
      <c r="E19" s="645">
        <f>'h3'!D12</f>
        <v>0</v>
      </c>
      <c r="F19" s="645">
        <f>'h3'!E12</f>
        <v>0</v>
      </c>
      <c r="G19" s="645">
        <f>'h3'!F12</f>
        <v>0</v>
      </c>
      <c r="H19" s="59">
        <f>'h3'!G12</f>
        <v>0</v>
      </c>
      <c r="I19" s="57">
        <f t="shared" si="2"/>
        <v>194</v>
      </c>
      <c r="J19" s="57">
        <f t="shared" si="3"/>
        <v>194</v>
      </c>
    </row>
    <row r="20" spans="1:10" ht="15" customHeight="1" x14ac:dyDescent="0.25">
      <c r="A20" s="573" t="s">
        <v>284</v>
      </c>
      <c r="B20" s="58" t="s">
        <v>38</v>
      </c>
      <c r="C20" s="59">
        <f>'h3'!B13</f>
        <v>49</v>
      </c>
      <c r="D20" s="59">
        <f>'h3'!C13</f>
        <v>80</v>
      </c>
      <c r="E20" s="645">
        <f>'h3'!D13</f>
        <v>0</v>
      </c>
      <c r="F20" s="645">
        <f>'h3'!E13</f>
        <v>0</v>
      </c>
      <c r="G20" s="645">
        <f>'h3'!F13</f>
        <v>0</v>
      </c>
      <c r="H20" s="59">
        <f>'h3'!G13</f>
        <v>0</v>
      </c>
      <c r="I20" s="57">
        <f t="shared" si="2"/>
        <v>129</v>
      </c>
      <c r="J20" s="57">
        <f t="shared" si="3"/>
        <v>129</v>
      </c>
    </row>
    <row r="21" spans="1:10" ht="15" customHeight="1" x14ac:dyDescent="0.25">
      <c r="A21" s="573" t="s">
        <v>311</v>
      </c>
      <c r="B21" s="58" t="s">
        <v>39</v>
      </c>
      <c r="C21" s="59">
        <f>'h3'!B14</f>
        <v>79</v>
      </c>
      <c r="D21" s="59">
        <f>'h3'!C14</f>
        <v>0</v>
      </c>
      <c r="E21" s="645">
        <f>'h3'!D14</f>
        <v>0</v>
      </c>
      <c r="F21" s="645">
        <f>'h3'!E14</f>
        <v>0</v>
      </c>
      <c r="G21" s="645">
        <f>'h3'!F14</f>
        <v>0</v>
      </c>
      <c r="H21" s="59">
        <f>'h3'!G14</f>
        <v>0</v>
      </c>
      <c r="I21" s="57">
        <f t="shared" si="2"/>
        <v>79</v>
      </c>
      <c r="J21" s="57">
        <f t="shared" si="3"/>
        <v>79</v>
      </c>
    </row>
    <row r="22" spans="1:10" ht="15" customHeight="1" x14ac:dyDescent="0.25">
      <c r="A22" s="573" t="s">
        <v>285</v>
      </c>
      <c r="B22" s="58" t="s">
        <v>40</v>
      </c>
      <c r="C22" s="59">
        <f>'h3'!B15</f>
        <v>25</v>
      </c>
      <c r="D22" s="59">
        <f>'h3'!C15</f>
        <v>65</v>
      </c>
      <c r="E22" s="645">
        <f>'h3'!D15</f>
        <v>0</v>
      </c>
      <c r="F22" s="645">
        <f>'h3'!E15</f>
        <v>0</v>
      </c>
      <c r="G22" s="645">
        <f>'h3'!F15</f>
        <v>0</v>
      </c>
      <c r="H22" s="59">
        <f>'h3'!G15</f>
        <v>0</v>
      </c>
      <c r="I22" s="57">
        <f t="shared" si="2"/>
        <v>90</v>
      </c>
      <c r="J22" s="57">
        <f t="shared" si="3"/>
        <v>90</v>
      </c>
    </row>
    <row r="23" spans="1:10" ht="15" customHeight="1" x14ac:dyDescent="0.25">
      <c r="A23" s="573" t="s">
        <v>286</v>
      </c>
      <c r="B23" s="58" t="s">
        <v>41</v>
      </c>
      <c r="C23" s="59">
        <f>'h3'!B16</f>
        <v>50</v>
      </c>
      <c r="D23" s="59">
        <f>'h3'!C16</f>
        <v>0</v>
      </c>
      <c r="E23" s="645">
        <f>'h3'!D16</f>
        <v>0</v>
      </c>
      <c r="F23" s="645">
        <f>'h3'!E16</f>
        <v>0</v>
      </c>
      <c r="G23" s="645">
        <f>'h3'!F16</f>
        <v>0</v>
      </c>
      <c r="H23" s="59">
        <f>'h3'!G16</f>
        <v>0</v>
      </c>
      <c r="I23" s="57">
        <f t="shared" si="2"/>
        <v>50</v>
      </c>
      <c r="J23" s="57">
        <f t="shared" si="3"/>
        <v>50</v>
      </c>
    </row>
    <row r="24" spans="1:10" ht="15" customHeight="1" x14ac:dyDescent="0.25">
      <c r="A24" s="573" t="s">
        <v>288</v>
      </c>
      <c r="B24" s="58" t="s">
        <v>42</v>
      </c>
      <c r="C24" s="59">
        <f>'h3'!B17</f>
        <v>88</v>
      </c>
      <c r="D24" s="59">
        <f>'h3'!C17</f>
        <v>57</v>
      </c>
      <c r="E24" s="645">
        <f>'h3'!D17</f>
        <v>0</v>
      </c>
      <c r="F24" s="645">
        <f>'h3'!E17</f>
        <v>0</v>
      </c>
      <c r="G24" s="645">
        <f>'h3'!F17</f>
        <v>0</v>
      </c>
      <c r="H24" s="59">
        <f>'h3'!G17</f>
        <v>0</v>
      </c>
      <c r="I24" s="57">
        <f t="shared" si="2"/>
        <v>145</v>
      </c>
      <c r="J24" s="57">
        <f t="shared" si="3"/>
        <v>145</v>
      </c>
    </row>
    <row r="25" spans="1:10" ht="15" customHeight="1" x14ac:dyDescent="0.25">
      <c r="A25" s="573" t="s">
        <v>313</v>
      </c>
      <c r="B25" s="58" t="s">
        <v>43</v>
      </c>
      <c r="C25" s="59">
        <f>'h3'!B18</f>
        <v>269</v>
      </c>
      <c r="D25" s="59">
        <f>'h3'!C18</f>
        <v>113</v>
      </c>
      <c r="E25" s="645">
        <f>'h3'!D18</f>
        <v>0</v>
      </c>
      <c r="F25" s="645">
        <f>'h3'!E18</f>
        <v>0</v>
      </c>
      <c r="G25" s="645">
        <f>'h3'!F18</f>
        <v>0</v>
      </c>
      <c r="H25" s="59">
        <f>'h3'!G18</f>
        <v>0</v>
      </c>
      <c r="I25" s="57">
        <f t="shared" si="2"/>
        <v>382</v>
      </c>
      <c r="J25" s="57">
        <f t="shared" si="3"/>
        <v>382</v>
      </c>
    </row>
    <row r="26" spans="1:10" ht="15" customHeight="1" x14ac:dyDescent="0.25">
      <c r="A26" s="573" t="str">
        <f>IF(A9 = "2019-20","S12000049","S12000046")</f>
        <v>S12000049</v>
      </c>
      <c r="B26" s="58" t="s">
        <v>121</v>
      </c>
      <c r="C26" s="59">
        <f>'h3'!B19</f>
        <v>517</v>
      </c>
      <c r="D26" s="59">
        <f>'h3'!C19</f>
        <v>0</v>
      </c>
      <c r="E26" s="645">
        <f>'h3'!D19</f>
        <v>0</v>
      </c>
      <c r="F26" s="645">
        <f>'h3'!E19</f>
        <v>0</v>
      </c>
      <c r="G26" s="645">
        <f>'h3'!F19</f>
        <v>0</v>
      </c>
      <c r="H26" s="59">
        <f>'h3'!G19</f>
        <v>0</v>
      </c>
      <c r="I26" s="57">
        <f t="shared" si="2"/>
        <v>517</v>
      </c>
      <c r="J26" s="57">
        <f t="shared" si="3"/>
        <v>517</v>
      </c>
    </row>
    <row r="27" spans="1:10" ht="15" customHeight="1" x14ac:dyDescent="0.25">
      <c r="A27" s="573" t="s">
        <v>289</v>
      </c>
      <c r="B27" s="58" t="s">
        <v>44</v>
      </c>
      <c r="C27" s="59">
        <f>'h3'!B20</f>
        <v>71</v>
      </c>
      <c r="D27" s="59">
        <f>'h3'!C20</f>
        <v>525</v>
      </c>
      <c r="E27" s="645">
        <f>'h3'!D20</f>
        <v>0</v>
      </c>
      <c r="F27" s="645">
        <f>'h3'!E20</f>
        <v>0</v>
      </c>
      <c r="G27" s="645">
        <f>'h3'!F20</f>
        <v>0</v>
      </c>
      <c r="H27" s="59">
        <f>'h3'!G20</f>
        <v>49</v>
      </c>
      <c r="I27" s="57">
        <f t="shared" si="2"/>
        <v>645</v>
      </c>
      <c r="J27" s="57">
        <f t="shared" si="3"/>
        <v>596</v>
      </c>
    </row>
    <row r="28" spans="1:10" ht="15" customHeight="1" x14ac:dyDescent="0.25">
      <c r="A28" s="573" t="s">
        <v>290</v>
      </c>
      <c r="B28" s="58" t="s">
        <v>45</v>
      </c>
      <c r="C28" s="59">
        <f>'h3'!B21</f>
        <v>70</v>
      </c>
      <c r="D28" s="59">
        <f>'h3'!C21</f>
        <v>42</v>
      </c>
      <c r="E28" s="645">
        <f>'h3'!D21</f>
        <v>0</v>
      </c>
      <c r="F28" s="645">
        <f>'h3'!E21</f>
        <v>0</v>
      </c>
      <c r="G28" s="645">
        <f>'h3'!F21</f>
        <v>0</v>
      </c>
      <c r="H28" s="59">
        <f>'h3'!G21</f>
        <v>0</v>
      </c>
      <c r="I28" s="57">
        <f t="shared" si="2"/>
        <v>112</v>
      </c>
      <c r="J28" s="57">
        <f t="shared" si="3"/>
        <v>112</v>
      </c>
    </row>
    <row r="29" spans="1:10" ht="15" customHeight="1" x14ac:dyDescent="0.25">
      <c r="A29" s="573" t="s">
        <v>291</v>
      </c>
      <c r="B29" s="58" t="s">
        <v>46</v>
      </c>
      <c r="C29" s="59">
        <f>'h3'!B22</f>
        <v>26</v>
      </c>
      <c r="D29" s="59">
        <f>'h3'!C22</f>
        <v>13</v>
      </c>
      <c r="E29" s="645">
        <f>'h3'!D22</f>
        <v>0</v>
      </c>
      <c r="F29" s="645">
        <f>'h3'!E22</f>
        <v>0</v>
      </c>
      <c r="G29" s="645">
        <f>'h3'!F22</f>
        <v>0</v>
      </c>
      <c r="H29" s="59">
        <f>'h3'!G22</f>
        <v>0</v>
      </c>
      <c r="I29" s="57">
        <f t="shared" si="2"/>
        <v>39</v>
      </c>
      <c r="J29" s="57">
        <f t="shared" si="3"/>
        <v>39</v>
      </c>
    </row>
    <row r="30" spans="1:10" ht="15" customHeight="1" x14ac:dyDescent="0.25">
      <c r="A30" s="573" t="s">
        <v>292</v>
      </c>
      <c r="B30" s="58" t="s">
        <v>47</v>
      </c>
      <c r="C30" s="59">
        <f>'h3'!B23</f>
        <v>30</v>
      </c>
      <c r="D30" s="59">
        <f>'h3'!C23</f>
        <v>121</v>
      </c>
      <c r="E30" s="645">
        <f>'h3'!D23</f>
        <v>0</v>
      </c>
      <c r="F30" s="645">
        <f>'h3'!E23</f>
        <v>0</v>
      </c>
      <c r="G30" s="645">
        <f>'h3'!F23</f>
        <v>0</v>
      </c>
      <c r="H30" s="59">
        <f>'h3'!G23</f>
        <v>4</v>
      </c>
      <c r="I30" s="57">
        <f t="shared" si="2"/>
        <v>155</v>
      </c>
      <c r="J30" s="57">
        <f t="shared" si="3"/>
        <v>151</v>
      </c>
    </row>
    <row r="31" spans="1:10" ht="15" customHeight="1" x14ac:dyDescent="0.25">
      <c r="A31" s="573" t="s">
        <v>287</v>
      </c>
      <c r="B31" s="58" t="s">
        <v>48</v>
      </c>
      <c r="C31" s="59">
        <f>'h3'!B24</f>
        <v>0</v>
      </c>
      <c r="D31" s="59">
        <f>'h3'!C24</f>
        <v>135</v>
      </c>
      <c r="E31" s="645">
        <f>'h3'!D24</f>
        <v>0</v>
      </c>
      <c r="F31" s="645">
        <f>'h3'!E24</f>
        <v>0</v>
      </c>
      <c r="G31" s="645">
        <f>'h3'!F24</f>
        <v>0</v>
      </c>
      <c r="H31" s="59">
        <f>'h3'!G24</f>
        <v>0</v>
      </c>
      <c r="I31" s="57">
        <f t="shared" si="2"/>
        <v>135</v>
      </c>
      <c r="J31" s="57">
        <f t="shared" si="3"/>
        <v>135</v>
      </c>
    </row>
    <row r="32" spans="1:10" ht="15" customHeight="1" x14ac:dyDescent="0.25">
      <c r="A32" s="573" t="s">
        <v>293</v>
      </c>
      <c r="B32" s="58" t="s">
        <v>49</v>
      </c>
      <c r="C32" s="59">
        <f>'h3'!B25</f>
        <v>75</v>
      </c>
      <c r="D32" s="59">
        <f>'h3'!C25</f>
        <v>104</v>
      </c>
      <c r="E32" s="645">
        <f>'h3'!D25</f>
        <v>0</v>
      </c>
      <c r="F32" s="645">
        <f>'h3'!E25</f>
        <v>0</v>
      </c>
      <c r="G32" s="645">
        <f>'h3'!F25</f>
        <v>0</v>
      </c>
      <c r="H32" s="59">
        <f>'h3'!G25</f>
        <v>22</v>
      </c>
      <c r="I32" s="57">
        <f t="shared" si="2"/>
        <v>201</v>
      </c>
      <c r="J32" s="57">
        <f t="shared" si="3"/>
        <v>179</v>
      </c>
    </row>
    <row r="33" spans="1:10" ht="15" customHeight="1" x14ac:dyDescent="0.25">
      <c r="A33" s="573" t="str">
        <f>IF(A9="2019-20","S12000050","S12000044")</f>
        <v>S12000050</v>
      </c>
      <c r="B33" s="58" t="s">
        <v>50</v>
      </c>
      <c r="C33" s="59">
        <f>'h3'!B26</f>
        <v>163</v>
      </c>
      <c r="D33" s="59">
        <f>'h3'!C26</f>
        <v>37</v>
      </c>
      <c r="E33" s="645">
        <f>'h3'!D26</f>
        <v>0</v>
      </c>
      <c r="F33" s="645">
        <f>'h3'!E26</f>
        <v>0</v>
      </c>
      <c r="G33" s="645">
        <f>'h3'!F26</f>
        <v>0</v>
      </c>
      <c r="H33" s="59">
        <f>'h3'!G26</f>
        <v>0</v>
      </c>
      <c r="I33" s="57">
        <f t="shared" si="2"/>
        <v>200</v>
      </c>
      <c r="J33" s="57">
        <f t="shared" si="3"/>
        <v>200</v>
      </c>
    </row>
    <row r="34" spans="1:10" ht="15" customHeight="1" x14ac:dyDescent="0.25">
      <c r="A34" s="573" t="s">
        <v>294</v>
      </c>
      <c r="B34" s="58" t="s">
        <v>51</v>
      </c>
      <c r="C34" s="59">
        <f>'h3'!B27</f>
        <v>0</v>
      </c>
      <c r="D34" s="59">
        <f>'h3'!C27</f>
        <v>109</v>
      </c>
      <c r="E34" s="645">
        <f>'h3'!D27</f>
        <v>0</v>
      </c>
      <c r="F34" s="645">
        <f>'h3'!E27</f>
        <v>0</v>
      </c>
      <c r="G34" s="645">
        <f>'h3'!F27</f>
        <v>0</v>
      </c>
      <c r="H34" s="59">
        <f>'h3'!G27</f>
        <v>0</v>
      </c>
      <c r="I34" s="57">
        <f t="shared" si="2"/>
        <v>109</v>
      </c>
      <c r="J34" s="57">
        <f t="shared" si="3"/>
        <v>109</v>
      </c>
    </row>
    <row r="35" spans="1:10" ht="15" customHeight="1" x14ac:dyDescent="0.25">
      <c r="A35" s="573" t="s">
        <v>295</v>
      </c>
      <c r="B35" s="58" t="s">
        <v>52</v>
      </c>
      <c r="C35" s="59">
        <f>'h3'!B28</f>
        <v>67</v>
      </c>
      <c r="D35" s="59">
        <f>'h3'!C28</f>
        <v>131</v>
      </c>
      <c r="E35" s="645">
        <f>'h3'!D28</f>
        <v>0</v>
      </c>
      <c r="F35" s="645">
        <f>'h3'!E28</f>
        <v>0</v>
      </c>
      <c r="G35" s="645">
        <f>'h3'!F28</f>
        <v>0</v>
      </c>
      <c r="H35" s="59">
        <f>'h3'!G28</f>
        <v>21</v>
      </c>
      <c r="I35" s="57">
        <f t="shared" si="2"/>
        <v>219</v>
      </c>
      <c r="J35" s="57">
        <f t="shared" si="3"/>
        <v>198</v>
      </c>
    </row>
    <row r="36" spans="1:10" ht="15" customHeight="1" x14ac:dyDescent="0.25">
      <c r="A36" s="573" t="s">
        <v>305</v>
      </c>
      <c r="B36" s="58" t="s">
        <v>53</v>
      </c>
      <c r="C36" s="59">
        <f>'h3'!B29</f>
        <v>102</v>
      </c>
      <c r="D36" s="59">
        <f>'h3'!C29</f>
        <v>15</v>
      </c>
      <c r="E36" s="645">
        <f>'h3'!D29</f>
        <v>0</v>
      </c>
      <c r="F36" s="645">
        <f>'h3'!E29</f>
        <v>0</v>
      </c>
      <c r="G36" s="645">
        <f>'h3'!F29</f>
        <v>0</v>
      </c>
      <c r="H36" s="59">
        <f>'h3'!G29</f>
        <v>0</v>
      </c>
      <c r="I36" s="57">
        <f t="shared" si="2"/>
        <v>117</v>
      </c>
      <c r="J36" s="57">
        <f t="shared" si="3"/>
        <v>117</v>
      </c>
    </row>
    <row r="37" spans="1:10" ht="15" customHeight="1" x14ac:dyDescent="0.25">
      <c r="A37" s="573" t="s">
        <v>296</v>
      </c>
      <c r="B37" s="58" t="s">
        <v>54</v>
      </c>
      <c r="C37" s="59">
        <f>'h3'!B30</f>
        <v>53</v>
      </c>
      <c r="D37" s="59">
        <f>'h3'!C30</f>
        <v>148</v>
      </c>
      <c r="E37" s="645">
        <f>'h3'!D30</f>
        <v>0</v>
      </c>
      <c r="F37" s="645">
        <f>'h3'!E30</f>
        <v>0</v>
      </c>
      <c r="G37" s="645">
        <f>'h3'!F30</f>
        <v>0</v>
      </c>
      <c r="H37" s="59">
        <f>'h3'!G30</f>
        <v>0</v>
      </c>
      <c r="I37" s="57">
        <f t="shared" si="2"/>
        <v>201</v>
      </c>
      <c r="J37" s="57">
        <f t="shared" si="3"/>
        <v>201</v>
      </c>
    </row>
    <row r="38" spans="1:10" ht="15" customHeight="1" x14ac:dyDescent="0.25">
      <c r="A38" s="573" t="s">
        <v>297</v>
      </c>
      <c r="B38" s="58" t="s">
        <v>55</v>
      </c>
      <c r="C38" s="59">
        <f>'h3'!B31</f>
        <v>0</v>
      </c>
      <c r="D38" s="59">
        <f>'h3'!C31</f>
        <v>134</v>
      </c>
      <c r="E38" s="645">
        <f>'h3'!D31</f>
        <v>0</v>
      </c>
      <c r="F38" s="645">
        <f>'h3'!E31</f>
        <v>0</v>
      </c>
      <c r="G38" s="645">
        <f>'h3'!F31</f>
        <v>0</v>
      </c>
      <c r="H38" s="59">
        <f>'h3'!G31</f>
        <v>0</v>
      </c>
      <c r="I38" s="57">
        <f t="shared" si="2"/>
        <v>134</v>
      </c>
      <c r="J38" s="57">
        <f t="shared" si="3"/>
        <v>134</v>
      </c>
    </row>
    <row r="39" spans="1:10" ht="15" customHeight="1" x14ac:dyDescent="0.25">
      <c r="A39" s="573" t="s">
        <v>298</v>
      </c>
      <c r="B39" s="58" t="s">
        <v>56</v>
      </c>
      <c r="C39" s="59">
        <f>'h3'!B32</f>
        <v>50</v>
      </c>
      <c r="D39" s="59">
        <f>'h3'!C32</f>
        <v>55</v>
      </c>
      <c r="E39" s="645">
        <f>'h3'!D32</f>
        <v>0</v>
      </c>
      <c r="F39" s="645">
        <f>'h3'!E32</f>
        <v>0</v>
      </c>
      <c r="G39" s="645">
        <f>'h3'!F32</f>
        <v>0</v>
      </c>
      <c r="H39" s="59">
        <f>'h3'!G32</f>
        <v>0</v>
      </c>
      <c r="I39" s="57">
        <f t="shared" si="2"/>
        <v>105</v>
      </c>
      <c r="J39" s="57">
        <f t="shared" si="3"/>
        <v>105</v>
      </c>
    </row>
    <row r="40" spans="1:10" ht="15" customHeight="1" x14ac:dyDescent="0.25">
      <c r="A40" s="573" t="s">
        <v>299</v>
      </c>
      <c r="B40" s="58" t="s">
        <v>57</v>
      </c>
      <c r="C40" s="59">
        <f>'h3'!B33</f>
        <v>168</v>
      </c>
      <c r="D40" s="59">
        <f>'h3'!C33</f>
        <v>86</v>
      </c>
      <c r="E40" s="645">
        <f>'h3'!D33</f>
        <v>0</v>
      </c>
      <c r="F40" s="645">
        <f>'h3'!E33</f>
        <v>0</v>
      </c>
      <c r="G40" s="645">
        <f>'h3'!F33</f>
        <v>0</v>
      </c>
      <c r="H40" s="59">
        <f>'h3'!G33</f>
        <v>2</v>
      </c>
      <c r="I40" s="57">
        <f t="shared" si="2"/>
        <v>256</v>
      </c>
      <c r="J40" s="57">
        <f t="shared" si="3"/>
        <v>254</v>
      </c>
    </row>
    <row r="41" spans="1:10" ht="15" customHeight="1" x14ac:dyDescent="0.25">
      <c r="A41" s="573" t="s">
        <v>300</v>
      </c>
      <c r="B41" s="58" t="s">
        <v>58</v>
      </c>
      <c r="C41" s="59">
        <f>'h3'!B34</f>
        <v>51</v>
      </c>
      <c r="D41" s="59">
        <f>'h3'!C34</f>
        <v>75</v>
      </c>
      <c r="E41" s="645">
        <f>'h3'!D34</f>
        <v>0</v>
      </c>
      <c r="F41" s="645">
        <f>'h3'!E34</f>
        <v>0</v>
      </c>
      <c r="G41" s="645">
        <f>'h3'!F34</f>
        <v>0</v>
      </c>
      <c r="H41" s="59">
        <f>'h3'!G34</f>
        <v>0</v>
      </c>
      <c r="I41" s="57">
        <f t="shared" si="2"/>
        <v>126</v>
      </c>
      <c r="J41" s="57">
        <f t="shared" si="3"/>
        <v>126</v>
      </c>
    </row>
    <row r="42" spans="1:10" ht="15" customHeight="1" x14ac:dyDescent="0.25">
      <c r="A42" s="573" t="s">
        <v>306</v>
      </c>
      <c r="B42" s="58" t="s">
        <v>59</v>
      </c>
      <c r="C42" s="59">
        <f>'h3'!B35</f>
        <v>73</v>
      </c>
      <c r="D42" s="59">
        <f>'h3'!C35</f>
        <v>20</v>
      </c>
      <c r="E42" s="645">
        <f>'h3'!D35</f>
        <v>0</v>
      </c>
      <c r="F42" s="645">
        <f>'h3'!E35</f>
        <v>0</v>
      </c>
      <c r="G42" s="645">
        <f>'h3'!F35</f>
        <v>0</v>
      </c>
      <c r="H42" s="59">
        <f>'h3'!G35</f>
        <v>0</v>
      </c>
      <c r="I42" s="57">
        <f t="shared" si="2"/>
        <v>93</v>
      </c>
      <c r="J42" s="57">
        <f t="shared" si="3"/>
        <v>93</v>
      </c>
    </row>
    <row r="43" spans="1:10" ht="15" customHeight="1" x14ac:dyDescent="0.25">
      <c r="A43" s="573" t="s">
        <v>307</v>
      </c>
      <c r="B43" s="58" t="s">
        <v>60</v>
      </c>
      <c r="C43" s="59">
        <f>'h3'!B36</f>
        <v>58</v>
      </c>
      <c r="D43" s="59">
        <f>'h3'!C36</f>
        <v>65</v>
      </c>
      <c r="E43" s="645">
        <f>'h3'!D36</f>
        <v>0</v>
      </c>
      <c r="F43" s="645">
        <f>'h3'!E36</f>
        <v>0</v>
      </c>
      <c r="G43" s="645">
        <f>'h3'!F36</f>
        <v>0</v>
      </c>
      <c r="H43" s="59">
        <f>'h3'!G36</f>
        <v>0</v>
      </c>
      <c r="I43" s="57">
        <f t="shared" si="2"/>
        <v>123</v>
      </c>
      <c r="J43" s="57">
        <f t="shared" si="3"/>
        <v>123</v>
      </c>
    </row>
    <row r="44" spans="1:10" ht="30" customHeight="1" thickBot="1" x14ac:dyDescent="0.3">
      <c r="A44" s="62"/>
      <c r="B44" s="62" t="s">
        <v>61</v>
      </c>
      <c r="C44" s="63">
        <f t="shared" ref="C44:E44" si="4">SUM(C12:C43)</f>
        <v>2966</v>
      </c>
      <c r="D44" s="63">
        <f t="shared" si="4"/>
        <v>2937</v>
      </c>
      <c r="E44" s="644">
        <f t="shared" si="4"/>
        <v>0</v>
      </c>
      <c r="F44" s="644">
        <f t="shared" ref="F44:H44" si="5">SUM(F12:F43)</f>
        <v>0</v>
      </c>
      <c r="G44" s="644">
        <f t="shared" si="5"/>
        <v>0</v>
      </c>
      <c r="H44" s="63">
        <f t="shared" si="5"/>
        <v>315</v>
      </c>
      <c r="I44" s="63">
        <f>SUM(I12:I43)</f>
        <v>6218</v>
      </c>
      <c r="J44" s="63">
        <f t="shared" ref="J44" si="6">SUM(J12:J43)</f>
        <v>5903</v>
      </c>
    </row>
    <row r="45" spans="1:10" ht="19.5" customHeight="1" x14ac:dyDescent="0.25">
      <c r="A45" s="64"/>
      <c r="B45" s="64"/>
      <c r="C45" s="56"/>
      <c r="D45" s="56"/>
      <c r="E45" s="56"/>
      <c r="F45" s="56"/>
      <c r="G45" s="56"/>
      <c r="H45" s="56"/>
      <c r="I45" s="57"/>
      <c r="J45" s="57"/>
    </row>
    <row r="46" spans="1:10" ht="37.5" customHeight="1" x14ac:dyDescent="0.25">
      <c r="A46" s="659" t="s">
        <v>516</v>
      </c>
      <c r="B46" s="659" t="s">
        <v>62</v>
      </c>
      <c r="C46" s="47" t="s">
        <v>27</v>
      </c>
      <c r="D46" s="47" t="s">
        <v>28</v>
      </c>
      <c r="E46" s="47" t="s">
        <v>956</v>
      </c>
      <c r="F46" s="47" t="s">
        <v>2</v>
      </c>
      <c r="G46" s="47" t="s">
        <v>3</v>
      </c>
      <c r="H46" s="47" t="s">
        <v>29</v>
      </c>
      <c r="I46" s="4" t="s">
        <v>10</v>
      </c>
      <c r="J46" s="4" t="s">
        <v>102</v>
      </c>
    </row>
    <row r="47" spans="1:10" ht="22.5" customHeight="1" x14ac:dyDescent="0.25">
      <c r="A47" s="574" t="s">
        <v>369</v>
      </c>
      <c r="B47" s="67" t="s">
        <v>31</v>
      </c>
      <c r="C47" s="68">
        <f>IFERROR(GETPIVOTDATA("Sum of WT",'h3'!$A$3,"ReportingLevel","2:LSO","lvl",Table3[[#This Row],[Local Senior Officer Area]]),0)</f>
        <v>13</v>
      </c>
      <c r="D47" s="647">
        <f>'h3'!C38</f>
        <v>0</v>
      </c>
      <c r="E47" s="647">
        <f>IFERROR(GETPIVOTDATA("Sum of RDS Fulltime",'h3'!$A$3,"ReportingLevel","2:LSO","lvl",Table3[[#This Row],[Local Senior Officer Area]]),0)</f>
        <v>0</v>
      </c>
      <c r="F47" s="647">
        <f>'h3'!E38</f>
        <v>0</v>
      </c>
      <c r="G47" s="648">
        <f>GETPIVOTDATA("Sum of Control",'h3'!$A$3,"ReportingLevel","2:LSO","lvl","Aberdeen City")</f>
        <v>0</v>
      </c>
      <c r="H47" s="649">
        <f>'h3'!G38</f>
        <v>0</v>
      </c>
      <c r="I47" s="74">
        <f t="shared" ref="I47:I63" si="7">SUM(C47:H47)</f>
        <v>13</v>
      </c>
      <c r="J47" s="74">
        <f t="shared" ref="J47:J63" si="8">I47-H47</f>
        <v>13</v>
      </c>
    </row>
    <row r="48" spans="1:10" ht="15" customHeight="1" x14ac:dyDescent="0.25">
      <c r="A48" s="575" t="s">
        <v>370</v>
      </c>
      <c r="B48" s="69" t="s">
        <v>63</v>
      </c>
      <c r="C48" s="59">
        <f>IFERROR(GETPIVOTDATA("Sum of WT",'h3'!$A$3,"ReportingLevel","2:LSO","lvl",Table3[[#This Row],[Local Senior Officer Area]]),0)</f>
        <v>25</v>
      </c>
      <c r="D48" s="646">
        <f>'h3'!C39</f>
        <v>0</v>
      </c>
      <c r="E48" s="646">
        <f>IFERROR(GETPIVOTDATA("Sum of RDS Fulltime",'h3'!$A$3,"ReportingLevel","2:LSO","lvl",Table3[[#This Row],[Local Senior Officer Area]]),0)</f>
        <v>5</v>
      </c>
      <c r="F48" s="646">
        <f>'h3'!E39</f>
        <v>0</v>
      </c>
      <c r="G48" s="650">
        <f>GETPIVOTDATA("Sum of Control",'h3'!$A$3,"ReportingLevel","2:LSO","lvl","Aberdeen City")</f>
        <v>0</v>
      </c>
      <c r="H48" s="645">
        <f>'h3'!G39</f>
        <v>0</v>
      </c>
      <c r="I48" s="57">
        <f t="shared" si="7"/>
        <v>30</v>
      </c>
      <c r="J48" s="57">
        <f t="shared" si="8"/>
        <v>30</v>
      </c>
    </row>
    <row r="49" spans="1:10" ht="15" customHeight="1" x14ac:dyDescent="0.25">
      <c r="A49" s="575" t="s">
        <v>372</v>
      </c>
      <c r="B49" s="69" t="s">
        <v>64</v>
      </c>
      <c r="C49" s="59">
        <f>IFERROR(GETPIVOTDATA("Sum of WT",'h3'!$A$3,"ReportingLevel","2:LSO","lvl",Table3[[#This Row],[Local Senior Officer Area]]),0)</f>
        <v>28</v>
      </c>
      <c r="D49" s="646">
        <f>'h3'!C40</f>
        <v>0</v>
      </c>
      <c r="E49" s="646">
        <f>IFERROR(GETPIVOTDATA("Sum of RDS Fulltime",'h3'!$A$3,"ReportingLevel","2:LSO","lvl",Table3[[#This Row],[Local Senior Officer Area]]),0)</f>
        <v>3</v>
      </c>
      <c r="F49" s="646">
        <f>'h3'!E40</f>
        <v>0</v>
      </c>
      <c r="G49" s="650">
        <f>GETPIVOTDATA("Sum of Control",'h3'!$A$3,"ReportingLevel","2:LSO","lvl","Aberdeen City")</f>
        <v>0</v>
      </c>
      <c r="H49" s="645">
        <f>'h3'!G40</f>
        <v>0</v>
      </c>
      <c r="I49" s="57">
        <f t="shared" si="7"/>
        <v>31</v>
      </c>
      <c r="J49" s="57">
        <f t="shared" si="8"/>
        <v>31</v>
      </c>
    </row>
    <row r="50" spans="1:10" ht="15" customHeight="1" x14ac:dyDescent="0.25">
      <c r="A50" s="575" t="s">
        <v>373</v>
      </c>
      <c r="B50" s="69" t="s">
        <v>36</v>
      </c>
      <c r="C50" s="59">
        <f>IFERROR(GETPIVOTDATA("Sum of WT",'h3'!$A$3,"ReportingLevel","2:LSO","lvl",Table3[[#This Row],[Local Senior Officer Area]]),0)</f>
        <v>22</v>
      </c>
      <c r="D50" s="646">
        <f>'h3'!C41</f>
        <v>0</v>
      </c>
      <c r="E50" s="646">
        <f>IFERROR(GETPIVOTDATA("Sum of RDS Fulltime",'h3'!$A$3,"ReportingLevel","2:LSO","lvl",Table3[[#This Row],[Local Senior Officer Area]]),0)</f>
        <v>2</v>
      </c>
      <c r="F50" s="646">
        <f>'h3'!E41</f>
        <v>0</v>
      </c>
      <c r="G50" s="650">
        <f>GETPIVOTDATA("Sum of Control",'h3'!$A$3,"ReportingLevel","2:LSO","lvl","Aberdeen City")</f>
        <v>0</v>
      </c>
      <c r="H50" s="645">
        <f>'h3'!G41</f>
        <v>0</v>
      </c>
      <c r="I50" s="57">
        <f t="shared" si="7"/>
        <v>24</v>
      </c>
      <c r="J50" s="57">
        <f t="shared" si="8"/>
        <v>24</v>
      </c>
    </row>
    <row r="51" spans="1:10" ht="15" customHeight="1" x14ac:dyDescent="0.25">
      <c r="A51" s="575" t="s">
        <v>371</v>
      </c>
      <c r="B51" s="69" t="s">
        <v>65</v>
      </c>
      <c r="C51" s="59">
        <f>IFERROR(GETPIVOTDATA("Sum of WT",'h3'!$A$3,"ReportingLevel","2:LSO","lvl",Table3[[#This Row],[Local Senior Officer Area]]),0)</f>
        <v>31</v>
      </c>
      <c r="D51" s="646">
        <f>'h3'!C42</f>
        <v>0</v>
      </c>
      <c r="E51" s="646">
        <f>IFERROR(GETPIVOTDATA("Sum of RDS Fulltime",'h3'!$A$3,"ReportingLevel","2:LSO","lvl",Table3[[#This Row],[Local Senior Officer Area]]),0)</f>
        <v>2</v>
      </c>
      <c r="F51" s="646">
        <f>'h3'!E42</f>
        <v>0</v>
      </c>
      <c r="G51" s="650">
        <f>GETPIVOTDATA("Sum of Control",'h3'!$A$3,"ReportingLevel","2:LSO","lvl","Aberdeen City")</f>
        <v>0</v>
      </c>
      <c r="H51" s="645">
        <f>'h3'!G42</f>
        <v>0</v>
      </c>
      <c r="I51" s="57">
        <f t="shared" si="7"/>
        <v>33</v>
      </c>
      <c r="J51" s="57">
        <f t="shared" si="8"/>
        <v>33</v>
      </c>
    </row>
    <row r="52" spans="1:10" ht="15" customHeight="1" x14ac:dyDescent="0.25">
      <c r="A52" s="575" t="s">
        <v>374</v>
      </c>
      <c r="B52" s="69" t="s">
        <v>66</v>
      </c>
      <c r="C52" s="59">
        <f>IFERROR(GETPIVOTDATA("Sum of WT",'h3'!$A$3,"ReportingLevel","2:LSO","lvl",Table3[[#This Row],[Local Senior Officer Area]]),0)</f>
        <v>28</v>
      </c>
      <c r="D52" s="646">
        <f>'h3'!C43</f>
        <v>0</v>
      </c>
      <c r="E52" s="646">
        <f>IFERROR(GETPIVOTDATA("Sum of RDS Fulltime",'h3'!$A$3,"ReportingLevel","2:LSO","lvl",Table3[[#This Row],[Local Senior Officer Area]]),0)</f>
        <v>2</v>
      </c>
      <c r="F52" s="646">
        <f>'h3'!E43</f>
        <v>0</v>
      </c>
      <c r="G52" s="650">
        <f>GETPIVOTDATA("Sum of Control",'h3'!$A$3,"ReportingLevel","2:LSO","lvl","Aberdeen City")</f>
        <v>0</v>
      </c>
      <c r="H52" s="645">
        <f>'h3'!G43</f>
        <v>0</v>
      </c>
      <c r="I52" s="57">
        <f t="shared" si="7"/>
        <v>30</v>
      </c>
      <c r="J52" s="57">
        <f t="shared" si="8"/>
        <v>30</v>
      </c>
    </row>
    <row r="53" spans="1:10" ht="15" customHeight="1" x14ac:dyDescent="0.25">
      <c r="A53" s="575" t="s">
        <v>375</v>
      </c>
      <c r="B53" s="69" t="s">
        <v>67</v>
      </c>
      <c r="C53" s="59">
        <f>IFERROR(GETPIVOTDATA("Sum of WT",'h3'!$A$3,"ReportingLevel","2:LSO","lvl",Table3[[#This Row],[Local Senior Officer Area]]),0)</f>
        <v>29</v>
      </c>
      <c r="D53" s="646">
        <f>'h3'!C44</f>
        <v>0</v>
      </c>
      <c r="E53" s="646">
        <f>IFERROR(GETPIVOTDATA("Sum of RDS Fulltime",'h3'!$A$3,"ReportingLevel","2:LSO","lvl",Table3[[#This Row],[Local Senior Officer Area]]),0)</f>
        <v>3</v>
      </c>
      <c r="F53" s="646">
        <f>'h3'!E44</f>
        <v>0</v>
      </c>
      <c r="G53" s="650">
        <f>GETPIVOTDATA("Sum of Control",'h3'!$A$3,"ReportingLevel","2:LSO","lvl","Aberdeen City")</f>
        <v>0</v>
      </c>
      <c r="H53" s="645">
        <f>'h3'!G44</f>
        <v>0</v>
      </c>
      <c r="I53" s="57">
        <f t="shared" si="7"/>
        <v>32</v>
      </c>
      <c r="J53" s="57">
        <f t="shared" si="8"/>
        <v>32</v>
      </c>
    </row>
    <row r="54" spans="1:10" ht="15" customHeight="1" x14ac:dyDescent="0.25">
      <c r="A54" s="522" t="s">
        <v>376</v>
      </c>
      <c r="B54" s="69" t="s">
        <v>68</v>
      </c>
      <c r="C54" s="59">
        <f>IFERROR(GETPIVOTDATA("Sum of WT",'h3'!$A$3,"ReportingLevel","2:LSO","lvl",Table3[[#This Row],[Local Senior Officer Area]]),0)</f>
        <v>13</v>
      </c>
      <c r="D54" s="646">
        <f>'h3'!C45</f>
        <v>0</v>
      </c>
      <c r="E54" s="646">
        <f>IFERROR(GETPIVOTDATA("Sum of RDS Fulltime",'h3'!$A$3,"ReportingLevel","2:LSO","lvl",Table3[[#This Row],[Local Senior Officer Area]]),0)</f>
        <v>0</v>
      </c>
      <c r="F54" s="646">
        <f>'h3'!E45</f>
        <v>0</v>
      </c>
      <c r="G54" s="650">
        <f>GETPIVOTDATA("Sum of Control",'h3'!$A$3,"ReportingLevel","2:LSO","lvl","Aberdeen City")</f>
        <v>0</v>
      </c>
      <c r="H54" s="645">
        <f>'h3'!G45</f>
        <v>0</v>
      </c>
      <c r="I54" s="57">
        <f t="shared" si="7"/>
        <v>13</v>
      </c>
      <c r="J54" s="57">
        <f t="shared" si="8"/>
        <v>13</v>
      </c>
    </row>
    <row r="55" spans="1:10" ht="15" customHeight="1" x14ac:dyDescent="0.25">
      <c r="A55" s="575" t="s">
        <v>377</v>
      </c>
      <c r="B55" s="69" t="s">
        <v>175</v>
      </c>
      <c r="C55" s="59">
        <f>IFERROR(GETPIVOTDATA("Sum of WT",'h3'!$A$3,"ReportingLevel","2:LSO","lvl",Table3[[#This Row],[Local Senior Officer Area]]),0)</f>
        <v>28</v>
      </c>
      <c r="D55" s="646">
        <f>'h3'!C46</f>
        <v>0</v>
      </c>
      <c r="E55" s="646">
        <f>IFERROR(GETPIVOTDATA("Sum of RDS Fulltime",'h3'!$A$3,"ReportingLevel","2:LSO","lvl",Table3[[#This Row],[Local Senior Officer Area]]),0)</f>
        <v>0</v>
      </c>
      <c r="F55" s="646">
        <f>'h3'!E46</f>
        <v>0</v>
      </c>
      <c r="G55" s="650">
        <f>GETPIVOTDATA("Sum of Control",'h3'!$A$3,"ReportingLevel","2:LSO","lvl","Aberdeen City")</f>
        <v>0</v>
      </c>
      <c r="H55" s="645">
        <f>'h3'!G46</f>
        <v>0</v>
      </c>
      <c r="I55" s="57">
        <f t="shared" si="7"/>
        <v>28</v>
      </c>
      <c r="J55" s="57">
        <f t="shared" si="8"/>
        <v>28</v>
      </c>
    </row>
    <row r="56" spans="1:10" ht="15" customHeight="1" x14ac:dyDescent="0.25">
      <c r="A56" s="575" t="s">
        <v>378</v>
      </c>
      <c r="B56" s="69" t="s">
        <v>69</v>
      </c>
      <c r="C56" s="59">
        <f>IFERROR(GETPIVOTDATA("Sum of WT",'h3'!$A$3,"ReportingLevel","2:LSO","lvl",Table3[[#This Row],[Local Senior Officer Area]]),0)</f>
        <v>19</v>
      </c>
      <c r="D56" s="646">
        <f>'h3'!C47</f>
        <v>0</v>
      </c>
      <c r="E56" s="646">
        <f>IFERROR(GETPIVOTDATA("Sum of RDS Fulltime",'h3'!$A$3,"ReportingLevel","2:LSO","lvl",Table3[[#This Row],[Local Senior Officer Area]]),0)</f>
        <v>1</v>
      </c>
      <c r="F56" s="646">
        <f>'h3'!E47</f>
        <v>0</v>
      </c>
      <c r="G56" s="650">
        <f>GETPIVOTDATA("Sum of Control",'h3'!$A$3,"ReportingLevel","2:LSO","lvl","Aberdeen City")</f>
        <v>0</v>
      </c>
      <c r="H56" s="645">
        <f>'h3'!G47</f>
        <v>0</v>
      </c>
      <c r="I56" s="57">
        <f t="shared" si="7"/>
        <v>20</v>
      </c>
      <c r="J56" s="57">
        <f t="shared" si="8"/>
        <v>20</v>
      </c>
    </row>
    <row r="57" spans="1:10" ht="15" customHeight="1" x14ac:dyDescent="0.25">
      <c r="A57" s="575" t="str">
        <f>IF(A9&lt;&gt;"2019-20","S39000019","")</f>
        <v/>
      </c>
      <c r="B57" s="437" t="str">
        <f>IF(A9 &lt;&gt; "2019-20", "Fife", "")</f>
        <v/>
      </c>
      <c r="C57" s="59">
        <f>IFERROR(GETPIVOTDATA("Sum of WT",'h3'!$A$3,"ReportingLevel","2:LSO","lvl",Table3[[#This Row],[Local Senior Officer Area]]),0)</f>
        <v>0</v>
      </c>
      <c r="D57" s="646">
        <f>'h3'!C48</f>
        <v>0</v>
      </c>
      <c r="E57" s="646">
        <f>IFERROR(GETPIVOTDATA("Sum of RDS Fulltime",'h3'!$A$3,"ReportingLevel","2:LSO","lvl",Table3[[#This Row],[Local Senior Officer Area]]),0)</f>
        <v>0</v>
      </c>
      <c r="F57" s="646">
        <f>'h3'!E48</f>
        <v>0</v>
      </c>
      <c r="G57" s="650">
        <f>GETPIVOTDATA("Sum of Control",'h3'!$A$3,"ReportingLevel","2:LSO","lvl","Aberdeen City")</f>
        <v>0</v>
      </c>
      <c r="H57" s="645">
        <f>'h3'!G48</f>
        <v>0</v>
      </c>
      <c r="I57" s="57">
        <f t="shared" si="7"/>
        <v>0</v>
      </c>
      <c r="J57" s="57">
        <f t="shared" si="8"/>
        <v>0</v>
      </c>
    </row>
    <row r="58" spans="1:10" ht="15" customHeight="1" x14ac:dyDescent="0.25">
      <c r="A58" s="575" t="str">
        <f>IF(A9="2018-19","S39000012","S39000020")</f>
        <v>S39000020</v>
      </c>
      <c r="B58" s="69" t="s">
        <v>121</v>
      </c>
      <c r="C58" s="59">
        <f>IFERROR(GETPIVOTDATA("Sum of WT",'h3'!$A$3,"ReportingLevel","2:LSO","lvl",Table3[[#This Row],[Local Senior Officer Area]]),0)</f>
        <v>25</v>
      </c>
      <c r="D58" s="646">
        <f>'h3'!C49</f>
        <v>0</v>
      </c>
      <c r="E58" s="646">
        <f>IFERROR(GETPIVOTDATA("Sum of RDS Fulltime",'h3'!$A$3,"ReportingLevel","2:LSO","lvl",Table3[[#This Row],[Local Senior Officer Area]]),0)</f>
        <v>0</v>
      </c>
      <c r="F58" s="646">
        <f>'h3'!E49</f>
        <v>0</v>
      </c>
      <c r="G58" s="650">
        <f>GETPIVOTDATA("Sum of Control",'h3'!$A$3,"ReportingLevel","2:LSO","lvl","Aberdeen City")</f>
        <v>0</v>
      </c>
      <c r="H58" s="645">
        <f>'h3'!G49</f>
        <v>0</v>
      </c>
      <c r="I58" s="57">
        <f t="shared" si="7"/>
        <v>25</v>
      </c>
      <c r="J58" s="57">
        <f t="shared" si="8"/>
        <v>25</v>
      </c>
    </row>
    <row r="59" spans="1:10" ht="15" customHeight="1" x14ac:dyDescent="0.25">
      <c r="A59" s="575" t="s">
        <v>379</v>
      </c>
      <c r="B59" s="69" t="s">
        <v>70</v>
      </c>
      <c r="C59" s="59">
        <f>IFERROR(GETPIVOTDATA("Sum of WT",'h3'!$A$3,"ReportingLevel","2:LSO","lvl",Table3[[#This Row],[Local Senior Officer Area]]),0)</f>
        <v>38</v>
      </c>
      <c r="D59" s="646">
        <f>'h3'!C50</f>
        <v>0</v>
      </c>
      <c r="E59" s="646">
        <f>IFERROR(GETPIVOTDATA("Sum of RDS Fulltime",'h3'!$A$3,"ReportingLevel","2:LSO","lvl",Table3[[#This Row],[Local Senior Officer Area]]),0)</f>
        <v>7</v>
      </c>
      <c r="F59" s="646">
        <f>'h3'!E50</f>
        <v>0</v>
      </c>
      <c r="G59" s="650">
        <f>GETPIVOTDATA("Sum of Control",'h3'!$A$3,"ReportingLevel","2:LSO","lvl","Aberdeen City")</f>
        <v>0</v>
      </c>
      <c r="H59" s="645">
        <f>'h3'!G50</f>
        <v>0</v>
      </c>
      <c r="I59" s="57">
        <f t="shared" si="7"/>
        <v>45</v>
      </c>
      <c r="J59" s="57">
        <f t="shared" si="8"/>
        <v>45</v>
      </c>
    </row>
    <row r="60" spans="1:10" ht="15" customHeight="1" x14ac:dyDescent="0.25">
      <c r="A60" s="575" t="str">
        <f>IF(A9="2018-19","S39000014","S39000021")</f>
        <v>S39000021</v>
      </c>
      <c r="B60" s="69" t="s">
        <v>50</v>
      </c>
      <c r="C60" s="59">
        <f>IFERROR(GETPIVOTDATA("Sum of WT",'h3'!$A$3,"ReportingLevel","2:LSO","lvl",Table3[[#This Row],[Local Senior Officer Area]]),0)</f>
        <v>16</v>
      </c>
      <c r="D60" s="646">
        <f>'h3'!C51</f>
        <v>0</v>
      </c>
      <c r="E60" s="646">
        <f>IFERROR(GETPIVOTDATA("Sum of RDS Fulltime",'h3'!$A$3,"ReportingLevel","2:LSO","lvl",Table3[[#This Row],[Local Senior Officer Area]]),0)</f>
        <v>0</v>
      </c>
      <c r="F60" s="646">
        <f>'h3'!E51</f>
        <v>0</v>
      </c>
      <c r="G60" s="650">
        <f>GETPIVOTDATA("Sum of Control",'h3'!$A$3,"ReportingLevel","2:LSO","lvl","Aberdeen City")</f>
        <v>0</v>
      </c>
      <c r="H60" s="645">
        <f>'h3'!G51</f>
        <v>0</v>
      </c>
      <c r="I60" s="57">
        <f t="shared" si="7"/>
        <v>16</v>
      </c>
      <c r="J60" s="57">
        <f t="shared" si="8"/>
        <v>16</v>
      </c>
    </row>
    <row r="61" spans="1:10" ht="15" customHeight="1" x14ac:dyDescent="0.25">
      <c r="A61" s="575" t="s">
        <v>380</v>
      </c>
      <c r="B61" s="69" t="s">
        <v>57</v>
      </c>
      <c r="C61" s="59">
        <f>IFERROR(GETPIVOTDATA("Sum of WT",'h3'!$A$3,"ReportingLevel","2:LSO","lvl",Table3[[#This Row],[Local Senior Officer Area]]),0)</f>
        <v>16</v>
      </c>
      <c r="D61" s="646">
        <f>'h3'!C52</f>
        <v>0</v>
      </c>
      <c r="E61" s="646">
        <f>IFERROR(GETPIVOTDATA("Sum of RDS Fulltime",'h3'!$A$3,"ReportingLevel","2:LSO","lvl",Table3[[#This Row],[Local Senior Officer Area]]),0)</f>
        <v>2</v>
      </c>
      <c r="F61" s="646">
        <f>'h3'!E52</f>
        <v>0</v>
      </c>
      <c r="G61" s="650">
        <f>GETPIVOTDATA("Sum of Control",'h3'!$A$3,"ReportingLevel","2:LSO","lvl","Aberdeen City")</f>
        <v>0</v>
      </c>
      <c r="H61" s="645">
        <f>'h3'!G52</f>
        <v>0</v>
      </c>
      <c r="I61" s="57">
        <f t="shared" si="7"/>
        <v>18</v>
      </c>
      <c r="J61" s="57">
        <f t="shared" si="8"/>
        <v>18</v>
      </c>
    </row>
    <row r="62" spans="1:10" ht="15" customHeight="1" x14ac:dyDescent="0.25">
      <c r="A62" s="575" t="str">
        <f>IF(A9&lt;&gt;"2019-20","S39000016","LSO_E3")</f>
        <v>LSO_E3</v>
      </c>
      <c r="B62" s="437" t="str">
        <f>IF(A9&lt;&gt;"2019-20","Stirling and Clackmannanshire","Stirling, Clackmannanshire and Fife")</f>
        <v>Stirling, Clackmannanshire and Fife</v>
      </c>
      <c r="C62" s="59">
        <f>IFERROR(GETPIVOTDATA("Sum of WT",'h3'!$A$3,"ReportingLevel","2:LSO","lvl",Table3[[#This Row],[Local Senior Officer Area]]),0)</f>
        <v>38</v>
      </c>
      <c r="D62" s="646">
        <f>'h3'!C53</f>
        <v>0</v>
      </c>
      <c r="E62" s="646">
        <f>IFERROR(GETPIVOTDATA("Sum of RDS Fulltime",'h3'!$A$3,"ReportingLevel","2:LSO","lvl",Table3[[#This Row],[Local Senior Officer Area]]),0)</f>
        <v>4</v>
      </c>
      <c r="F62" s="646">
        <f>'h3'!E53</f>
        <v>0</v>
      </c>
      <c r="G62" s="650">
        <f>GETPIVOTDATA("Sum of Control",'h3'!$A$3,"ReportingLevel","2:LSO","lvl","Aberdeen City")</f>
        <v>0</v>
      </c>
      <c r="H62" s="645">
        <f>'h3'!G53</f>
        <v>0</v>
      </c>
      <c r="I62" s="57">
        <f t="shared" si="7"/>
        <v>42</v>
      </c>
      <c r="J62" s="57">
        <f t="shared" si="8"/>
        <v>42</v>
      </c>
    </row>
    <row r="63" spans="1:10" ht="15" customHeight="1" x14ac:dyDescent="0.25">
      <c r="A63" s="575" t="s">
        <v>381</v>
      </c>
      <c r="B63" s="69" t="s">
        <v>71</v>
      </c>
      <c r="C63" s="59">
        <f>IFERROR(GETPIVOTDATA("Sum of WT",'h3'!$A$3,"ReportingLevel","2:LSO","lvl",Table3[[#This Row],[Local Senior Officer Area]]),0)</f>
        <v>14</v>
      </c>
      <c r="D63" s="646">
        <f>'h3'!C54</f>
        <v>0</v>
      </c>
      <c r="E63" s="646">
        <f>IFERROR(GETPIVOTDATA("Sum of RDS Fulltime",'h3'!$A$3,"ReportingLevel","2:LSO","lvl",Table3[[#This Row],[Local Senior Officer Area]]),0)</f>
        <v>5</v>
      </c>
      <c r="F63" s="646">
        <f>'h3'!E54</f>
        <v>0</v>
      </c>
      <c r="G63" s="650">
        <f>GETPIVOTDATA("Sum of Control",'h3'!$A$3,"ReportingLevel","2:LSO","lvl","Aberdeen City")</f>
        <v>0</v>
      </c>
      <c r="H63" s="645">
        <f>'h3'!G54</f>
        <v>0</v>
      </c>
      <c r="I63" s="57">
        <f t="shared" si="7"/>
        <v>19</v>
      </c>
      <c r="J63" s="57">
        <f t="shared" si="8"/>
        <v>19</v>
      </c>
    </row>
    <row r="64" spans="1:10" ht="30" customHeight="1" thickBot="1" x14ac:dyDescent="0.3">
      <c r="A64" s="70"/>
      <c r="B64" s="70" t="s">
        <v>72</v>
      </c>
      <c r="C64" s="71">
        <f>SUM(C47:C63)</f>
        <v>383</v>
      </c>
      <c r="D64" s="644">
        <f t="shared" ref="D64:E64" si="9">SUM(D47:D63)</f>
        <v>0</v>
      </c>
      <c r="E64" s="644">
        <f t="shared" si="9"/>
        <v>36</v>
      </c>
      <c r="F64" s="644">
        <f t="shared" ref="F64:J64" si="10">SUM(F47:F63)</f>
        <v>0</v>
      </c>
      <c r="G64" s="644">
        <f t="shared" si="10"/>
        <v>0</v>
      </c>
      <c r="H64" s="644">
        <f t="shared" si="10"/>
        <v>0</v>
      </c>
      <c r="I64" s="71">
        <f t="shared" si="10"/>
        <v>419</v>
      </c>
      <c r="J64" s="71">
        <f t="shared" si="10"/>
        <v>419</v>
      </c>
    </row>
    <row r="65" spans="1:10" ht="12.75" customHeight="1" x14ac:dyDescent="0.25">
      <c r="A65" s="64"/>
      <c r="B65" s="64"/>
      <c r="C65" s="56"/>
      <c r="D65" s="56"/>
      <c r="E65" s="56"/>
      <c r="F65" s="56"/>
      <c r="G65" s="56"/>
      <c r="H65" s="56"/>
      <c r="I65" s="57"/>
      <c r="J65" s="57"/>
    </row>
    <row r="66" spans="1:10" ht="37.5" customHeight="1" x14ac:dyDescent="0.25">
      <c r="A66" s="72" t="s">
        <v>368</v>
      </c>
      <c r="B66" s="96" t="s">
        <v>15</v>
      </c>
      <c r="C66" s="97" t="s">
        <v>27</v>
      </c>
      <c r="D66" s="97" t="s">
        <v>28</v>
      </c>
      <c r="E66" s="97" t="s">
        <v>956</v>
      </c>
      <c r="F66" s="97" t="s">
        <v>2</v>
      </c>
      <c r="G66" s="97" t="s">
        <v>3</v>
      </c>
      <c r="H66" s="97" t="s">
        <v>29</v>
      </c>
      <c r="I66" s="3" t="s">
        <v>10</v>
      </c>
      <c r="J66" s="3" t="s">
        <v>102</v>
      </c>
    </row>
    <row r="67" spans="1:10" ht="22.5" customHeight="1" x14ac:dyDescent="0.25">
      <c r="A67" s="779" t="s">
        <v>402</v>
      </c>
      <c r="B67" s="58" t="s">
        <v>174</v>
      </c>
      <c r="C67" s="59">
        <f>GETPIVOTDATA("Sum of WT",'h3'!$A$3,"ReportingLevel","3:SDA","lvl",Table4[[#This Row],[Service Delivery Area]])</f>
        <v>52</v>
      </c>
      <c r="D67" s="646">
        <f>GETPIVOTDATA("Sum of RDS",'h3'!$A$3,"ReportingLevel","3:SDA","lvl",Table4[[#This Row],[Service Delivery Area]])</f>
        <v>0</v>
      </c>
      <c r="E67" s="646">
        <f>GETPIVOTDATA("Sum of RDS Fulltime",'h3'!$A$3,"ReportingLevel","3:SDA","lvl",Table4[[#This Row],[Service Delivery Area]])</f>
        <v>0</v>
      </c>
      <c r="F67" s="646">
        <f>GETPIVOTDATA("Sum of Control",'h3'!$A$3,"ReportingLevel","3:SDA","lvl",Table4[[#This Row],[Service Delivery Area]])</f>
        <v>0</v>
      </c>
      <c r="G67" s="26">
        <f>GETPIVOTDATA("Sum of Support",'h3'!$A$3,"ReportingLevel","3:SDA","lvl",Table4[[#This Row],[Service Delivery Area]])</f>
        <v>95</v>
      </c>
      <c r="H67" s="645">
        <f>GETPIVOTDATA("Sum of Vol",'h3'!$A$3,"ReportingLevel","3:SDA","lvl",Table4[[#This Row],[Service Delivery Area]])</f>
        <v>0</v>
      </c>
      <c r="I67" s="57">
        <f t="shared" ref="I67:I69" si="11">SUM(C67:H67)</f>
        <v>147</v>
      </c>
      <c r="J67" s="57">
        <f>I67-H67</f>
        <v>147</v>
      </c>
    </row>
    <row r="68" spans="1:10" ht="15" customHeight="1" x14ac:dyDescent="0.25">
      <c r="A68" s="109" t="s">
        <v>404</v>
      </c>
      <c r="B68" s="58" t="s">
        <v>172</v>
      </c>
      <c r="C68" s="59">
        <f>GETPIVOTDATA("Sum of WT",'h3'!$A$3,"ReportingLevel","3:SDA","lvl",Table4[[#This Row],[Service Delivery Area]])</f>
        <v>42</v>
      </c>
      <c r="D68" s="646">
        <f>GETPIVOTDATA("Sum of RDS",'h3'!$A$3,"ReportingLevel","3:SDA","lvl",Table4[[#This Row],[Service Delivery Area]])</f>
        <v>0</v>
      </c>
      <c r="E68" s="646">
        <f>GETPIVOTDATA("Sum of RDS Fulltime",'h3'!$A$3,"ReportingLevel","3:SDA","lvl",Table4[[#This Row],[Service Delivery Area]])</f>
        <v>0</v>
      </c>
      <c r="F68" s="646">
        <f>GETPIVOTDATA("Sum of Control",'h3'!$A$3,"ReportingLevel","3:SDA","lvl",Table4[[#This Row],[Service Delivery Area]])</f>
        <v>0</v>
      </c>
      <c r="G68" s="26">
        <f>GETPIVOTDATA("Sum of Support",'h3'!$A$3,"ReportingLevel","3:SDA","lvl",Table4[[#This Row],[Service Delivery Area]])</f>
        <v>132</v>
      </c>
      <c r="H68" s="645">
        <f>GETPIVOTDATA("Sum of Vol",'h3'!$A$3,"ReportingLevel","3:SDA","lvl",Table4[[#This Row],[Service Delivery Area]])</f>
        <v>0</v>
      </c>
      <c r="I68" s="57">
        <f t="shared" si="11"/>
        <v>174</v>
      </c>
      <c r="J68" s="57">
        <f>I68-H68</f>
        <v>174</v>
      </c>
    </row>
    <row r="69" spans="1:10" ht="15" customHeight="1" x14ac:dyDescent="0.25">
      <c r="A69" s="109" t="s">
        <v>403</v>
      </c>
      <c r="B69" s="58" t="s">
        <v>173</v>
      </c>
      <c r="C69" s="59">
        <f>GETPIVOTDATA("Sum of WT",'h3'!$A$3,"ReportingLevel","3:SDA","lvl",Table4[[#This Row],[Service Delivery Area]])</f>
        <v>103</v>
      </c>
      <c r="D69" s="646">
        <f>GETPIVOTDATA("Sum of RDS",'h3'!$A$3,"ReportingLevel","3:SDA","lvl",Table4[[#This Row],[Service Delivery Area]])</f>
        <v>0</v>
      </c>
      <c r="E69" s="646">
        <f>GETPIVOTDATA("Sum of RDS Fulltime",'h3'!$A$3,"ReportingLevel","3:SDA","lvl",Table4[[#This Row],[Service Delivery Area]])</f>
        <v>0</v>
      </c>
      <c r="F69" s="646">
        <f>GETPIVOTDATA("Sum of Control",'h3'!$A$3,"ReportingLevel","3:SDA","lvl",Table4[[#This Row],[Service Delivery Area]])</f>
        <v>0</v>
      </c>
      <c r="G69" s="26">
        <f>GETPIVOTDATA("Sum of Support",'h3'!$A$3,"ReportingLevel","3:SDA","lvl",Table4[[#This Row],[Service Delivery Area]])</f>
        <v>242</v>
      </c>
      <c r="H69" s="645">
        <f>GETPIVOTDATA("Sum of Vol",'h3'!$A$3,"ReportingLevel","3:SDA","lvl",Table4[[#This Row],[Service Delivery Area]])</f>
        <v>0</v>
      </c>
      <c r="I69" s="57">
        <f t="shared" si="11"/>
        <v>345</v>
      </c>
      <c r="J69" s="57">
        <f>I69-H69</f>
        <v>345</v>
      </c>
    </row>
    <row r="70" spans="1:10" ht="30" customHeight="1" thickBot="1" x14ac:dyDescent="0.3">
      <c r="A70" s="75"/>
      <c r="B70" s="75" t="s">
        <v>77</v>
      </c>
      <c r="C70" s="71">
        <f>SUM(C67:C69)</f>
        <v>197</v>
      </c>
      <c r="D70" s="644">
        <f t="shared" ref="D70:E70" si="12">SUM(D67:D69)</f>
        <v>0</v>
      </c>
      <c r="E70" s="644">
        <f t="shared" si="12"/>
        <v>0</v>
      </c>
      <c r="F70" s="644">
        <f t="shared" ref="F70:J70" si="13">SUM(F67:F69)</f>
        <v>0</v>
      </c>
      <c r="G70" s="71">
        <f t="shared" si="13"/>
        <v>469</v>
      </c>
      <c r="H70" s="644">
        <f t="shared" si="13"/>
        <v>0</v>
      </c>
      <c r="I70" s="71">
        <f>SUM(I67:I69)</f>
        <v>666</v>
      </c>
      <c r="J70" s="71">
        <f t="shared" si="13"/>
        <v>666</v>
      </c>
    </row>
    <row r="71" spans="1:10" x14ac:dyDescent="0.25">
      <c r="A71" s="64"/>
      <c r="B71" s="64"/>
      <c r="C71" s="56"/>
      <c r="D71" s="56"/>
      <c r="E71" s="56"/>
      <c r="F71" s="56"/>
      <c r="G71" s="56"/>
      <c r="H71" s="56"/>
      <c r="I71" s="76"/>
      <c r="J71" s="76"/>
    </row>
    <row r="72" spans="1:10" ht="12" customHeight="1" x14ac:dyDescent="0.25">
      <c r="A72" s="72" t="s">
        <v>513</v>
      </c>
      <c r="B72" s="96"/>
      <c r="C72" s="56"/>
      <c r="D72" s="56"/>
      <c r="E72" s="56"/>
      <c r="F72" s="56"/>
      <c r="G72" s="56"/>
      <c r="H72" s="56"/>
      <c r="I72" s="76"/>
      <c r="J72" s="76"/>
    </row>
    <row r="73" spans="1:10" ht="18.75" customHeight="1" thickBot="1" x14ac:dyDescent="0.3">
      <c r="A73" s="75" t="s">
        <v>382</v>
      </c>
      <c r="B73" s="77" t="s">
        <v>78</v>
      </c>
      <c r="C73" s="71">
        <f>GETPIVOTDATA("Sum of WT",'h3'!$A$3,"ReportingLevel","4:National","lvl","Scotland")</f>
        <v>90</v>
      </c>
      <c r="D73" s="644">
        <f>GETPIVOTDATA("Sum of RDS",'h3'!$A$3,"ReportingLevel","4:National","lvl","Scotland")</f>
        <v>0</v>
      </c>
      <c r="E73" s="71">
        <f>GETPIVOTDATA("Sum of RDS Fulltime",'h3'!$A$3,"ReportingLevel","4:National","lvl","Scotland")</f>
        <v>0</v>
      </c>
      <c r="F73" s="71">
        <f>GETPIVOTDATA("Sum of Control",'h3'!$A$3,"ReportingLevel","4:National","lvl","Scotland")</f>
        <v>188</v>
      </c>
      <c r="G73" s="71">
        <f>GETPIVOTDATA("Sum of Support",'h3'!$A$3,"ReportingLevel","4:National","lvl","Scotland")</f>
        <v>349</v>
      </c>
      <c r="H73" s="644">
        <f>GETPIVOTDATA("Sum of Vol",'h3'!$A$3,"ReportingLevel","4:National","lvl","Scotland")</f>
        <v>0</v>
      </c>
      <c r="I73" s="71">
        <f>SUM(C73:H73)</f>
        <v>627</v>
      </c>
      <c r="J73" s="71">
        <f>I73-H73</f>
        <v>627</v>
      </c>
    </row>
    <row r="74" spans="1:10" ht="13.5" customHeight="1" x14ac:dyDescent="0.25">
      <c r="A74" s="13"/>
      <c r="B74" s="13"/>
      <c r="C74" s="76"/>
      <c r="D74" s="76"/>
      <c r="E74" s="76"/>
      <c r="F74" s="76"/>
      <c r="G74" s="76"/>
      <c r="H74" s="76"/>
      <c r="I74" s="57"/>
      <c r="J74" s="57"/>
    </row>
    <row r="75" spans="1:10" ht="13.5" customHeight="1" x14ac:dyDescent="0.25">
      <c r="A75" s="512"/>
      <c r="B75" s="512"/>
      <c r="C75" s="76"/>
      <c r="D75" s="76"/>
      <c r="E75" s="76"/>
      <c r="F75" s="76"/>
      <c r="G75" s="76"/>
      <c r="H75" s="76"/>
      <c r="I75" s="57"/>
      <c r="J75" s="57"/>
    </row>
    <row r="76" spans="1:10" x14ac:dyDescent="0.25">
      <c r="A76" s="509" t="s">
        <v>8</v>
      </c>
      <c r="C76" s="44"/>
      <c r="D76" s="44"/>
      <c r="E76" s="44"/>
      <c r="F76" s="44"/>
      <c r="G76" s="44"/>
      <c r="H76" s="44"/>
      <c r="I76" s="44"/>
      <c r="J76" s="44"/>
    </row>
    <row r="77" spans="1:10" ht="15.75" x14ac:dyDescent="0.25">
      <c r="A77" s="506" t="s">
        <v>231</v>
      </c>
      <c r="D77" s="95"/>
      <c r="E77" s="329"/>
      <c r="F77" s="329"/>
      <c r="G77" s="329"/>
      <c r="H77" s="329"/>
      <c r="I77" s="329"/>
      <c r="J77" s="329"/>
    </row>
    <row r="78" spans="1:10" ht="18" x14ac:dyDescent="0.25">
      <c r="A78" s="514"/>
      <c r="B78" s="514"/>
      <c r="C78" s="366"/>
      <c r="D78" s="367"/>
      <c r="E78" s="16"/>
      <c r="F78" s="16"/>
      <c r="G78" s="16"/>
      <c r="H78" s="16"/>
      <c r="I78" s="16"/>
      <c r="J78" s="16"/>
    </row>
  </sheetData>
  <sheetProtection algorithmName="SHA-512" hashValue="Ed3HQplWSMgmMU/QM4uR/I7rfHt0C2e/LqRhnbgMOBFL4pNEOqjQ4IjAOPyTO6IygukjhKLC7E040p2n3azk7g==" saltValue="qc0KmbVyYsa8CpmDdXFM0g==" spinCount="100000" sheet="1" scenarios="1" formatCells="0" formatColumns="0" formatRows="0" sort="0" autoFilter="0" pivotTables="0"/>
  <mergeCells count="2">
    <mergeCell ref="A4:I4"/>
    <mergeCell ref="A1:H1"/>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56" orientation="portrait" r:id="rId1"/>
  <drawing r:id="rId2"/>
  <tableParts count="3">
    <tablePart r:id="rId3"/>
    <tablePart r:id="rId4"/>
    <tablePart r:id="rId5"/>
  </tableParts>
  <extLst>
    <ext xmlns:x14="http://schemas.microsoft.com/office/spreadsheetml/2009/9/main" uri="{A8765BA9-456A-4dab-B4F3-ACF838C121DE}">
      <x14:slicerList>
        <x14:slicer r:id="rId6"/>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22"/>
  <sheetViews>
    <sheetView showGridLines="0" workbookViewId="0">
      <pane ySplit="2" topLeftCell="A3" activePane="bottomLeft" state="frozen"/>
      <selection pane="bottomLeft" sqref="A1:H1"/>
    </sheetView>
  </sheetViews>
  <sheetFormatPr defaultRowHeight="15" x14ac:dyDescent="0.25"/>
  <cols>
    <col min="1" max="1" width="31.7109375" bestFit="1" customWidth="1"/>
    <col min="2" max="9" width="12" customWidth="1"/>
  </cols>
  <sheetData>
    <row r="1" spans="1:11" ht="15.75" x14ac:dyDescent="0.25">
      <c r="A1" s="1077" t="s">
        <v>505</v>
      </c>
      <c r="B1" s="1077"/>
      <c r="C1" s="1077"/>
      <c r="D1" s="1077"/>
      <c r="E1" s="1077"/>
      <c r="F1" s="1077"/>
      <c r="G1" s="1077"/>
      <c r="H1" s="1077"/>
    </row>
    <row r="2" spans="1:11" ht="18" x14ac:dyDescent="0.25">
      <c r="A2" s="772" t="s">
        <v>578</v>
      </c>
      <c r="B2" s="1"/>
      <c r="C2" s="1"/>
      <c r="D2" s="1"/>
      <c r="E2" s="1"/>
      <c r="F2" s="1"/>
      <c r="G2" s="1"/>
      <c r="H2" s="1"/>
    </row>
    <row r="3" spans="1:11" ht="18" x14ac:dyDescent="0.25">
      <c r="A3" s="1"/>
      <c r="B3" s="1"/>
      <c r="C3" s="1"/>
      <c r="D3" s="1"/>
      <c r="E3" s="1"/>
      <c r="F3" s="1"/>
      <c r="G3" s="1"/>
      <c r="H3" s="1"/>
    </row>
    <row r="4" spans="1:11" ht="30" customHeight="1" x14ac:dyDescent="0.25">
      <c r="A4" s="1094" t="s">
        <v>508</v>
      </c>
      <c r="B4" s="1094"/>
      <c r="C4" s="1094"/>
      <c r="D4" s="1094"/>
      <c r="E4" s="1094"/>
      <c r="F4" s="1094"/>
      <c r="G4" s="1094"/>
      <c r="H4" s="1094"/>
      <c r="I4" s="1094"/>
      <c r="J4" s="1094"/>
      <c r="K4" s="1094"/>
    </row>
    <row r="5" spans="1:11" ht="15" customHeight="1" x14ac:dyDescent="0.25">
      <c r="A5" t="s">
        <v>363</v>
      </c>
      <c r="B5" t="s">
        <v>727</v>
      </c>
      <c r="C5" s="625"/>
      <c r="E5" s="625"/>
      <c r="F5" s="625"/>
      <c r="G5" s="625"/>
      <c r="H5" s="625"/>
      <c r="I5" s="625"/>
      <c r="J5" s="625"/>
      <c r="K5" s="625"/>
    </row>
    <row r="6" spans="1:11" ht="15" customHeight="1" x14ac:dyDescent="0.25">
      <c r="A6" t="s">
        <v>364</v>
      </c>
      <c r="B6" t="s">
        <v>366</v>
      </c>
      <c r="C6" s="625"/>
      <c r="D6" s="625"/>
      <c r="E6" s="625"/>
      <c r="F6" s="625"/>
      <c r="G6" s="625"/>
      <c r="H6" s="625"/>
      <c r="I6" s="625"/>
      <c r="J6" s="625"/>
      <c r="K6" s="625"/>
    </row>
    <row r="7" spans="1:11" ht="15" customHeight="1" x14ac:dyDescent="0.25">
      <c r="A7" t="s">
        <v>365</v>
      </c>
      <c r="B7" t="s">
        <v>367</v>
      </c>
      <c r="C7" s="625"/>
      <c r="D7" s="625"/>
      <c r="E7" s="625"/>
      <c r="F7" s="625"/>
      <c r="G7" s="625"/>
      <c r="H7" s="625"/>
      <c r="I7" s="625"/>
      <c r="J7" s="625"/>
      <c r="K7" s="625"/>
    </row>
    <row r="8" spans="1:11" ht="15" customHeight="1" x14ac:dyDescent="0.25">
      <c r="C8" s="625"/>
      <c r="D8" s="625"/>
      <c r="E8" s="625"/>
      <c r="F8" s="625"/>
      <c r="G8" s="625"/>
      <c r="H8" s="625"/>
      <c r="I8" s="625"/>
      <c r="J8" s="625"/>
      <c r="K8" s="625"/>
    </row>
    <row r="9" spans="1:11" ht="39" x14ac:dyDescent="0.25">
      <c r="A9" s="24"/>
      <c r="B9" s="3" t="s">
        <v>967</v>
      </c>
      <c r="C9" s="3" t="s">
        <v>968</v>
      </c>
      <c r="D9" s="3" t="s">
        <v>969</v>
      </c>
      <c r="E9" s="3" t="s">
        <v>970</v>
      </c>
      <c r="F9" s="3" t="s">
        <v>971</v>
      </c>
      <c r="G9" s="3" t="s">
        <v>972</v>
      </c>
      <c r="H9" s="3" t="s">
        <v>23</v>
      </c>
      <c r="I9" s="314" t="s">
        <v>10</v>
      </c>
      <c r="K9" s="16"/>
    </row>
    <row r="10" spans="1:11" ht="16.5" customHeight="1" x14ac:dyDescent="0.25">
      <c r="A10" s="13" t="s">
        <v>177</v>
      </c>
      <c r="B10" s="393">
        <f>GETPIVOTDATA("Sum of Brigade Manager",'h2'!$A$32,"Type","WT")</f>
        <v>6</v>
      </c>
      <c r="C10" s="393">
        <f>GETPIVOTDATA("Sum of Area Manager",'h2'!$A$32,"Type","WT")</f>
        <v>31</v>
      </c>
      <c r="D10" s="393">
        <f>GETPIVOTDATA("Sum of Group Manager",'h2'!$A$32,"Type","WT")</f>
        <v>80</v>
      </c>
      <c r="E10" s="393">
        <f>GETPIVOTDATA("Sum of Station Manager",'h2'!$A$32,"Type","WT")</f>
        <v>153</v>
      </c>
      <c r="F10" s="393">
        <f>GETPIVOTDATA("Sum of Watch Manager",'h2'!$A$32,"Type","WT")</f>
        <v>608</v>
      </c>
      <c r="G10" s="393">
        <f>GETPIVOTDATA("Sum of Crew Manager",'h2'!$A$32,"Type","WT")</f>
        <v>688</v>
      </c>
      <c r="H10" s="393">
        <f>GETPIVOTDATA("Sum of Firefighter",'h2'!$A$32,"Type","WT")</f>
        <v>2070</v>
      </c>
      <c r="I10" s="394">
        <f>GETPIVOTDATA("Sum of Total",'h2'!$A$32,"Type","WT")</f>
        <v>3636</v>
      </c>
      <c r="J10" s="16"/>
      <c r="K10" s="16"/>
    </row>
    <row r="11" spans="1:11" ht="16.5" customHeight="1" x14ac:dyDescent="0.25">
      <c r="A11" s="2" t="s">
        <v>178</v>
      </c>
      <c r="B11" s="408">
        <f>B10/$I$10</f>
        <v>1.6501650165016502E-3</v>
      </c>
      <c r="C11" s="408">
        <f t="shared" ref="C11:G11" si="0">C10/$I$10</f>
        <v>8.5258525852585261E-3</v>
      </c>
      <c r="D11" s="408">
        <f t="shared" si="0"/>
        <v>2.2002200220022004E-2</v>
      </c>
      <c r="E11" s="408">
        <f t="shared" si="0"/>
        <v>4.2079207920792082E-2</v>
      </c>
      <c r="F11" s="408">
        <f t="shared" si="0"/>
        <v>0.16721672167216722</v>
      </c>
      <c r="G11" s="408">
        <f t="shared" si="0"/>
        <v>0.18921892189218922</v>
      </c>
      <c r="H11" s="408">
        <f>H10/$I$10</f>
        <v>0.56930693069306926</v>
      </c>
      <c r="I11" s="409">
        <f>SUM(B10:H10)/'Role - Area'!$I$14</f>
        <v>1</v>
      </c>
      <c r="J11" s="16"/>
      <c r="K11" s="16"/>
    </row>
    <row r="12" spans="1:11" ht="16.5" customHeight="1" x14ac:dyDescent="0.25">
      <c r="A12" s="13" t="s">
        <v>179</v>
      </c>
      <c r="B12" s="33">
        <f>GETPIVOTDATA("Sum of Brigade Manager",'h2'!$A$32,"Type","RDS")</f>
        <v>0</v>
      </c>
      <c r="C12" s="33">
        <f>GETPIVOTDATA("Sum of Area Manager",'h2'!$A$32,"Type","RDS")</f>
        <v>0</v>
      </c>
      <c r="D12" s="33">
        <f>GETPIVOTDATA("Sum of Group Manager",'h2'!$A$32,"Type","RDS")</f>
        <v>0</v>
      </c>
      <c r="E12" s="33">
        <f>GETPIVOTDATA("Sum of Station Manager",'h2'!$A$32,"Type","RDS")</f>
        <v>0</v>
      </c>
      <c r="F12" s="33">
        <f>GETPIVOTDATA("Sum of Watch Manager",'h2'!$A$32,"Type","RDS")</f>
        <v>262</v>
      </c>
      <c r="G12" s="33">
        <f>GETPIVOTDATA("Sum of Crew Manager",'h2'!$A$32,"Type","RDS")</f>
        <v>520</v>
      </c>
      <c r="H12" s="33">
        <f>GETPIVOTDATA("Sum of Firefighter",'h2'!$A$32,"Type","RDS")</f>
        <v>2155</v>
      </c>
      <c r="I12" s="394">
        <f>GETPIVOTDATA("Sum of Total",'h2'!$A$32,"Type","RDS")</f>
        <v>2937</v>
      </c>
      <c r="J12" s="16"/>
      <c r="K12" s="16"/>
    </row>
    <row r="13" spans="1:11" ht="16.5" customHeight="1" x14ac:dyDescent="0.25">
      <c r="A13" s="2" t="s">
        <v>180</v>
      </c>
      <c r="B13" s="410">
        <f>IF(ISBLANK(B12), "-", B12/$I$12)</f>
        <v>0</v>
      </c>
      <c r="C13" s="410">
        <f t="shared" ref="C13:G13" si="1">IF(ISBLANK(C12), "-", C12/$I$12)</f>
        <v>0</v>
      </c>
      <c r="D13" s="410">
        <f t="shared" si="1"/>
        <v>0</v>
      </c>
      <c r="E13" s="410">
        <f t="shared" si="1"/>
        <v>0</v>
      </c>
      <c r="F13" s="410">
        <f t="shared" si="1"/>
        <v>8.9206673476336401E-2</v>
      </c>
      <c r="G13" s="410">
        <f t="shared" si="1"/>
        <v>0.17705141300646918</v>
      </c>
      <c r="H13" s="410">
        <f>IF(ISBLANK(H12), "-", H12/$I$12)</f>
        <v>0.73374191351719442</v>
      </c>
      <c r="I13" s="409">
        <f>SUM(B12:H12)/$I$12</f>
        <v>1</v>
      </c>
      <c r="J13" s="16"/>
      <c r="K13" s="16"/>
    </row>
    <row r="14" spans="1:11" ht="16.5" customHeight="1" x14ac:dyDescent="0.25">
      <c r="A14" s="13" t="s">
        <v>181</v>
      </c>
      <c r="B14" s="33">
        <f>GETPIVOTDATA("Sum of Brigade Manager",'h2'!$A$32,"Type","Control")</f>
        <v>0</v>
      </c>
      <c r="C14" s="33">
        <f>GETPIVOTDATA("Sum of Area Manager",'h2'!$A$32,"Type","Control")</f>
        <v>1</v>
      </c>
      <c r="D14" s="33">
        <f>GETPIVOTDATA("Sum of Group Manager",'h2'!$A$32,"Type","Control")</f>
        <v>4</v>
      </c>
      <c r="E14" s="33">
        <f>GETPIVOTDATA("Sum of Station Manager",'h2'!$A$32,"Type","Control")</f>
        <v>8</v>
      </c>
      <c r="F14" s="33">
        <f>GETPIVOTDATA("Sum of Watch Manager",'h2'!$A$32,"Type","Control")</f>
        <v>45</v>
      </c>
      <c r="G14" s="33">
        <f>GETPIVOTDATA("Sum of Crew Manager",'h2'!$A$32,"Type","Control")</f>
        <v>26</v>
      </c>
      <c r="H14" s="33">
        <f>GETPIVOTDATA("Sum of Firefighter",'h2'!$A$32,"Type","Control")</f>
        <v>104</v>
      </c>
      <c r="I14" s="394">
        <f>GETPIVOTDATA("Sum of Total",'h2'!$A$32,"Type","Control")</f>
        <v>188</v>
      </c>
      <c r="J14" s="16"/>
      <c r="K14" s="16"/>
    </row>
    <row r="15" spans="1:11" ht="16.5" customHeight="1" x14ac:dyDescent="0.25">
      <c r="A15" s="2" t="s">
        <v>182</v>
      </c>
      <c r="B15" s="410">
        <f>IF(ISBLANK(B14), "-", B14/$I$14)</f>
        <v>0</v>
      </c>
      <c r="C15" s="410">
        <f t="shared" ref="C15:I15" si="2">IF(ISBLANK(C14), "-", C14/$I$14)</f>
        <v>5.3191489361702126E-3</v>
      </c>
      <c r="D15" s="410">
        <f t="shared" si="2"/>
        <v>2.1276595744680851E-2</v>
      </c>
      <c r="E15" s="410">
        <f t="shared" si="2"/>
        <v>4.2553191489361701E-2</v>
      </c>
      <c r="F15" s="410">
        <f t="shared" si="2"/>
        <v>0.23936170212765959</v>
      </c>
      <c r="G15" s="410">
        <f t="shared" si="2"/>
        <v>0.13829787234042554</v>
      </c>
      <c r="H15" s="410">
        <f t="shared" si="2"/>
        <v>0.55319148936170215</v>
      </c>
      <c r="I15" s="409">
        <f t="shared" si="2"/>
        <v>1</v>
      </c>
      <c r="J15" s="16"/>
      <c r="K15" s="16"/>
    </row>
    <row r="16" spans="1:11" ht="16.5" customHeight="1" x14ac:dyDescent="0.25">
      <c r="A16" s="13" t="s">
        <v>509</v>
      </c>
      <c r="B16" s="33">
        <f>GETPIVOTDATA("Sum of Brigade Manager",'h2'!$A$32,"Type","Vol")</f>
        <v>0</v>
      </c>
      <c r="C16" s="33">
        <f>GETPIVOTDATA("Sum of Area Manager",'h2'!$A$32,"Type","Vol")</f>
        <v>0</v>
      </c>
      <c r="D16" s="33">
        <f>GETPIVOTDATA("Sum of Group Manager",'h2'!$A$32,"Type","Vol")</f>
        <v>0</v>
      </c>
      <c r="E16" s="33">
        <f>GETPIVOTDATA("Sum of Station Manager",'h2'!$A$32,"Type","Vol")</f>
        <v>0</v>
      </c>
      <c r="F16" s="33">
        <f>GETPIVOTDATA("Sum of Watch Manager",'h2'!$A$32,"Type","Vol")</f>
        <v>37</v>
      </c>
      <c r="G16" s="33">
        <f>GETPIVOTDATA("Sum of Crew Manager",'h2'!$A$32,"Type","Vol")</f>
        <v>41</v>
      </c>
      <c r="H16" s="33">
        <f>GETPIVOTDATA("Sum of Firefighter",'h2'!$A$32,"Type","Vol")</f>
        <v>237</v>
      </c>
      <c r="I16" s="108">
        <f>GETPIVOTDATA("Sum of Total",'h2'!$A$32,"Type","Vol")</f>
        <v>315</v>
      </c>
      <c r="J16" s="16"/>
      <c r="K16" s="16"/>
    </row>
    <row r="17" spans="1:11" ht="16.5" customHeight="1" thickBot="1" x14ac:dyDescent="0.3">
      <c r="A17" s="43" t="s">
        <v>510</v>
      </c>
      <c r="B17" s="411">
        <f>IF(ISBLANK(B16), "-", B16/$I$16)</f>
        <v>0</v>
      </c>
      <c r="C17" s="411">
        <f t="shared" ref="C17:H17" si="3">IF(ISBLANK(C16), "-", C16/$I$16)</f>
        <v>0</v>
      </c>
      <c r="D17" s="411">
        <f t="shared" si="3"/>
        <v>0</v>
      </c>
      <c r="E17" s="411">
        <f t="shared" si="3"/>
        <v>0</v>
      </c>
      <c r="F17" s="411">
        <f t="shared" si="3"/>
        <v>0.11746031746031746</v>
      </c>
      <c r="G17" s="411">
        <f t="shared" si="3"/>
        <v>0.13015873015873017</v>
      </c>
      <c r="H17" s="411">
        <f t="shared" si="3"/>
        <v>0.75238095238095237</v>
      </c>
      <c r="I17" s="948">
        <f>SUM(B16:H16)/$I$16</f>
        <v>1</v>
      </c>
      <c r="J17" s="16"/>
      <c r="K17" s="16"/>
    </row>
    <row r="18" spans="1:11" x14ac:dyDescent="0.25">
      <c r="A18" s="28"/>
      <c r="B18" s="542"/>
      <c r="C18" s="28"/>
      <c r="D18" s="28"/>
      <c r="E18" s="28"/>
      <c r="F18" s="28"/>
      <c r="G18" s="28"/>
      <c r="H18" s="28"/>
      <c r="I18" s="28"/>
      <c r="J18" s="16"/>
      <c r="K18" s="16"/>
    </row>
    <row r="19" spans="1:11" x14ac:dyDescent="0.25">
      <c r="A19" s="515" t="s">
        <v>8</v>
      </c>
      <c r="B19" s="495"/>
      <c r="C19" s="495"/>
      <c r="D19" s="495"/>
      <c r="E19" s="495"/>
      <c r="F19" s="495"/>
      <c r="G19" s="495"/>
      <c r="H19" s="495"/>
      <c r="I19" s="495"/>
      <c r="J19" s="495"/>
      <c r="K19" s="495"/>
    </row>
    <row r="20" spans="1:11" ht="45" customHeight="1" x14ac:dyDescent="0.25">
      <c r="A20" s="1096" t="s">
        <v>974</v>
      </c>
      <c r="B20" s="1096"/>
      <c r="C20" s="1096"/>
      <c r="D20" s="1096"/>
      <c r="E20" s="1096"/>
      <c r="F20" s="1096"/>
      <c r="G20" s="1096"/>
      <c r="H20" s="1096"/>
      <c r="I20" s="1096"/>
      <c r="J20" s="495"/>
      <c r="K20" s="495"/>
    </row>
    <row r="21" spans="1:11" ht="30" customHeight="1" x14ac:dyDescent="0.25">
      <c r="A21" s="1095" t="s">
        <v>973</v>
      </c>
      <c r="B21" s="1095"/>
      <c r="C21" s="1095"/>
      <c r="D21" s="1095"/>
      <c r="E21" s="1095"/>
      <c r="F21" s="1095"/>
      <c r="G21" s="1095"/>
      <c r="H21" s="1095"/>
      <c r="I21" s="1095"/>
      <c r="J21" s="494"/>
      <c r="K21" s="494"/>
    </row>
    <row r="22" spans="1:11" ht="30" customHeight="1" x14ac:dyDescent="0.25"/>
  </sheetData>
  <sheetProtection algorithmName="SHA-512" hashValue="TfszlK8StXdrzsf12ps4pi35K3J6+LomDohUTI++V+5uN8sFgYzC18nWtFCcZ2GFjaQKOouAT24IB/HCJeQcDw==" saltValue="zieSXo2qjDKH3qHxKaC5ow==" spinCount="100000" sheet="1" scenarios="1" formatCells="0" formatColumns="0" formatRows="0" sort="0" autoFilter="0" pivotTables="0"/>
  <mergeCells count="4">
    <mergeCell ref="A4:K4"/>
    <mergeCell ref="A1:H1"/>
    <mergeCell ref="A21:I21"/>
    <mergeCell ref="A20:I20"/>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AFF0"/>
    <pageSetUpPr fitToPage="1"/>
  </sheetPr>
  <dimension ref="A1:J44"/>
  <sheetViews>
    <sheetView showGridLines="0" workbookViewId="0">
      <pane ySplit="2" topLeftCell="A3" activePane="bottomLeft" state="frozen"/>
      <selection pane="bottomLeft"/>
    </sheetView>
  </sheetViews>
  <sheetFormatPr defaultRowHeight="15" x14ac:dyDescent="0.25"/>
  <cols>
    <col min="1" max="1" width="17.85546875" customWidth="1"/>
    <col min="2" max="2" width="25.85546875" customWidth="1"/>
    <col min="3" max="3" width="13.140625" customWidth="1"/>
    <col min="4" max="4" width="58.7109375" customWidth="1"/>
    <col min="5" max="5" width="43.7109375" customWidth="1"/>
    <col min="6" max="6" width="13.140625" customWidth="1"/>
    <col min="7" max="7" width="20" customWidth="1"/>
    <col min="8" max="8" width="10" bestFit="1" customWidth="1"/>
  </cols>
  <sheetData>
    <row r="1" spans="1:7" ht="15.75" x14ac:dyDescent="0.25">
      <c r="A1" s="621" t="s">
        <v>507</v>
      </c>
    </row>
    <row r="2" spans="1:7" x14ac:dyDescent="0.25">
      <c r="A2" s="772" t="s">
        <v>578</v>
      </c>
    </row>
    <row r="3" spans="1:7" ht="15.75" x14ac:dyDescent="0.25">
      <c r="B3" s="621"/>
      <c r="C3" s="621"/>
      <c r="D3" s="621"/>
      <c r="E3" s="975"/>
    </row>
    <row r="4" spans="1:7" ht="15" customHeight="1" x14ac:dyDescent="0.25">
      <c r="A4" t="s">
        <v>363</v>
      </c>
      <c r="B4" t="s">
        <v>710</v>
      </c>
      <c r="C4" s="622"/>
      <c r="F4" s="622"/>
      <c r="G4" s="622"/>
    </row>
    <row r="5" spans="1:7" ht="15" customHeight="1" x14ac:dyDescent="0.25">
      <c r="A5" t="s">
        <v>364</v>
      </c>
      <c r="B5" s="622" t="s">
        <v>366</v>
      </c>
      <c r="C5" s="622"/>
      <c r="D5" s="622"/>
      <c r="E5" s="622"/>
      <c r="F5" s="622"/>
      <c r="G5" s="622"/>
    </row>
    <row r="6" spans="1:7" ht="15" customHeight="1" x14ac:dyDescent="0.25">
      <c r="A6" t="s">
        <v>365</v>
      </c>
      <c r="B6" t="s">
        <v>367</v>
      </c>
      <c r="C6" s="622"/>
      <c r="D6" s="622"/>
      <c r="E6" s="622"/>
      <c r="F6" s="622"/>
      <c r="G6" s="622"/>
    </row>
    <row r="7" spans="1:7" ht="15" customHeight="1" x14ac:dyDescent="0.25">
      <c r="B7" s="622"/>
      <c r="C7" s="622"/>
      <c r="D7" s="1065" t="str">
        <f>yrslicer!C3</f>
        <v>2019-20</v>
      </c>
      <c r="E7" s="622"/>
      <c r="F7" s="622"/>
      <c r="G7" s="622"/>
    </row>
    <row r="8" spans="1:7" ht="30" x14ac:dyDescent="0.25">
      <c r="A8" s="642" t="s">
        <v>515</v>
      </c>
      <c r="B8" s="641" t="s">
        <v>120</v>
      </c>
      <c r="C8" s="642" t="s">
        <v>516</v>
      </c>
      <c r="D8" s="641" t="s">
        <v>927</v>
      </c>
      <c r="E8" s="641" t="s">
        <v>926</v>
      </c>
      <c r="F8" s="642" t="s">
        <v>368</v>
      </c>
      <c r="G8" s="641" t="s">
        <v>15</v>
      </c>
    </row>
    <row r="9" spans="1:7" x14ac:dyDescent="0.25">
      <c r="A9" s="522" t="str">
        <f>Sheet7!C34</f>
        <v>S12000033</v>
      </c>
      <c r="B9" s="522" t="str">
        <f>Sheet7!B34</f>
        <v>Aberdeen City</v>
      </c>
      <c r="C9" s="522" t="str">
        <f>Sheet7!F34</f>
        <v>S39000001</v>
      </c>
      <c r="D9" s="522" t="str">
        <f>Sheet7!D34</f>
        <v>Aberdeen City</v>
      </c>
      <c r="E9" s="522" t="str">
        <f>Sheet7!E34</f>
        <v>Aberdeen City</v>
      </c>
      <c r="F9" s="522" t="str">
        <f>Sheet7!H34</f>
        <v>S40000005</v>
      </c>
      <c r="G9" s="522" t="str">
        <f>Sheet7!G34</f>
        <v>North</v>
      </c>
    </row>
    <row r="10" spans="1:7" x14ac:dyDescent="0.25">
      <c r="A10" s="522" t="str">
        <f>Sheet7!C35</f>
        <v>S12000034</v>
      </c>
      <c r="B10" s="522" t="str">
        <f>Sheet7!B35</f>
        <v>Aberdeenshire</v>
      </c>
      <c r="C10" s="522" t="str">
        <f>Sheet7!F35</f>
        <v>S39000002</v>
      </c>
      <c r="D10" s="522" t="str">
        <f>Sheet7!D35</f>
        <v>Aberdeenshire and Moray</v>
      </c>
      <c r="E10" s="522" t="str">
        <f>Sheet7!E35</f>
        <v>Aberdeenshire and Moray</v>
      </c>
      <c r="F10" s="522" t="str">
        <f>Sheet7!H35</f>
        <v>S40000005</v>
      </c>
      <c r="G10" s="522" t="str">
        <f>Sheet7!G35</f>
        <v>North</v>
      </c>
    </row>
    <row r="11" spans="1:7" x14ac:dyDescent="0.25">
      <c r="A11" s="522" t="str">
        <f>Sheet7!C36</f>
        <v>S12000041</v>
      </c>
      <c r="B11" s="522" t="str">
        <f>Sheet7!B36</f>
        <v>Angus</v>
      </c>
      <c r="C11" s="522" t="str">
        <f>Sheet7!F36</f>
        <v>S39000018</v>
      </c>
      <c r="D11" s="522" t="str">
        <f>Sheet7!D36</f>
        <v>Dundee, Angus, Perth and Kinross</v>
      </c>
      <c r="E11" s="522" t="str">
        <f>Sheet7!E36</f>
        <v>Dundee, Angus, Perth and Kinross</v>
      </c>
      <c r="F11" s="522" t="str">
        <f>Sheet7!H36</f>
        <v>S40000005</v>
      </c>
      <c r="G11" s="522" t="str">
        <f>Sheet7!G36</f>
        <v>North</v>
      </c>
    </row>
    <row r="12" spans="1:7" x14ac:dyDescent="0.25">
      <c r="A12" s="522" t="str">
        <f>Sheet7!C37</f>
        <v>S12000035</v>
      </c>
      <c r="B12" s="522" t="str">
        <f>Sheet7!B37</f>
        <v>Argyll and Bute</v>
      </c>
      <c r="C12" s="522" t="str">
        <f>Sheet7!F37</f>
        <v>S39000003</v>
      </c>
      <c r="D12" s="522" t="str">
        <f>Sheet7!D37</f>
        <v>Argyll and Bute, East Dunbartonshire and West Dunbartonshire</v>
      </c>
      <c r="E12" s="522" t="str">
        <f>Sheet7!E37</f>
        <v>Argyll and Bute, East Dunbartonshire and West Dunbartonshire</v>
      </c>
      <c r="F12" s="522" t="str">
        <f>Sheet7!H37</f>
        <v>S40000003</v>
      </c>
      <c r="G12" s="522" t="str">
        <f>Sheet7!G37</f>
        <v>West</v>
      </c>
    </row>
    <row r="13" spans="1:7" x14ac:dyDescent="0.25">
      <c r="A13" s="522" t="str">
        <f>Sheet7!C38</f>
        <v>S12000036</v>
      </c>
      <c r="B13" s="522" t="str">
        <f>Sheet7!B38</f>
        <v>City of Edinburgh</v>
      </c>
      <c r="C13" s="522" t="str">
        <f>Sheet7!F38</f>
        <v>S39000009</v>
      </c>
      <c r="D13" s="522" t="str">
        <f>Sheet7!D38</f>
        <v>Edinburgh City</v>
      </c>
      <c r="E13" s="522" t="str">
        <f>Sheet7!E38</f>
        <v>Edinburgh City</v>
      </c>
      <c r="F13" s="522" t="str">
        <f>Sheet7!H38</f>
        <v>S40000004</v>
      </c>
      <c r="G13" s="522" t="str">
        <f>Sheet7!G38</f>
        <v>East</v>
      </c>
    </row>
    <row r="14" spans="1:7" x14ac:dyDescent="0.25">
      <c r="A14" s="522" t="str">
        <f>Sheet7!C39</f>
        <v>S12000005</v>
      </c>
      <c r="B14" s="522" t="str">
        <f>Sheet7!B39</f>
        <v>Clackmannanshire</v>
      </c>
      <c r="C14" s="522" t="str">
        <f>Sheet7!F39</f>
        <v>S39000016</v>
      </c>
      <c r="D14" s="522" t="str">
        <f>Sheet7!D39</f>
        <v>Stirling and Clackmannanshire</v>
      </c>
      <c r="E14" s="522" t="str">
        <f>IF(D7="2018-19","Stirling and Clackmannanshire","Stirling, Clackmannanshire and Fife")</f>
        <v>Stirling, Clackmannanshire and Fife</v>
      </c>
      <c r="F14" s="522" t="str">
        <f>Sheet7!H39</f>
        <v>S40000004</v>
      </c>
      <c r="G14" s="522" t="str">
        <f>Sheet7!G39</f>
        <v>East</v>
      </c>
    </row>
    <row r="15" spans="1:7" x14ac:dyDescent="0.25">
      <c r="A15" s="522" t="str">
        <f>Sheet7!C40</f>
        <v>S12000006</v>
      </c>
      <c r="B15" s="522" t="str">
        <f>Sheet7!B40</f>
        <v>Dumfries and Galloway</v>
      </c>
      <c r="C15" s="522" t="str">
        <f>Sheet7!F40</f>
        <v>S39000004</v>
      </c>
      <c r="D15" s="522" t="str">
        <f>Sheet7!D40</f>
        <v>Dumfries and Galloway</v>
      </c>
      <c r="E15" s="522" t="str">
        <f>Sheet7!E40</f>
        <v>Dumfries and Galloway</v>
      </c>
      <c r="F15" s="522" t="str">
        <f>Sheet7!H40</f>
        <v>S40000003</v>
      </c>
      <c r="G15" s="522" t="str">
        <f>Sheet7!G40</f>
        <v>West</v>
      </c>
    </row>
    <row r="16" spans="1:7" x14ac:dyDescent="0.25">
      <c r="A16" s="522" t="str">
        <f>Sheet7!C41</f>
        <v>S12000042</v>
      </c>
      <c r="B16" s="522" t="str">
        <f>Sheet7!B41</f>
        <v>Dundee City</v>
      </c>
      <c r="C16" s="522" t="str">
        <f>Sheet7!F41</f>
        <v>S39000018</v>
      </c>
      <c r="D16" s="522" t="str">
        <f>Sheet7!D41</f>
        <v>Dundee, Angus, Perth and Kinross</v>
      </c>
      <c r="E16" s="522" t="str">
        <f>Sheet7!E41</f>
        <v>Dundee, Angus, Perth and Kinross</v>
      </c>
      <c r="F16" s="522" t="str">
        <f>Sheet7!H41</f>
        <v>S40000005</v>
      </c>
      <c r="G16" s="522" t="str">
        <f>Sheet7!G41</f>
        <v>North</v>
      </c>
    </row>
    <row r="17" spans="1:7" x14ac:dyDescent="0.25">
      <c r="A17" s="522" t="str">
        <f>Sheet7!C42</f>
        <v>S12000008</v>
      </c>
      <c r="B17" s="522" t="str">
        <f>Sheet7!B42</f>
        <v>East Ayrshire</v>
      </c>
      <c r="C17" s="522" t="str">
        <f>Sheet7!F42</f>
        <v>S39000006</v>
      </c>
      <c r="D17" s="522" t="str">
        <f>Sheet7!D42</f>
        <v>East Ayrshire, North Ayrshire and South Ayrshire</v>
      </c>
      <c r="E17" s="522" t="str">
        <f>Sheet7!E42</f>
        <v>East Ayrshire, North Ayrshire and South Ayrshire</v>
      </c>
      <c r="F17" s="522" t="str">
        <f>Sheet7!H42</f>
        <v>S40000003</v>
      </c>
      <c r="G17" s="522" t="str">
        <f>Sheet7!G42</f>
        <v>West</v>
      </c>
    </row>
    <row r="18" spans="1:7" x14ac:dyDescent="0.25">
      <c r="A18" s="522" t="str">
        <f>Sheet7!C43</f>
        <v>S12000045</v>
      </c>
      <c r="B18" s="522" t="str">
        <f>Sheet7!B43</f>
        <v>East Dunbartonshire</v>
      </c>
      <c r="C18" s="522" t="str">
        <f>Sheet7!F43</f>
        <v>S39000003</v>
      </c>
      <c r="D18" s="522" t="str">
        <f>Sheet7!D43</f>
        <v>Argyll and Bute, East Dunbartonshire and West Dunbartonshire</v>
      </c>
      <c r="E18" s="522" t="str">
        <f>Sheet7!E43</f>
        <v>Argyll and Bute, East Dunbartonshire and West Dunbartonshire</v>
      </c>
      <c r="F18" s="522" t="str">
        <f>Sheet7!H43</f>
        <v>S40000003</v>
      </c>
      <c r="G18" s="522" t="str">
        <f>Sheet7!G43</f>
        <v>West</v>
      </c>
    </row>
    <row r="19" spans="1:7" x14ac:dyDescent="0.25">
      <c r="A19" s="522" t="str">
        <f>Sheet7!C44</f>
        <v>S12000010</v>
      </c>
      <c r="B19" s="522" t="str">
        <f>Sheet7!B44</f>
        <v>East Lothian</v>
      </c>
      <c r="C19" s="522" t="str">
        <f>Sheet7!F44</f>
        <v>S39000007</v>
      </c>
      <c r="D19" s="522" t="str">
        <f>Sheet7!D44</f>
        <v>East Lothian, Midlothian and the Scottish Borders</v>
      </c>
      <c r="E19" s="522" t="str">
        <f>Sheet7!E44</f>
        <v>East Lothian, Midlothian and the Scottish Borders</v>
      </c>
      <c r="F19" s="522" t="str">
        <f>Sheet7!H44</f>
        <v>S40000004</v>
      </c>
      <c r="G19" s="522" t="str">
        <f>Sheet7!G44</f>
        <v>East</v>
      </c>
    </row>
    <row r="20" spans="1:7" x14ac:dyDescent="0.25">
      <c r="A20" s="522" t="str">
        <f>Sheet7!C45</f>
        <v>S12000011</v>
      </c>
      <c r="B20" s="522" t="str">
        <f>Sheet7!B45</f>
        <v>East Renfrewshire</v>
      </c>
      <c r="C20" s="522" t="str">
        <f>Sheet7!F45</f>
        <v>S39000008</v>
      </c>
      <c r="D20" s="522" t="str">
        <f>Sheet7!D45</f>
        <v>East Renfrewshire, Renfrewshire and Inverclyde</v>
      </c>
      <c r="E20" s="522" t="str">
        <f>Sheet7!E45</f>
        <v>East Renfrewshire, Renfrewshire and Inverclyde</v>
      </c>
      <c r="F20" s="522" t="str">
        <f>Sheet7!H45</f>
        <v>S40000003</v>
      </c>
      <c r="G20" s="522" t="str">
        <f>Sheet7!G45</f>
        <v>West</v>
      </c>
    </row>
    <row r="21" spans="1:7" x14ac:dyDescent="0.25">
      <c r="A21" s="522" t="str">
        <f>Sheet7!C46</f>
        <v>S12000014</v>
      </c>
      <c r="B21" s="522" t="str">
        <f>Sheet7!B46</f>
        <v>Falkirk</v>
      </c>
      <c r="C21" s="522" t="str">
        <f>Sheet7!F46</f>
        <v>S39000010</v>
      </c>
      <c r="D21" s="522" t="str">
        <f>Sheet7!D46</f>
        <v>Falkirk and West Lothian</v>
      </c>
      <c r="E21" s="522" t="str">
        <f>Sheet7!E46</f>
        <v>Falkirk and West Lothian</v>
      </c>
      <c r="F21" s="522" t="str">
        <f>Sheet7!H46</f>
        <v>S40000004</v>
      </c>
      <c r="G21" s="522" t="str">
        <f>Sheet7!G46</f>
        <v>East</v>
      </c>
    </row>
    <row r="22" spans="1:7" x14ac:dyDescent="0.25">
      <c r="A22" s="522" t="str">
        <f>Sheet7!C47</f>
        <v>S12000047</v>
      </c>
      <c r="B22" s="522" t="str">
        <f>Sheet7!B47</f>
        <v>Fife</v>
      </c>
      <c r="C22" s="522" t="str">
        <f>Sheet7!F47</f>
        <v>S39000019</v>
      </c>
      <c r="D22" s="522" t="str">
        <f>Sheet7!D47</f>
        <v>Fife</v>
      </c>
      <c r="E22" s="522" t="str">
        <f>IF(D7="2018-19","Fife","Stirling, Clackmannanshire and Fife")</f>
        <v>Stirling, Clackmannanshire and Fife</v>
      </c>
      <c r="F22" s="522" t="str">
        <f>Sheet7!H47</f>
        <v>S40000004</v>
      </c>
      <c r="G22" s="522" t="str">
        <f>Sheet7!G47</f>
        <v>East</v>
      </c>
    </row>
    <row r="23" spans="1:7" x14ac:dyDescent="0.25">
      <c r="A23" s="522" t="str">
        <f>IF(D7 = "2018-19","S12000046","S12000049")</f>
        <v>S12000049</v>
      </c>
      <c r="B23" s="522" t="str">
        <f>Sheet7!B48</f>
        <v>Glasgow City</v>
      </c>
      <c r="C23" s="522" t="str">
        <f>IF(D7 = "2018-19","S39000012","S39000020")</f>
        <v>S39000020</v>
      </c>
      <c r="D23" s="522" t="str">
        <f>Sheet7!D48</f>
        <v>Glasgow City</v>
      </c>
      <c r="E23" s="522" t="str">
        <f>Sheet7!E48</f>
        <v>Glasgow City</v>
      </c>
      <c r="F23" s="522" t="str">
        <f>Sheet7!H48</f>
        <v>S40000003</v>
      </c>
      <c r="G23" s="522" t="str">
        <f>Sheet7!G48</f>
        <v>West</v>
      </c>
    </row>
    <row r="24" spans="1:7" x14ac:dyDescent="0.25">
      <c r="A24" s="522" t="str">
        <f>Sheet7!C49</f>
        <v>S12000017</v>
      </c>
      <c r="B24" s="522" t="str">
        <f>Sheet7!B49</f>
        <v>Highland</v>
      </c>
      <c r="C24" s="522" t="str">
        <f>Sheet7!F49</f>
        <v>S39000013</v>
      </c>
      <c r="D24" s="522" t="str">
        <f>Sheet7!D49</f>
        <v>Highlands</v>
      </c>
      <c r="E24" s="522" t="str">
        <f>Sheet7!E49</f>
        <v>Highlands</v>
      </c>
      <c r="F24" s="522" t="str">
        <f>Sheet7!H49</f>
        <v>S40000005</v>
      </c>
      <c r="G24" s="522" t="str">
        <f>Sheet7!G49</f>
        <v>North</v>
      </c>
    </row>
    <row r="25" spans="1:7" x14ac:dyDescent="0.25">
      <c r="A25" s="522" t="str">
        <f>Sheet7!C50</f>
        <v>S12000018</v>
      </c>
      <c r="B25" s="522" t="str">
        <f>Sheet7!B50</f>
        <v>Inverclyde</v>
      </c>
      <c r="C25" s="522" t="str">
        <f>Sheet7!F50</f>
        <v>S39000008</v>
      </c>
      <c r="D25" s="522" t="str">
        <f>Sheet7!D50</f>
        <v>East Renfrewshire, Renfrewshire and Inverclyde</v>
      </c>
      <c r="E25" s="522" t="str">
        <f>Sheet7!E50</f>
        <v>East Renfrewshire, Renfrewshire and Inverclyde</v>
      </c>
      <c r="F25" s="522" t="str">
        <f>Sheet7!H50</f>
        <v>S40000003</v>
      </c>
      <c r="G25" s="522" t="str">
        <f>Sheet7!G50</f>
        <v>West</v>
      </c>
    </row>
    <row r="26" spans="1:7" x14ac:dyDescent="0.25">
      <c r="A26" s="522" t="str">
        <f>Sheet7!C51</f>
        <v>S12000019</v>
      </c>
      <c r="B26" s="522" t="str">
        <f>Sheet7!B51</f>
        <v>Midlothian</v>
      </c>
      <c r="C26" s="522" t="str">
        <f>Sheet7!F51</f>
        <v>S39000007</v>
      </c>
      <c r="D26" s="522" t="str">
        <f>Sheet7!D51</f>
        <v>East Lothian, Midlothian and the Scottish Borders</v>
      </c>
      <c r="E26" s="522" t="str">
        <f>Sheet7!E51</f>
        <v>East Lothian, Midlothian and the Scottish Borders</v>
      </c>
      <c r="F26" s="522" t="str">
        <f>Sheet7!H51</f>
        <v>S40000004</v>
      </c>
      <c r="G26" s="522" t="str">
        <f>Sheet7!G51</f>
        <v>East</v>
      </c>
    </row>
    <row r="27" spans="1:7" x14ac:dyDescent="0.25">
      <c r="A27" s="522" t="str">
        <f>Sheet7!C52</f>
        <v>S12000020</v>
      </c>
      <c r="B27" s="522" t="str">
        <f>Sheet7!B52</f>
        <v>Moray</v>
      </c>
      <c r="C27" s="522" t="str">
        <f>Sheet7!F52</f>
        <v>S39000002</v>
      </c>
      <c r="D27" s="522" t="str">
        <f>Sheet7!D52</f>
        <v>Aberdeenshire and Moray</v>
      </c>
      <c r="E27" s="522" t="str">
        <f>Sheet7!E52</f>
        <v>Aberdeenshire and Moray</v>
      </c>
      <c r="F27" s="522" t="str">
        <f>Sheet7!H52</f>
        <v>S40000005</v>
      </c>
      <c r="G27" s="522" t="str">
        <f>Sheet7!G52</f>
        <v>North</v>
      </c>
    </row>
    <row r="28" spans="1:7" x14ac:dyDescent="0.25">
      <c r="A28" s="522" t="str">
        <f>Sheet7!C53</f>
        <v>S12000013</v>
      </c>
      <c r="B28" s="522" t="str">
        <f>Sheet7!B53</f>
        <v>Na h-Eileanan Siar</v>
      </c>
      <c r="C28" s="522" t="str">
        <f>Sheet7!F53</f>
        <v>S39000017</v>
      </c>
      <c r="D28" s="522" t="str">
        <f>Sheet7!D53</f>
        <v>Western Isles, Orkney and Shetland Islands</v>
      </c>
      <c r="E28" s="522" t="str">
        <f>Sheet7!E53</f>
        <v>Western Isles, Orkney and Shetland Islands</v>
      </c>
      <c r="F28" s="522" t="str">
        <f>Sheet7!H53</f>
        <v>S40000005</v>
      </c>
      <c r="G28" s="522" t="str">
        <f>Sheet7!G53</f>
        <v>North</v>
      </c>
    </row>
    <row r="29" spans="1:7" x14ac:dyDescent="0.25">
      <c r="A29" s="522" t="str">
        <f>Sheet7!C54</f>
        <v>S12000021</v>
      </c>
      <c r="B29" s="522" t="str">
        <f>Sheet7!B54</f>
        <v>North Ayrshire</v>
      </c>
      <c r="C29" s="522" t="str">
        <f>Sheet7!F54</f>
        <v>S39000006</v>
      </c>
      <c r="D29" s="522" t="str">
        <f>Sheet7!D54</f>
        <v>East Ayrshire, North Ayrshire and South Ayrshire</v>
      </c>
      <c r="E29" s="522" t="str">
        <f>Sheet7!E54</f>
        <v>East Ayrshire, North Ayrshire and South Ayrshire</v>
      </c>
      <c r="F29" s="522" t="str">
        <f>Sheet7!H54</f>
        <v>S40000003</v>
      </c>
      <c r="G29" s="522" t="str">
        <f>Sheet7!G54</f>
        <v>West</v>
      </c>
    </row>
    <row r="30" spans="1:7" x14ac:dyDescent="0.25">
      <c r="A30" s="522" t="str">
        <f>IF(D7="2018-19","S12000044","S12000050")</f>
        <v>S12000050</v>
      </c>
      <c r="B30" s="522" t="str">
        <f>Sheet7!B55</f>
        <v>North Lanarkshire</v>
      </c>
      <c r="C30" s="522" t="str">
        <f>IF(D7="2018-19","S39000014","S39000021")</f>
        <v>S39000021</v>
      </c>
      <c r="D30" s="522" t="str">
        <f>Sheet7!D55</f>
        <v>North Lanarkshire</v>
      </c>
      <c r="E30" s="522" t="str">
        <f>Sheet7!E55</f>
        <v>North Lanarkshire</v>
      </c>
      <c r="F30" s="522" t="str">
        <f>Sheet7!H55</f>
        <v>S40000003</v>
      </c>
      <c r="G30" s="522" t="str">
        <f>Sheet7!G55</f>
        <v>West</v>
      </c>
    </row>
    <row r="31" spans="1:7" x14ac:dyDescent="0.25">
      <c r="A31" s="522" t="str">
        <f>Sheet7!C56</f>
        <v>S12000023</v>
      </c>
      <c r="B31" s="522" t="str">
        <f>Sheet7!B56</f>
        <v>Orkney Islands</v>
      </c>
      <c r="C31" s="522" t="str">
        <f>Sheet7!F56</f>
        <v>S39000017</v>
      </c>
      <c r="D31" s="522" t="str">
        <f>Sheet7!D56</f>
        <v>Western Isles, Orkney and Shetland Islands</v>
      </c>
      <c r="E31" s="522" t="str">
        <f>Sheet7!E56</f>
        <v>Western Isles, Orkney and Shetland Islands</v>
      </c>
      <c r="F31" s="522" t="str">
        <f>Sheet7!H56</f>
        <v>S40000005</v>
      </c>
      <c r="G31" s="522" t="str">
        <f>Sheet7!G56</f>
        <v>North</v>
      </c>
    </row>
    <row r="32" spans="1:7" x14ac:dyDescent="0.25">
      <c r="A32" s="522" t="str">
        <f>Sheet7!C57</f>
        <v>S12000024</v>
      </c>
      <c r="B32" s="522" t="str">
        <f>Sheet7!B57</f>
        <v>Perth and Kinross</v>
      </c>
      <c r="C32" s="522" t="str">
        <f>Sheet7!F57</f>
        <v>S39000018</v>
      </c>
      <c r="D32" s="522" t="str">
        <f>Sheet7!D57</f>
        <v>Dundee, Angus, Perth and Kinross</v>
      </c>
      <c r="E32" s="522" t="str">
        <f>Sheet7!E57</f>
        <v>Dundee, Angus, Perth and Kinross</v>
      </c>
      <c r="F32" s="522" t="str">
        <f>Sheet7!H57</f>
        <v>S40000005</v>
      </c>
      <c r="G32" s="522" t="str">
        <f>Sheet7!G57</f>
        <v>North</v>
      </c>
    </row>
    <row r="33" spans="1:10" x14ac:dyDescent="0.25">
      <c r="A33" s="522" t="str">
        <f>Sheet7!C58</f>
        <v>S12000038</v>
      </c>
      <c r="B33" s="522" t="str">
        <f>Sheet7!B58</f>
        <v>Renfrewshire</v>
      </c>
      <c r="C33" s="522" t="str">
        <f>Sheet7!F58</f>
        <v>S39000008</v>
      </c>
      <c r="D33" s="522" t="str">
        <f>Sheet7!D58</f>
        <v>East Renfrewshire, Renfrewshire and Inverclyde</v>
      </c>
      <c r="E33" s="522" t="str">
        <f>Sheet7!E58</f>
        <v>East Renfrewshire, Renfrewshire and Inverclyde</v>
      </c>
      <c r="F33" s="522" t="str">
        <f>Sheet7!H58</f>
        <v>S40000003</v>
      </c>
      <c r="G33" s="522" t="str">
        <f>Sheet7!G58</f>
        <v>West</v>
      </c>
    </row>
    <row r="34" spans="1:10" x14ac:dyDescent="0.25">
      <c r="A34" s="522" t="str">
        <f>Sheet7!C59</f>
        <v>S12000026</v>
      </c>
      <c r="B34" s="522" t="str">
        <f>Sheet7!B59</f>
        <v>Scottish Borders</v>
      </c>
      <c r="C34" s="522" t="str">
        <f>Sheet7!F59</f>
        <v>S39000007</v>
      </c>
      <c r="D34" s="522" t="str">
        <f>Sheet7!D59</f>
        <v>East Lothian, Midlothian and the Scottish Borders</v>
      </c>
      <c r="E34" s="522" t="str">
        <f>Sheet7!E59</f>
        <v>East Lothian, Midlothian and the Scottish Borders</v>
      </c>
      <c r="F34" s="522" t="str">
        <f>Sheet7!H59</f>
        <v>S40000004</v>
      </c>
      <c r="G34" s="522" t="str">
        <f>Sheet7!G59</f>
        <v>East</v>
      </c>
    </row>
    <row r="35" spans="1:10" x14ac:dyDescent="0.25">
      <c r="A35" s="522" t="str">
        <f>Sheet7!C60</f>
        <v>S12000027</v>
      </c>
      <c r="B35" s="522" t="str">
        <f>Sheet7!B60</f>
        <v>Shetland Islands</v>
      </c>
      <c r="C35" s="522" t="str">
        <f>Sheet7!F60</f>
        <v>S39000017</v>
      </c>
      <c r="D35" s="522" t="str">
        <f>Sheet7!D60</f>
        <v>Western Isles, Orkney and Shetland Islands</v>
      </c>
      <c r="E35" s="522" t="str">
        <f>Sheet7!E60</f>
        <v>Western Isles, Orkney and Shetland Islands</v>
      </c>
      <c r="F35" s="522" t="str">
        <f>Sheet7!H60</f>
        <v>S40000005</v>
      </c>
      <c r="G35" s="522" t="str">
        <f>Sheet7!G60</f>
        <v>North</v>
      </c>
    </row>
    <row r="36" spans="1:10" x14ac:dyDescent="0.25">
      <c r="A36" s="522" t="str">
        <f>Sheet7!C61</f>
        <v>S12000028</v>
      </c>
      <c r="B36" s="522" t="str">
        <f>Sheet7!B61</f>
        <v>South Ayrshire</v>
      </c>
      <c r="C36" s="522" t="str">
        <f>Sheet7!F61</f>
        <v>S39000006</v>
      </c>
      <c r="D36" s="522" t="str">
        <f>Sheet7!D61</f>
        <v>East Ayrshire, North Ayrshire and South Ayrshire</v>
      </c>
      <c r="E36" s="522" t="str">
        <f>Sheet7!E61</f>
        <v>East Ayrshire, North Ayrshire and South Ayrshire</v>
      </c>
      <c r="F36" s="522" t="str">
        <f>Sheet7!H61</f>
        <v>S40000003</v>
      </c>
      <c r="G36" s="522" t="str">
        <f>Sheet7!G61</f>
        <v>West</v>
      </c>
    </row>
    <row r="37" spans="1:10" x14ac:dyDescent="0.25">
      <c r="A37" s="522" t="str">
        <f>Sheet7!C62</f>
        <v>S12000029</v>
      </c>
      <c r="B37" s="522" t="str">
        <f>Sheet7!B62</f>
        <v>South Lanarkshire</v>
      </c>
      <c r="C37" s="522" t="str">
        <f>Sheet7!F62</f>
        <v>S39000015</v>
      </c>
      <c r="D37" s="522" t="str">
        <f>Sheet7!D62</f>
        <v>South Lanarkshire</v>
      </c>
      <c r="E37" s="522" t="str">
        <f>Sheet7!E62</f>
        <v>South Lanarkshire</v>
      </c>
      <c r="F37" s="522" t="str">
        <f>Sheet7!H62</f>
        <v>S40000003</v>
      </c>
      <c r="G37" s="522" t="str">
        <f>Sheet7!G62</f>
        <v>West</v>
      </c>
    </row>
    <row r="38" spans="1:10" x14ac:dyDescent="0.25">
      <c r="A38" s="522" t="str">
        <f>Sheet7!C63</f>
        <v>S12000030</v>
      </c>
      <c r="B38" s="522" t="str">
        <f>Sheet7!B63</f>
        <v>Stirling</v>
      </c>
      <c r="C38" s="522" t="str">
        <f>Sheet7!F63</f>
        <v>S39000016</v>
      </c>
      <c r="D38" s="522" t="str">
        <f>Sheet7!D63</f>
        <v>Stirling and Clackmannanshire</v>
      </c>
      <c r="E38" s="522" t="str">
        <f>IF(D7="2018-19","Stirling and Clackmannanshire","Stirling, Clackmannanshire and Fife")</f>
        <v>Stirling, Clackmannanshire and Fife</v>
      </c>
      <c r="F38" s="522" t="str">
        <f>Sheet7!H63</f>
        <v>S40000004</v>
      </c>
      <c r="G38" s="522" t="str">
        <f>Sheet7!G63</f>
        <v>East</v>
      </c>
    </row>
    <row r="39" spans="1:10" x14ac:dyDescent="0.25">
      <c r="A39" s="522" t="str">
        <f>Sheet7!C64</f>
        <v>S12000039</v>
      </c>
      <c r="B39" s="522" t="str">
        <f>Sheet7!B64</f>
        <v>West Dunbartonshire</v>
      </c>
      <c r="C39" s="522" t="str">
        <f>Sheet7!F64</f>
        <v>S39000003</v>
      </c>
      <c r="D39" s="522" t="str">
        <f>Sheet7!D64</f>
        <v>Argyll and Bute, East Dunbartonshire and West Dunbartonshire</v>
      </c>
      <c r="E39" s="522" t="str">
        <f>Sheet7!E64</f>
        <v>Argyll and Bute, East Dunbartonshire and West Dunbartonshire</v>
      </c>
      <c r="F39" s="522" t="str">
        <f>Sheet7!H64</f>
        <v>S40000003</v>
      </c>
      <c r="G39" s="522" t="str">
        <f>Sheet7!G64</f>
        <v>West</v>
      </c>
    </row>
    <row r="40" spans="1:10" ht="15.75" thickBot="1" x14ac:dyDescent="0.3">
      <c r="A40" s="934" t="str">
        <f>Sheet7!C65</f>
        <v>S12000040</v>
      </c>
      <c r="B40" s="934" t="str">
        <f>Sheet7!B65</f>
        <v>West Lothian</v>
      </c>
      <c r="C40" s="934" t="str">
        <f>Sheet7!F65</f>
        <v>S39000010</v>
      </c>
      <c r="D40" s="934" t="str">
        <f>Sheet7!D65</f>
        <v>Falkirk and West Lothian</v>
      </c>
      <c r="E40" s="934" t="str">
        <f>Sheet7!E65</f>
        <v>Falkirk and West Lothian</v>
      </c>
      <c r="F40" s="934" t="str">
        <f>Sheet7!H65</f>
        <v>S40000004</v>
      </c>
      <c r="G40" s="934" t="str">
        <f>Sheet7!G65</f>
        <v>East</v>
      </c>
    </row>
    <row r="42" spans="1:10" x14ac:dyDescent="0.25">
      <c r="A42" s="437" t="s">
        <v>8</v>
      </c>
    </row>
    <row r="43" spans="1:10" ht="30" customHeight="1" x14ac:dyDescent="0.25">
      <c r="A43" s="1075" t="s">
        <v>933</v>
      </c>
      <c r="B43" s="1075"/>
      <c r="C43" s="1075"/>
      <c r="D43" s="1075"/>
      <c r="E43" s="1075"/>
      <c r="F43" s="1075"/>
      <c r="G43" s="1075"/>
      <c r="H43" s="548"/>
      <c r="I43" s="548"/>
      <c r="J43" s="548"/>
    </row>
    <row r="44" spans="1:10" ht="30" customHeight="1" x14ac:dyDescent="0.25">
      <c r="A44" s="1076" t="s">
        <v>934</v>
      </c>
      <c r="B44" s="1076"/>
      <c r="C44" s="1076"/>
      <c r="D44" s="1076"/>
      <c r="E44" s="1076"/>
      <c r="F44" s="1076"/>
      <c r="G44" s="1076"/>
    </row>
  </sheetData>
  <sheetProtection algorithmName="SHA-512" hashValue="V2Vxw6LOzsEEeUdZ14joNY43wDMy18f96ygks4JNoEk3KMXfweA5LQBwEQgap9Qn9aH2ua7H2XQ1BUHr5pxoKg==" saltValue="iqJaxa1Os0pB/C/hnABxMw==" spinCount="100000" sheet="1" scenarios="1" formatCells="0" formatColumns="0" formatRows="0" sort="0" autoFilter="0" pivotTables="0"/>
  <mergeCells count="2">
    <mergeCell ref="A43:G43"/>
    <mergeCell ref="A44:G4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4" orientation="portrait" r:id="rId1"/>
  <drawing r:id="rId2"/>
  <extLst>
    <ext xmlns:x14="http://schemas.microsoft.com/office/spreadsheetml/2009/9/main" uri="{A8765BA9-456A-4dab-B4F3-ACF838C121DE}">
      <x14:slicerList>
        <x14:slicer r:id="rId3"/>
      </x14:slicerList>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1"/>
  <sheetViews>
    <sheetView showGridLines="0" workbookViewId="0">
      <pane ySplit="2" topLeftCell="A3" activePane="bottomLeft" state="frozen"/>
      <selection pane="bottomLeft"/>
    </sheetView>
  </sheetViews>
  <sheetFormatPr defaultRowHeight="15" x14ac:dyDescent="0.25"/>
  <cols>
    <col min="1" max="1" width="27" customWidth="1"/>
    <col min="2" max="9" width="12.42578125" customWidth="1"/>
    <col min="10" max="10" width="15.5703125" bestFit="1" customWidth="1"/>
    <col min="11" max="11" width="14.85546875" bestFit="1" customWidth="1"/>
  </cols>
  <sheetData>
    <row r="1" spans="1:9" ht="15.75" x14ac:dyDescent="0.25">
      <c r="A1" s="802" t="s">
        <v>505</v>
      </c>
    </row>
    <row r="2" spans="1:9" x14ac:dyDescent="0.25">
      <c r="A2" s="772" t="s">
        <v>578</v>
      </c>
    </row>
    <row r="3" spans="1:9" ht="18" x14ac:dyDescent="0.25">
      <c r="A3" s="1"/>
      <c r="B3" s="1"/>
      <c r="C3" s="1"/>
      <c r="D3" s="1"/>
      <c r="E3" s="1"/>
      <c r="F3" s="1"/>
    </row>
    <row r="4" spans="1:9" ht="15.75" x14ac:dyDescent="0.25">
      <c r="A4" s="657" t="s">
        <v>1000</v>
      </c>
      <c r="B4" s="657"/>
      <c r="C4" s="657"/>
      <c r="D4" s="657"/>
      <c r="E4" s="657"/>
      <c r="F4" s="657"/>
    </row>
    <row r="5" spans="1:9" ht="15.75" x14ac:dyDescent="0.25">
      <c r="A5" t="s">
        <v>937</v>
      </c>
      <c r="B5" s="657"/>
      <c r="C5" s="657"/>
      <c r="D5" s="657"/>
      <c r="E5" s="657"/>
      <c r="F5" s="657"/>
    </row>
    <row r="6" spans="1:9" x14ac:dyDescent="0.25">
      <c r="A6" t="s">
        <v>363</v>
      </c>
      <c r="B6" t="s">
        <v>999</v>
      </c>
    </row>
    <row r="7" spans="1:9" x14ac:dyDescent="0.25">
      <c r="A7" t="s">
        <v>364</v>
      </c>
      <c r="B7" t="s">
        <v>366</v>
      </c>
    </row>
    <row r="8" spans="1:9" x14ac:dyDescent="0.25">
      <c r="A8" t="s">
        <v>365</v>
      </c>
      <c r="B8" t="s">
        <v>367</v>
      </c>
    </row>
    <row r="10" spans="1:9" x14ac:dyDescent="0.25">
      <c r="A10" s="46" t="s">
        <v>1</v>
      </c>
    </row>
    <row r="11" spans="1:9" ht="15.75" thickBot="1" x14ac:dyDescent="0.3">
      <c r="A11" s="48" t="str">
        <f>hduty!$D$1</f>
        <v>2019-20</v>
      </c>
    </row>
    <row r="12" spans="1:9" ht="26.25" x14ac:dyDescent="0.25">
      <c r="A12" s="2" t="s">
        <v>523</v>
      </c>
      <c r="B12" s="3" t="s">
        <v>967</v>
      </c>
      <c r="C12" s="3" t="s">
        <v>968</v>
      </c>
      <c r="D12" s="3" t="s">
        <v>969</v>
      </c>
      <c r="E12" s="3" t="s">
        <v>970</v>
      </c>
      <c r="F12" s="3" t="s">
        <v>971</v>
      </c>
      <c r="G12" s="3" t="s">
        <v>972</v>
      </c>
      <c r="H12" s="3" t="s">
        <v>23</v>
      </c>
      <c r="I12" s="978" t="s">
        <v>10</v>
      </c>
    </row>
    <row r="13" spans="1:9" x14ac:dyDescent="0.25">
      <c r="A13" s="5" t="s">
        <v>859</v>
      </c>
      <c r="B13" s="368">
        <f>GETPIVOTDATA("Sum of Brigade Manager",hduty!$A$3,"EmployeeGroup","FDS")</f>
        <v>6</v>
      </c>
      <c r="C13" s="368">
        <f>GETPIVOTDATA("Sum of Area Manager",hduty!$A$3,"EmployeeGroup","FDS")</f>
        <v>31</v>
      </c>
      <c r="D13" s="368">
        <f>GETPIVOTDATA("Sum of Group Manager",hduty!$A$3,"EmployeeGroup","FDS")</f>
        <v>80</v>
      </c>
      <c r="E13" s="368">
        <f>GETPIVOTDATA("Sum of Station Manager",hduty!$A$3,"EmployeeGroup","FDS")</f>
        <v>153</v>
      </c>
      <c r="F13" s="371"/>
      <c r="I13" s="967">
        <f>SUM(B13:H13)</f>
        <v>270</v>
      </c>
    </row>
    <row r="14" spans="1:9" x14ac:dyDescent="0.25">
      <c r="A14" s="5" t="s">
        <v>975</v>
      </c>
      <c r="B14" s="368"/>
      <c r="C14" s="368"/>
      <c r="D14" s="368"/>
      <c r="E14" s="368"/>
      <c r="F14" s="1025">
        <f>GETPIVOTDATA("Sum of Watch Manager",hduty!$A$3,"EmployeeGroup","RBC")</f>
        <v>376</v>
      </c>
      <c r="G14">
        <f>GETPIVOTDATA("Sum of Crew Manager",hduty!$A$3,"EmployeeGroup","RBC")</f>
        <v>597</v>
      </c>
      <c r="H14">
        <f>GETPIVOTDATA("Sum of Firefighter",hduty!$A$3,"EmployeeGroup","RBC")</f>
        <v>1993</v>
      </c>
      <c r="I14">
        <f t="shared" ref="I14:I17" si="0">SUM(B14:H14)</f>
        <v>2966</v>
      </c>
    </row>
    <row r="15" spans="1:9" x14ac:dyDescent="0.25">
      <c r="A15" s="5" t="s">
        <v>861</v>
      </c>
      <c r="B15" s="368"/>
      <c r="C15" s="368"/>
      <c r="D15" s="368"/>
      <c r="E15" s="368"/>
      <c r="F15" s="1025">
        <f>GETPIVOTDATA("Sum of Watch Manager",hduty!$A$3,"EmployeeGroup","DD")</f>
        <v>232</v>
      </c>
      <c r="G15">
        <f>GETPIVOTDATA("Sum of Crew Manager",hduty!$A$3,"EmployeeGroup","DD")</f>
        <v>91</v>
      </c>
      <c r="H15">
        <f>GETPIVOTDATA("Sum of Firefighter",hduty!$A$3,"EmployeeGroup","DD")</f>
        <v>28</v>
      </c>
      <c r="I15">
        <f t="shared" si="0"/>
        <v>351</v>
      </c>
    </row>
    <row r="16" spans="1:9" x14ac:dyDescent="0.25">
      <c r="A16" s="5" t="s">
        <v>862</v>
      </c>
      <c r="B16" s="368"/>
      <c r="C16" s="368"/>
      <c r="D16" s="368"/>
      <c r="E16" s="368"/>
      <c r="F16" s="371"/>
      <c r="H16">
        <f>GETPIVOTDATA("Sum of Firefighter",hduty!$A$3,"EmployeeGroup","WT Trainee")</f>
        <v>49</v>
      </c>
      <c r="I16">
        <f t="shared" si="0"/>
        <v>49</v>
      </c>
    </row>
    <row r="17" spans="1:9" ht="15.75" thickBot="1" x14ac:dyDescent="0.3">
      <c r="A17" s="538" t="s">
        <v>26</v>
      </c>
      <c r="B17" s="1017">
        <f>SUM(B13:B16)</f>
        <v>6</v>
      </c>
      <c r="C17" s="1017">
        <f t="shared" ref="C17:H17" si="1">SUM(C13:C16)</f>
        <v>31</v>
      </c>
      <c r="D17" s="1017">
        <f t="shared" si="1"/>
        <v>80</v>
      </c>
      <c r="E17" s="1017">
        <f t="shared" si="1"/>
        <v>153</v>
      </c>
      <c r="F17" s="1017">
        <f t="shared" si="1"/>
        <v>608</v>
      </c>
      <c r="G17" s="1017">
        <f t="shared" si="1"/>
        <v>688</v>
      </c>
      <c r="H17" s="1017">
        <f t="shared" si="1"/>
        <v>2070</v>
      </c>
      <c r="I17" s="1017">
        <f t="shared" si="0"/>
        <v>3636</v>
      </c>
    </row>
    <row r="19" spans="1:9" x14ac:dyDescent="0.25">
      <c r="A19" s="437" t="s">
        <v>8</v>
      </c>
    </row>
    <row r="20" spans="1:9" ht="30.75" customHeight="1" x14ac:dyDescent="0.25">
      <c r="A20" s="1076" t="s">
        <v>957</v>
      </c>
      <c r="B20" s="1076"/>
      <c r="C20" s="1076"/>
      <c r="D20" s="1076"/>
      <c r="E20" s="1076"/>
      <c r="F20" s="1076"/>
      <c r="G20" s="1076"/>
      <c r="H20" s="1076"/>
      <c r="I20" s="1076"/>
    </row>
    <row r="21" spans="1:9" ht="46.5" customHeight="1" x14ac:dyDescent="0.25">
      <c r="A21" s="1096" t="s">
        <v>974</v>
      </c>
      <c r="B21" s="1096"/>
      <c r="C21" s="1096"/>
      <c r="D21" s="1096"/>
      <c r="E21" s="1096"/>
      <c r="F21" s="1096"/>
      <c r="G21" s="1096"/>
      <c r="H21" s="1096"/>
      <c r="I21" s="1096"/>
    </row>
  </sheetData>
  <sheetProtection algorithmName="SHA-512" hashValue="efEgTTL4CXy7U5FjGIt/ZBQECjSQK9UlTVJ994DJrT15Y7BCRvtB9YbXiTHunbVunROr1+wJPUoVimMSt/9rXw==" saltValue="TwjSXMwPaxRgQ0kRu6wCZQ==" spinCount="100000" sheet="1" scenarios="1" formatCells="0" formatColumns="0" formatRows="0" sort="0" autoFilter="0" pivotTables="0"/>
  <mergeCells count="2">
    <mergeCell ref="A21:I21"/>
    <mergeCell ref="A20:I20"/>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8"/>
  <sheetViews>
    <sheetView workbookViewId="0">
      <selection activeCell="D2" sqref="D2"/>
    </sheetView>
  </sheetViews>
  <sheetFormatPr defaultRowHeight="15" x14ac:dyDescent="0.25"/>
  <cols>
    <col min="1" max="1" width="13.140625" bestFit="1" customWidth="1"/>
    <col min="2" max="2" width="23" bestFit="1" customWidth="1"/>
    <col min="3" max="3" width="20.28515625" bestFit="1" customWidth="1"/>
    <col min="4" max="4" width="21.85546875" bestFit="1" customWidth="1"/>
    <col min="5" max="5" width="22.5703125" bestFit="1" customWidth="1"/>
    <col min="6" max="6" width="22" bestFit="1" customWidth="1"/>
    <col min="7" max="7" width="20.7109375" bestFit="1" customWidth="1"/>
    <col min="8" max="8" width="17.28515625" bestFit="1" customWidth="1"/>
  </cols>
  <sheetData>
    <row r="1" spans="1:8" x14ac:dyDescent="0.25">
      <c r="A1" s="565" t="s">
        <v>245</v>
      </c>
      <c r="B1" t="s">
        <v>851</v>
      </c>
      <c r="D1" t="str">
        <f>B1</f>
        <v>2019-20</v>
      </c>
    </row>
    <row r="3" spans="1:8" x14ac:dyDescent="0.25">
      <c r="A3" s="565" t="s">
        <v>246</v>
      </c>
      <c r="B3" t="s">
        <v>264</v>
      </c>
      <c r="C3" t="s">
        <v>265</v>
      </c>
      <c r="D3" t="s">
        <v>266</v>
      </c>
      <c r="E3" t="s">
        <v>267</v>
      </c>
      <c r="F3" t="s">
        <v>256</v>
      </c>
      <c r="G3" t="s">
        <v>268</v>
      </c>
      <c r="H3" t="s">
        <v>269</v>
      </c>
    </row>
    <row r="4" spans="1:8" x14ac:dyDescent="0.25">
      <c r="A4" s="1068" t="s">
        <v>919</v>
      </c>
      <c r="B4" s="567"/>
      <c r="C4" s="567"/>
      <c r="D4" s="567"/>
      <c r="E4" s="567"/>
      <c r="F4" s="567">
        <v>232</v>
      </c>
      <c r="G4" s="567">
        <v>91</v>
      </c>
      <c r="H4" s="567">
        <v>28</v>
      </c>
    </row>
    <row r="5" spans="1:8" x14ac:dyDescent="0.25">
      <c r="A5" s="1068" t="s">
        <v>920</v>
      </c>
      <c r="B5" s="567">
        <v>6</v>
      </c>
      <c r="C5" s="567">
        <v>31</v>
      </c>
      <c r="D5" s="567">
        <v>80</v>
      </c>
      <c r="E5" s="567">
        <v>153</v>
      </c>
      <c r="F5" s="567"/>
      <c r="G5" s="567"/>
      <c r="H5" s="567"/>
    </row>
    <row r="6" spans="1:8" x14ac:dyDescent="0.25">
      <c r="A6" s="1068" t="s">
        <v>921</v>
      </c>
      <c r="B6" s="567"/>
      <c r="C6" s="567"/>
      <c r="D6" s="567"/>
      <c r="E6" s="567"/>
      <c r="F6" s="567">
        <v>376</v>
      </c>
      <c r="G6" s="567">
        <v>597</v>
      </c>
      <c r="H6" s="567">
        <v>1993</v>
      </c>
    </row>
    <row r="7" spans="1:8" x14ac:dyDescent="0.25">
      <c r="A7" s="1068" t="s">
        <v>922</v>
      </c>
      <c r="B7" s="567"/>
      <c r="C7" s="567"/>
      <c r="D7" s="567"/>
      <c r="E7" s="567"/>
      <c r="F7" s="567"/>
      <c r="G7" s="567"/>
      <c r="H7" s="567">
        <v>49</v>
      </c>
    </row>
    <row r="8" spans="1:8" x14ac:dyDescent="0.25">
      <c r="A8" s="1068" t="s">
        <v>251</v>
      </c>
      <c r="B8" s="567">
        <v>6</v>
      </c>
      <c r="C8" s="567">
        <v>31</v>
      </c>
      <c r="D8" s="567">
        <v>80</v>
      </c>
      <c r="E8" s="567">
        <v>153</v>
      </c>
      <c r="F8" s="567">
        <v>608</v>
      </c>
      <c r="G8" s="567">
        <v>688</v>
      </c>
      <c r="H8" s="567">
        <v>2070</v>
      </c>
    </row>
  </sheetData>
  <sheetProtection algorithmName="SHA-512" hashValue="rGuQDB7EbPlItd5b+AM/UT7xHV8emJwPUvsumVw4uwm3lpLVZ6yWrqSRT0HbPLB5DW0g/yzR80JE7NSTcMOQ0A==" saltValue="svF4WVZYhYWvjOw4df41Zw=="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18"/>
  <sheetViews>
    <sheetView showGridLines="0" workbookViewId="0">
      <pane ySplit="2" topLeftCell="A3" activePane="bottomLeft" state="frozen"/>
      <selection pane="bottomLeft" sqref="A1:H1"/>
    </sheetView>
  </sheetViews>
  <sheetFormatPr defaultRowHeight="15" x14ac:dyDescent="0.25"/>
  <cols>
    <col min="1" max="1" width="25" bestFit="1" customWidth="1"/>
    <col min="2" max="8" width="12" customWidth="1"/>
    <col min="9" max="9" width="16" customWidth="1"/>
    <col min="10" max="10" width="11.7109375" bestFit="1" customWidth="1"/>
  </cols>
  <sheetData>
    <row r="1" spans="1:10" ht="15.75" x14ac:dyDescent="0.25">
      <c r="A1" s="1077" t="s">
        <v>505</v>
      </c>
      <c r="B1" s="1077"/>
      <c r="C1" s="1077"/>
      <c r="D1" s="1077"/>
      <c r="E1" s="1077"/>
      <c r="F1" s="1077"/>
      <c r="G1" s="1077"/>
      <c r="H1" s="1077"/>
      <c r="I1" s="37"/>
      <c r="J1" s="38"/>
    </row>
    <row r="2" spans="1:10" ht="18" x14ac:dyDescent="0.25">
      <c r="A2" s="772" t="s">
        <v>578</v>
      </c>
      <c r="B2" s="1"/>
      <c r="C2" s="1"/>
      <c r="D2" s="1"/>
      <c r="E2" s="1"/>
      <c r="F2" s="1"/>
      <c r="G2" s="1"/>
      <c r="H2" s="1"/>
      <c r="I2" s="37"/>
      <c r="J2" s="38"/>
    </row>
    <row r="3" spans="1:10" ht="18" x14ac:dyDescent="0.25">
      <c r="A3" s="1"/>
      <c r="B3" s="1"/>
      <c r="C3" s="1"/>
      <c r="D3" s="1"/>
      <c r="E3" s="1"/>
      <c r="F3" s="1"/>
      <c r="G3" s="1"/>
      <c r="H3" s="1"/>
      <c r="I3" s="37"/>
      <c r="J3" s="38"/>
    </row>
    <row r="4" spans="1:10" ht="30" customHeight="1" x14ac:dyDescent="0.25">
      <c r="A4" s="1094" t="s">
        <v>573</v>
      </c>
      <c r="B4" s="1094"/>
      <c r="C4" s="1094"/>
      <c r="D4" s="1094"/>
      <c r="E4" s="1094"/>
      <c r="F4" s="1094"/>
      <c r="G4" s="1094"/>
      <c r="H4" s="1094"/>
      <c r="I4" s="1094"/>
      <c r="J4" s="1094"/>
    </row>
    <row r="5" spans="1:10" ht="15" customHeight="1" x14ac:dyDescent="0.25">
      <c r="A5" t="s">
        <v>363</v>
      </c>
      <c r="B5" t="s">
        <v>728</v>
      </c>
      <c r="C5" s="624"/>
      <c r="D5" s="624"/>
      <c r="E5" s="624"/>
      <c r="F5" s="624"/>
      <c r="G5" s="624"/>
      <c r="H5" s="624"/>
      <c r="I5" s="624"/>
      <c r="J5" s="624"/>
    </row>
    <row r="6" spans="1:10" ht="15" customHeight="1" x14ac:dyDescent="0.25">
      <c r="A6" t="s">
        <v>364</v>
      </c>
      <c r="B6" t="s">
        <v>366</v>
      </c>
      <c r="C6" s="624"/>
      <c r="D6" s="624"/>
      <c r="E6" s="624"/>
      <c r="F6" s="624"/>
      <c r="G6" s="624"/>
      <c r="H6" s="624"/>
      <c r="I6" s="624"/>
      <c r="J6" s="624"/>
    </row>
    <row r="7" spans="1:10" ht="15" customHeight="1" x14ac:dyDescent="0.25">
      <c r="A7" t="s">
        <v>365</v>
      </c>
      <c r="B7" t="s">
        <v>367</v>
      </c>
      <c r="C7" s="624"/>
      <c r="D7" s="624"/>
      <c r="E7" s="624"/>
      <c r="F7" s="624"/>
      <c r="H7" s="624"/>
      <c r="I7" s="624"/>
      <c r="J7" s="624"/>
    </row>
    <row r="8" spans="1:10" ht="19.5" customHeight="1" x14ac:dyDescent="0.25">
      <c r="A8" s="310"/>
      <c r="B8" s="32"/>
      <c r="C8" s="32"/>
      <c r="D8" s="32"/>
      <c r="E8" s="32"/>
      <c r="F8" s="32"/>
      <c r="G8" s="32"/>
      <c r="H8" s="3"/>
      <c r="I8" s="637" t="s">
        <v>6</v>
      </c>
      <c r="J8" s="637" t="s">
        <v>7</v>
      </c>
    </row>
    <row r="9" spans="1:10" ht="39" x14ac:dyDescent="0.25">
      <c r="A9" s="13" t="s">
        <v>218</v>
      </c>
      <c r="B9" s="3" t="s">
        <v>967</v>
      </c>
      <c r="C9" s="3" t="s">
        <v>968</v>
      </c>
      <c r="D9" s="3" t="s">
        <v>969</v>
      </c>
      <c r="E9" s="3" t="s">
        <v>970</v>
      </c>
      <c r="F9" s="3" t="s">
        <v>971</v>
      </c>
      <c r="G9" s="3" t="s">
        <v>972</v>
      </c>
      <c r="H9" s="3" t="s">
        <v>23</v>
      </c>
      <c r="I9" s="39" t="s">
        <v>24</v>
      </c>
      <c r="J9" s="315" t="s">
        <v>25</v>
      </c>
    </row>
    <row r="10" spans="1:10" ht="18.75" customHeight="1" x14ac:dyDescent="0.25">
      <c r="A10" s="40" t="s">
        <v>13</v>
      </c>
      <c r="B10" s="571">
        <f>GETPIVOTDATA("Sum of Brigade Manager",'h2'!$A$20,"ReportingLevel","1:LA")</f>
        <v>0</v>
      </c>
      <c r="C10" s="571">
        <f>GETPIVOTDATA("Sum of Area Manager",'h2'!$A$20,"ReportingLevel","1:LA")</f>
        <v>0</v>
      </c>
      <c r="D10" s="571">
        <f>GETPIVOTDATA("Sum of Group Manager",'h2'!$A$20,"ReportingLevel","1:LA")</f>
        <v>0</v>
      </c>
      <c r="E10" s="571">
        <f>GETPIVOTDATA("Sum of Station Manager",'h2'!$A$20,"ReportingLevel","1:LA")</f>
        <v>0</v>
      </c>
      <c r="F10" s="571">
        <f>GETPIVOTDATA("Sum of Watch Manager",'h2'!$A$20,"ReportingLevel","1:LA")</f>
        <v>376</v>
      </c>
      <c r="G10" s="571">
        <f>GETPIVOTDATA("Sum of Crew Manager",'h2'!$A$20,"ReportingLevel","1:LA")</f>
        <v>597</v>
      </c>
      <c r="H10" s="571">
        <f>GETPIVOTDATA("Sum of Firefighter",'h2'!$A$20,"ReportingLevel","1:LA")</f>
        <v>1993</v>
      </c>
      <c r="I10" s="394">
        <f>SUM(B10:H10)</f>
        <v>2966</v>
      </c>
      <c r="J10" s="402">
        <f>I10/$I$14</f>
        <v>0.8157315731573157</v>
      </c>
    </row>
    <row r="11" spans="1:10" x14ac:dyDescent="0.25">
      <c r="A11" s="13" t="s">
        <v>14</v>
      </c>
      <c r="B11" s="571">
        <f>GETPIVOTDATA("Sum of Brigade Manager",'h2'!$A$20,"ReportingLevel","2:LSO")</f>
        <v>0</v>
      </c>
      <c r="C11" s="571">
        <f>GETPIVOTDATA("Sum of Area Manager",'h2'!$A$20,"ReportingLevel","2:LSO")</f>
        <v>16</v>
      </c>
      <c r="D11" s="571">
        <f>GETPIVOTDATA("Sum of Group Manager",'h2'!$A$20,"ReportingLevel","2:LSO")</f>
        <v>50</v>
      </c>
      <c r="E11" s="571">
        <f>GETPIVOTDATA("Sum of Station Manager",'h2'!$A$20,"ReportingLevel","2:LSO")</f>
        <v>118</v>
      </c>
      <c r="F11" s="571">
        <f>GETPIVOTDATA("Sum of Watch Manager",'h2'!$A$20,"ReportingLevel","2:LSO")</f>
        <v>113</v>
      </c>
      <c r="G11" s="571">
        <f>GETPIVOTDATA("Sum of Crew Manager",'h2'!$A$20,"ReportingLevel","2:LSO")</f>
        <v>58</v>
      </c>
      <c r="H11" s="571">
        <f>GETPIVOTDATA("Sum of Firefighter",'h2'!$A$20,"ReportingLevel","2:LSO")</f>
        <v>28</v>
      </c>
      <c r="I11" s="394">
        <f>SUM(B11:H11)</f>
        <v>383</v>
      </c>
      <c r="J11" s="403">
        <f>I11/$I$14</f>
        <v>0.10533553355335533</v>
      </c>
    </row>
    <row r="12" spans="1:10" x14ac:dyDescent="0.25">
      <c r="A12" s="13" t="s">
        <v>15</v>
      </c>
      <c r="B12" s="571">
        <f>GETPIVOTDATA("Sum of Brigade Manager",'h2'!$A$20,"ReportingLevel","3:SDA")</f>
        <v>0</v>
      </c>
      <c r="C12" s="571">
        <f>GETPIVOTDATA("Sum of Area Manager",'h2'!$A$20,"ReportingLevel","3:SDA")</f>
        <v>6</v>
      </c>
      <c r="D12" s="571">
        <f>GETPIVOTDATA("Sum of Group Manager",'h2'!$A$20,"ReportingLevel","3:SDA")</f>
        <v>17</v>
      </c>
      <c r="E12" s="571">
        <f>GETPIVOTDATA("Sum of Station Manager",'h2'!$A$20,"ReportingLevel","3:SDA")</f>
        <v>29</v>
      </c>
      <c r="F12" s="571">
        <f>GETPIVOTDATA("Sum of Watch Manager",'h2'!$A$20,"ReportingLevel","3:SDA")</f>
        <v>112</v>
      </c>
      <c r="G12" s="571">
        <f>GETPIVOTDATA("Sum of Crew Manager",'h2'!$A$20,"ReportingLevel","3:SDA")</f>
        <v>33</v>
      </c>
      <c r="H12" s="571">
        <f>GETPIVOTDATA("Sum of Firefighter",'h2'!$A$20,"ReportingLevel","3:SDA")</f>
        <v>0</v>
      </c>
      <c r="I12" s="394">
        <f>SUM(B12:H12)</f>
        <v>197</v>
      </c>
      <c r="J12" s="403">
        <f>I12/$I$14</f>
        <v>5.4180418041804179E-2</v>
      </c>
    </row>
    <row r="13" spans="1:10" x14ac:dyDescent="0.25">
      <c r="A13" s="13" t="s">
        <v>16</v>
      </c>
      <c r="B13" s="571">
        <f>GETPIVOTDATA("Sum of Brigade Manager",'h2'!$A$20,"ReportingLevel","4:National")</f>
        <v>6</v>
      </c>
      <c r="C13" s="571">
        <f>GETPIVOTDATA("Sum of Area Manager",'h2'!$A$20,"ReportingLevel","4:National")</f>
        <v>9</v>
      </c>
      <c r="D13" s="571">
        <f>GETPIVOTDATA("Sum of Group Manager",'h2'!$A$20,"ReportingLevel","4:National")</f>
        <v>13</v>
      </c>
      <c r="E13" s="571">
        <f>GETPIVOTDATA("Sum of Station Manager",'h2'!$A$20,"ReportingLevel","4:National")</f>
        <v>6</v>
      </c>
      <c r="F13" s="571">
        <f>GETPIVOTDATA("Sum of Watch Manager",'h2'!$A$20,"ReportingLevel","4:National")</f>
        <v>7</v>
      </c>
      <c r="G13" s="571">
        <f>GETPIVOTDATA("Sum of Crew Manager",'h2'!$A$20,"ReportingLevel","4:National")</f>
        <v>0</v>
      </c>
      <c r="H13" s="571">
        <f>GETPIVOTDATA("Sum of Firefighter",'h2'!$A$20,"ReportingLevel","4:National")</f>
        <v>49</v>
      </c>
      <c r="I13" s="394">
        <f>SUM(B13:H13)</f>
        <v>90</v>
      </c>
      <c r="J13" s="403">
        <f>I13/$I$14</f>
        <v>2.4752475247524754E-2</v>
      </c>
    </row>
    <row r="14" spans="1:10" ht="23.25" customHeight="1" thickBot="1" x14ac:dyDescent="0.3">
      <c r="A14" s="41" t="s">
        <v>810</v>
      </c>
      <c r="B14" s="398">
        <f t="shared" ref="B14:I14" si="0">SUM(B10:B13)</f>
        <v>6</v>
      </c>
      <c r="C14" s="398">
        <f t="shared" si="0"/>
        <v>31</v>
      </c>
      <c r="D14" s="398">
        <f t="shared" si="0"/>
        <v>80</v>
      </c>
      <c r="E14" s="398">
        <f t="shared" si="0"/>
        <v>153</v>
      </c>
      <c r="F14" s="398">
        <f t="shared" si="0"/>
        <v>608</v>
      </c>
      <c r="G14" s="398">
        <f t="shared" si="0"/>
        <v>688</v>
      </c>
      <c r="H14" s="398">
        <f t="shared" si="0"/>
        <v>2070</v>
      </c>
      <c r="I14" s="398">
        <f t="shared" si="0"/>
        <v>3636</v>
      </c>
      <c r="J14" s="406">
        <f>I14/I14</f>
        <v>1</v>
      </c>
    </row>
    <row r="16" spans="1:10" x14ac:dyDescent="0.25">
      <c r="A16" s="515" t="s">
        <v>8</v>
      </c>
      <c r="B16" s="495"/>
      <c r="C16" s="495"/>
      <c r="D16" s="495"/>
      <c r="E16" s="495"/>
      <c r="F16" s="495"/>
      <c r="G16" s="495"/>
      <c r="H16" s="495"/>
      <c r="I16" s="495"/>
    </row>
    <row r="17" spans="1:9" ht="46.5" customHeight="1" x14ac:dyDescent="0.25">
      <c r="A17" s="1096" t="s">
        <v>974</v>
      </c>
      <c r="B17" s="1096"/>
      <c r="C17" s="1096"/>
      <c r="D17" s="1096"/>
      <c r="E17" s="1096"/>
      <c r="F17" s="1096"/>
      <c r="G17" s="1096"/>
      <c r="H17" s="1096"/>
      <c r="I17" s="1096"/>
    </row>
    <row r="18" spans="1:9" ht="31.5" customHeight="1" x14ac:dyDescent="0.25">
      <c r="A18" s="1095" t="s">
        <v>805</v>
      </c>
      <c r="B18" s="1095"/>
      <c r="C18" s="1095"/>
      <c r="D18" s="1095"/>
      <c r="E18" s="1095"/>
      <c r="F18" s="1095"/>
      <c r="G18" s="1095"/>
      <c r="H18" s="1095"/>
      <c r="I18" s="1095"/>
    </row>
  </sheetData>
  <sheetProtection algorithmName="SHA-512" hashValue="+RisT96GHerL4QtH+PEwmwFOESvcrtYM27o+aYsV7nNfIWLpb4AnZhThvQQyiJl2LBaVMrAEDP3t4V193f3DnQ==" saltValue="O4gp3EjYr0Hsle6XlRnYCg==" spinCount="100000" sheet="1" scenarios="1" formatCells="0" formatColumns="0" formatRows="0" sort="0" autoFilter="0" pivotTables="0"/>
  <mergeCells count="4">
    <mergeCell ref="A4:J4"/>
    <mergeCell ref="A1:H1"/>
    <mergeCell ref="A18:I18"/>
    <mergeCell ref="A17:I17"/>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57"/>
  <sheetViews>
    <sheetView workbookViewId="0">
      <selection activeCell="A4" sqref="A4"/>
    </sheetView>
  </sheetViews>
  <sheetFormatPr defaultRowHeight="15" x14ac:dyDescent="0.25"/>
  <cols>
    <col min="1" max="1" width="61.7109375" bestFit="1" customWidth="1"/>
    <col min="2" max="2" width="26.140625" bestFit="1" customWidth="1"/>
    <col min="3" max="3" width="23.42578125" bestFit="1" customWidth="1"/>
    <col min="4" max="4" width="24.85546875" bestFit="1" customWidth="1"/>
    <col min="5" max="5" width="25.7109375" bestFit="1" customWidth="1"/>
    <col min="6" max="6" width="25" bestFit="1" customWidth="1"/>
    <col min="7" max="7" width="23.85546875" bestFit="1" customWidth="1"/>
    <col min="8" max="8" width="17.28515625" customWidth="1"/>
    <col min="9" max="54" width="10" bestFit="1" customWidth="1"/>
    <col min="55" max="55" width="11.28515625" bestFit="1" customWidth="1"/>
  </cols>
  <sheetData>
    <row r="1" spans="1:8" x14ac:dyDescent="0.25">
      <c r="A1" s="565" t="s">
        <v>270</v>
      </c>
      <c r="B1" t="s">
        <v>851</v>
      </c>
      <c r="D1" t="str">
        <f>B1</f>
        <v>2019-20</v>
      </c>
    </row>
    <row r="3" spans="1:8" x14ac:dyDescent="0.25">
      <c r="A3" s="565" t="s">
        <v>246</v>
      </c>
      <c r="B3" t="s">
        <v>976</v>
      </c>
      <c r="C3" t="s">
        <v>977</v>
      </c>
      <c r="D3" t="s">
        <v>978</v>
      </c>
      <c r="E3" t="s">
        <v>979</v>
      </c>
      <c r="F3" t="s">
        <v>980</v>
      </c>
      <c r="G3" t="s">
        <v>981</v>
      </c>
      <c r="H3" t="s">
        <v>269</v>
      </c>
    </row>
    <row r="4" spans="1:8" x14ac:dyDescent="0.25">
      <c r="A4" s="1068" t="s">
        <v>247</v>
      </c>
      <c r="B4" s="567"/>
      <c r="C4" s="567"/>
      <c r="D4" s="567"/>
      <c r="E4" s="567"/>
      <c r="F4" s="567">
        <v>376</v>
      </c>
      <c r="G4" s="567">
        <v>597</v>
      </c>
      <c r="H4" s="567">
        <v>1993</v>
      </c>
    </row>
    <row r="5" spans="1:8" x14ac:dyDescent="0.25">
      <c r="A5" s="568" t="s">
        <v>31</v>
      </c>
      <c r="B5" s="567"/>
      <c r="C5" s="567"/>
      <c r="D5" s="567"/>
      <c r="E5" s="567"/>
      <c r="F5" s="567">
        <v>15</v>
      </c>
      <c r="G5" s="567">
        <v>35</v>
      </c>
      <c r="H5" s="567">
        <v>105</v>
      </c>
    </row>
    <row r="6" spans="1:8" x14ac:dyDescent="0.25">
      <c r="A6" s="568" t="s">
        <v>32</v>
      </c>
      <c r="B6" s="567"/>
      <c r="C6" s="567"/>
      <c r="D6" s="567"/>
      <c r="E6" s="567"/>
      <c r="F6" s="567">
        <v>6</v>
      </c>
      <c r="G6" s="567">
        <v>4</v>
      </c>
      <c r="H6" s="567">
        <v>22</v>
      </c>
    </row>
    <row r="7" spans="1:8" x14ac:dyDescent="0.25">
      <c r="A7" s="568" t="s">
        <v>33</v>
      </c>
      <c r="B7" s="567"/>
      <c r="C7" s="567"/>
      <c r="D7" s="567"/>
      <c r="E7" s="567"/>
      <c r="F7" s="567">
        <v>5</v>
      </c>
      <c r="G7" s="567">
        <v>5</v>
      </c>
      <c r="H7" s="567">
        <v>17</v>
      </c>
    </row>
    <row r="8" spans="1:8" x14ac:dyDescent="0.25">
      <c r="A8" s="568" t="s">
        <v>34</v>
      </c>
      <c r="B8" s="567"/>
      <c r="C8" s="567"/>
      <c r="D8" s="567"/>
      <c r="E8" s="567"/>
      <c r="F8" s="567">
        <v>10</v>
      </c>
      <c r="G8" s="567">
        <v>10</v>
      </c>
      <c r="H8" s="567">
        <v>33</v>
      </c>
    </row>
    <row r="9" spans="1:8" x14ac:dyDescent="0.25">
      <c r="A9" s="568" t="s">
        <v>258</v>
      </c>
      <c r="B9" s="567"/>
      <c r="C9" s="567"/>
      <c r="D9" s="567"/>
      <c r="E9" s="567"/>
      <c r="F9" s="567">
        <v>36</v>
      </c>
      <c r="G9" s="567">
        <v>56</v>
      </c>
      <c r="H9" s="567">
        <v>214</v>
      </c>
    </row>
    <row r="10" spans="1:8" x14ac:dyDescent="0.25">
      <c r="A10" s="568" t="s">
        <v>35</v>
      </c>
      <c r="B10" s="567"/>
      <c r="C10" s="567"/>
      <c r="D10" s="567"/>
      <c r="E10" s="567"/>
      <c r="F10" s="567">
        <v>5</v>
      </c>
      <c r="G10" s="567">
        <v>5</v>
      </c>
      <c r="H10" s="567">
        <v>15</v>
      </c>
    </row>
    <row r="11" spans="1:8" x14ac:dyDescent="0.25">
      <c r="A11" s="568" t="s">
        <v>36</v>
      </c>
      <c r="B11" s="567"/>
      <c r="C11" s="567"/>
      <c r="D11" s="567"/>
      <c r="E11" s="567"/>
      <c r="F11" s="567">
        <v>5</v>
      </c>
      <c r="G11" s="567">
        <v>10</v>
      </c>
      <c r="H11" s="567">
        <v>37</v>
      </c>
    </row>
    <row r="12" spans="1:8" x14ac:dyDescent="0.25">
      <c r="A12" s="568" t="s">
        <v>37</v>
      </c>
      <c r="B12" s="567"/>
      <c r="C12" s="567"/>
      <c r="D12" s="567"/>
      <c r="E12" s="567"/>
      <c r="F12" s="567">
        <v>20</v>
      </c>
      <c r="G12" s="567">
        <v>36</v>
      </c>
      <c r="H12" s="567">
        <v>126</v>
      </c>
    </row>
    <row r="13" spans="1:8" x14ac:dyDescent="0.25">
      <c r="A13" s="568" t="s">
        <v>38</v>
      </c>
      <c r="B13" s="567"/>
      <c r="C13" s="567"/>
      <c r="D13" s="567"/>
      <c r="E13" s="567"/>
      <c r="F13" s="567">
        <v>5</v>
      </c>
      <c r="G13" s="567">
        <v>10</v>
      </c>
      <c r="H13" s="567">
        <v>34</v>
      </c>
    </row>
    <row r="14" spans="1:8" x14ac:dyDescent="0.25">
      <c r="A14" s="568" t="s">
        <v>39</v>
      </c>
      <c r="B14" s="567"/>
      <c r="C14" s="567"/>
      <c r="D14" s="567"/>
      <c r="E14" s="567"/>
      <c r="F14" s="567">
        <v>15</v>
      </c>
      <c r="G14" s="567">
        <v>15</v>
      </c>
      <c r="H14" s="567">
        <v>49</v>
      </c>
    </row>
    <row r="15" spans="1:8" x14ac:dyDescent="0.25">
      <c r="A15" s="568" t="s">
        <v>40</v>
      </c>
      <c r="B15" s="567"/>
      <c r="C15" s="567"/>
      <c r="D15" s="567"/>
      <c r="E15" s="567"/>
      <c r="F15" s="567">
        <v>5</v>
      </c>
      <c r="G15" s="567">
        <v>5</v>
      </c>
      <c r="H15" s="567">
        <v>15</v>
      </c>
    </row>
    <row r="16" spans="1:8" x14ac:dyDescent="0.25">
      <c r="A16" s="568" t="s">
        <v>41</v>
      </c>
      <c r="B16" s="567"/>
      <c r="C16" s="567"/>
      <c r="D16" s="567"/>
      <c r="E16" s="567"/>
      <c r="F16" s="567">
        <v>10</v>
      </c>
      <c r="G16" s="567">
        <v>10</v>
      </c>
      <c r="H16" s="567">
        <v>30</v>
      </c>
    </row>
    <row r="17" spans="1:8" x14ac:dyDescent="0.25">
      <c r="A17" s="568" t="s">
        <v>42</v>
      </c>
      <c r="B17" s="567"/>
      <c r="C17" s="567"/>
      <c r="D17" s="567"/>
      <c r="E17" s="567"/>
      <c r="F17" s="567">
        <v>15</v>
      </c>
      <c r="G17" s="567">
        <v>19</v>
      </c>
      <c r="H17" s="567">
        <v>54</v>
      </c>
    </row>
    <row r="18" spans="1:8" x14ac:dyDescent="0.25">
      <c r="A18" s="568" t="s">
        <v>43</v>
      </c>
      <c r="B18" s="567"/>
      <c r="C18" s="567"/>
      <c r="D18" s="567"/>
      <c r="E18" s="567"/>
      <c r="F18" s="567">
        <v>26</v>
      </c>
      <c r="G18" s="567">
        <v>51</v>
      </c>
      <c r="H18" s="567">
        <v>192</v>
      </c>
    </row>
    <row r="19" spans="1:8" x14ac:dyDescent="0.25">
      <c r="A19" s="568" t="s">
        <v>121</v>
      </c>
      <c r="B19" s="567"/>
      <c r="C19" s="567"/>
      <c r="D19" s="567"/>
      <c r="E19" s="567"/>
      <c r="F19" s="567">
        <v>57</v>
      </c>
      <c r="G19" s="567">
        <v>114</v>
      </c>
      <c r="H19" s="567">
        <v>346</v>
      </c>
    </row>
    <row r="20" spans="1:8" x14ac:dyDescent="0.25">
      <c r="A20" s="568" t="s">
        <v>44</v>
      </c>
      <c r="B20" s="567"/>
      <c r="C20" s="567"/>
      <c r="D20" s="567"/>
      <c r="E20" s="567"/>
      <c r="F20" s="567">
        <v>5</v>
      </c>
      <c r="G20" s="567">
        <v>14</v>
      </c>
      <c r="H20" s="567">
        <v>52</v>
      </c>
    </row>
    <row r="21" spans="1:8" x14ac:dyDescent="0.25">
      <c r="A21" s="568" t="s">
        <v>45</v>
      </c>
      <c r="B21" s="567"/>
      <c r="C21" s="567"/>
      <c r="D21" s="567"/>
      <c r="E21" s="567"/>
      <c r="F21" s="567">
        <v>10</v>
      </c>
      <c r="G21" s="567">
        <v>15</v>
      </c>
      <c r="H21" s="567">
        <v>45</v>
      </c>
    </row>
    <row r="22" spans="1:8" x14ac:dyDescent="0.25">
      <c r="A22" s="568" t="s">
        <v>46</v>
      </c>
      <c r="B22" s="567"/>
      <c r="C22" s="567"/>
      <c r="D22" s="567"/>
      <c r="E22" s="567"/>
      <c r="F22" s="567">
        <v>5</v>
      </c>
      <c r="G22" s="567">
        <v>4</v>
      </c>
      <c r="H22" s="567">
        <v>17</v>
      </c>
    </row>
    <row r="23" spans="1:8" x14ac:dyDescent="0.25">
      <c r="A23" s="568" t="s">
        <v>47</v>
      </c>
      <c r="B23" s="567"/>
      <c r="C23" s="567"/>
      <c r="D23" s="567"/>
      <c r="E23" s="567"/>
      <c r="F23" s="567">
        <v>5</v>
      </c>
      <c r="G23" s="567">
        <v>5</v>
      </c>
      <c r="H23" s="567">
        <v>20</v>
      </c>
    </row>
    <row r="24" spans="1:8" x14ac:dyDescent="0.25">
      <c r="A24" s="568" t="s">
        <v>49</v>
      </c>
      <c r="B24" s="567"/>
      <c r="C24" s="567"/>
      <c r="D24" s="567"/>
      <c r="E24" s="567"/>
      <c r="F24" s="567">
        <v>15</v>
      </c>
      <c r="G24" s="567">
        <v>15</v>
      </c>
      <c r="H24" s="567">
        <v>45</v>
      </c>
    </row>
    <row r="25" spans="1:8" x14ac:dyDescent="0.25">
      <c r="A25" s="568" t="s">
        <v>50</v>
      </c>
      <c r="B25" s="567"/>
      <c r="C25" s="567"/>
      <c r="D25" s="567"/>
      <c r="E25" s="567"/>
      <c r="F25" s="567">
        <v>21</v>
      </c>
      <c r="G25" s="567">
        <v>37</v>
      </c>
      <c r="H25" s="567">
        <v>105</v>
      </c>
    </row>
    <row r="26" spans="1:8" x14ac:dyDescent="0.25">
      <c r="A26" s="568" t="s">
        <v>52</v>
      </c>
      <c r="B26" s="567"/>
      <c r="C26" s="567"/>
      <c r="D26" s="567"/>
      <c r="E26" s="567"/>
      <c r="F26" s="567">
        <v>5</v>
      </c>
      <c r="G26" s="567">
        <v>10</v>
      </c>
      <c r="H26" s="567">
        <v>52</v>
      </c>
    </row>
    <row r="27" spans="1:8" x14ac:dyDescent="0.25">
      <c r="A27" s="568" t="s">
        <v>53</v>
      </c>
      <c r="B27" s="567"/>
      <c r="C27" s="567"/>
      <c r="D27" s="567"/>
      <c r="E27" s="567"/>
      <c r="F27" s="567">
        <v>15</v>
      </c>
      <c r="G27" s="567">
        <v>21</v>
      </c>
      <c r="H27" s="567">
        <v>66</v>
      </c>
    </row>
    <row r="28" spans="1:8" x14ac:dyDescent="0.25">
      <c r="A28" s="568" t="s">
        <v>54</v>
      </c>
      <c r="B28" s="567"/>
      <c r="C28" s="567"/>
      <c r="D28" s="567"/>
      <c r="E28" s="567"/>
      <c r="F28" s="567">
        <v>10</v>
      </c>
      <c r="G28" s="567">
        <v>10</v>
      </c>
      <c r="H28" s="567">
        <v>33</v>
      </c>
    </row>
    <row r="29" spans="1:8" x14ac:dyDescent="0.25">
      <c r="A29" s="568" t="s">
        <v>56</v>
      </c>
      <c r="B29" s="567"/>
      <c r="C29" s="567"/>
      <c r="D29" s="567"/>
      <c r="E29" s="567"/>
      <c r="F29" s="567">
        <v>5</v>
      </c>
      <c r="G29" s="567">
        <v>9</v>
      </c>
      <c r="H29" s="567">
        <v>36</v>
      </c>
    </row>
    <row r="30" spans="1:8" x14ac:dyDescent="0.25">
      <c r="A30" s="568" t="s">
        <v>57</v>
      </c>
      <c r="B30" s="567"/>
      <c r="C30" s="567"/>
      <c r="D30" s="567"/>
      <c r="E30" s="567"/>
      <c r="F30" s="567">
        <v>20</v>
      </c>
      <c r="G30" s="567">
        <v>37</v>
      </c>
      <c r="H30" s="567">
        <v>111</v>
      </c>
    </row>
    <row r="31" spans="1:8" x14ac:dyDescent="0.25">
      <c r="A31" s="568" t="s">
        <v>58</v>
      </c>
      <c r="B31" s="567"/>
      <c r="C31" s="567"/>
      <c r="D31" s="567"/>
      <c r="E31" s="567"/>
      <c r="F31" s="567">
        <v>5</v>
      </c>
      <c r="G31" s="567">
        <v>10</v>
      </c>
      <c r="H31" s="567">
        <v>36</v>
      </c>
    </row>
    <row r="32" spans="1:8" x14ac:dyDescent="0.25">
      <c r="A32" s="568" t="s">
        <v>59</v>
      </c>
      <c r="B32" s="567"/>
      <c r="C32" s="567"/>
      <c r="D32" s="567"/>
      <c r="E32" s="567"/>
      <c r="F32" s="567">
        <v>10</v>
      </c>
      <c r="G32" s="567">
        <v>15</v>
      </c>
      <c r="H32" s="567">
        <v>48</v>
      </c>
    </row>
    <row r="33" spans="1:8" x14ac:dyDescent="0.25">
      <c r="A33" s="568" t="s">
        <v>60</v>
      </c>
      <c r="B33" s="567"/>
      <c r="C33" s="567"/>
      <c r="D33" s="567"/>
      <c r="E33" s="567"/>
      <c r="F33" s="567">
        <v>10</v>
      </c>
      <c r="G33" s="567">
        <v>10</v>
      </c>
      <c r="H33" s="567">
        <v>38</v>
      </c>
    </row>
    <row r="34" spans="1:8" x14ac:dyDescent="0.25">
      <c r="A34" s="1068" t="s">
        <v>248</v>
      </c>
      <c r="B34" s="567"/>
      <c r="C34" s="567">
        <v>16</v>
      </c>
      <c r="D34" s="567">
        <v>50</v>
      </c>
      <c r="E34" s="567">
        <v>118</v>
      </c>
      <c r="F34" s="567">
        <v>113</v>
      </c>
      <c r="G34" s="567">
        <v>58</v>
      </c>
      <c r="H34" s="567">
        <v>28</v>
      </c>
    </row>
    <row r="35" spans="1:8" x14ac:dyDescent="0.25">
      <c r="A35" s="568" t="s">
        <v>31</v>
      </c>
      <c r="B35" s="567"/>
      <c r="C35" s="567">
        <v>1</v>
      </c>
      <c r="D35" s="567">
        <v>2</v>
      </c>
      <c r="E35" s="567">
        <v>3</v>
      </c>
      <c r="F35" s="567">
        <v>4</v>
      </c>
      <c r="G35" s="567">
        <v>2</v>
      </c>
      <c r="H35" s="567">
        <v>1</v>
      </c>
    </row>
    <row r="36" spans="1:8" x14ac:dyDescent="0.25">
      <c r="A36" s="568" t="s">
        <v>63</v>
      </c>
      <c r="B36" s="567"/>
      <c r="C36" s="567">
        <v>1</v>
      </c>
      <c r="D36" s="567">
        <v>3</v>
      </c>
      <c r="E36" s="567">
        <v>9</v>
      </c>
      <c r="F36" s="567">
        <v>7</v>
      </c>
      <c r="G36" s="567">
        <v>4</v>
      </c>
      <c r="H36" s="567">
        <v>1</v>
      </c>
    </row>
    <row r="37" spans="1:8" x14ac:dyDescent="0.25">
      <c r="A37" s="568" t="s">
        <v>64</v>
      </c>
      <c r="B37" s="567"/>
      <c r="C37" s="567">
        <v>1</v>
      </c>
      <c r="D37" s="567">
        <v>3</v>
      </c>
      <c r="E37" s="567">
        <v>8</v>
      </c>
      <c r="F37" s="567">
        <v>7</v>
      </c>
      <c r="G37" s="567">
        <v>7</v>
      </c>
      <c r="H37" s="567">
        <v>2</v>
      </c>
    </row>
    <row r="38" spans="1:8" x14ac:dyDescent="0.25">
      <c r="A38" s="568" t="s">
        <v>36</v>
      </c>
      <c r="B38" s="567"/>
      <c r="C38" s="567">
        <v>1</v>
      </c>
      <c r="D38" s="567">
        <v>2</v>
      </c>
      <c r="E38" s="567">
        <v>6</v>
      </c>
      <c r="F38" s="567">
        <v>8</v>
      </c>
      <c r="G38" s="567">
        <v>3</v>
      </c>
      <c r="H38" s="567">
        <v>2</v>
      </c>
    </row>
    <row r="39" spans="1:8" x14ac:dyDescent="0.25">
      <c r="A39" s="568" t="s">
        <v>65</v>
      </c>
      <c r="B39" s="567"/>
      <c r="C39" s="567">
        <v>1</v>
      </c>
      <c r="D39" s="567">
        <v>4</v>
      </c>
      <c r="E39" s="567">
        <v>9</v>
      </c>
      <c r="F39" s="567">
        <v>11</v>
      </c>
      <c r="G39" s="567">
        <v>4</v>
      </c>
      <c r="H39" s="567">
        <v>2</v>
      </c>
    </row>
    <row r="40" spans="1:8" x14ac:dyDescent="0.25">
      <c r="A40" s="568" t="s">
        <v>66</v>
      </c>
      <c r="B40" s="567"/>
      <c r="C40" s="567">
        <v>1</v>
      </c>
      <c r="D40" s="567">
        <v>3</v>
      </c>
      <c r="E40" s="567">
        <v>10</v>
      </c>
      <c r="F40" s="567">
        <v>8</v>
      </c>
      <c r="G40" s="567">
        <v>5</v>
      </c>
      <c r="H40" s="567">
        <v>1</v>
      </c>
    </row>
    <row r="41" spans="1:8" x14ac:dyDescent="0.25">
      <c r="A41" s="568" t="s">
        <v>67</v>
      </c>
      <c r="B41" s="567"/>
      <c r="C41" s="567">
        <v>1</v>
      </c>
      <c r="D41" s="567">
        <v>3</v>
      </c>
      <c r="E41" s="567">
        <v>7</v>
      </c>
      <c r="F41" s="567">
        <v>9</v>
      </c>
      <c r="G41" s="567">
        <v>5</v>
      </c>
      <c r="H41" s="567">
        <v>4</v>
      </c>
    </row>
    <row r="42" spans="1:8" x14ac:dyDescent="0.25">
      <c r="A42" s="568" t="s">
        <v>68</v>
      </c>
      <c r="B42" s="567"/>
      <c r="C42" s="567">
        <v>1</v>
      </c>
      <c r="D42" s="567">
        <v>4</v>
      </c>
      <c r="E42" s="567">
        <v>4</v>
      </c>
      <c r="F42" s="567">
        <v>3</v>
      </c>
      <c r="G42" s="567"/>
      <c r="H42" s="567">
        <v>1</v>
      </c>
    </row>
    <row r="43" spans="1:8" x14ac:dyDescent="0.25">
      <c r="A43" s="568" t="s">
        <v>175</v>
      </c>
      <c r="B43" s="567"/>
      <c r="C43" s="567">
        <v>1</v>
      </c>
      <c r="D43" s="567">
        <v>4</v>
      </c>
      <c r="E43" s="567">
        <v>5</v>
      </c>
      <c r="F43" s="567">
        <v>10</v>
      </c>
      <c r="G43" s="567">
        <v>4</v>
      </c>
      <c r="H43" s="567">
        <v>4</v>
      </c>
    </row>
    <row r="44" spans="1:8" x14ac:dyDescent="0.25">
      <c r="A44" s="568" t="s">
        <v>69</v>
      </c>
      <c r="B44" s="567"/>
      <c r="C44" s="567">
        <v>1</v>
      </c>
      <c r="D44" s="567">
        <v>2</v>
      </c>
      <c r="E44" s="567">
        <v>6</v>
      </c>
      <c r="F44" s="567">
        <v>6</v>
      </c>
      <c r="G44" s="567">
        <v>2</v>
      </c>
      <c r="H44" s="567">
        <v>2</v>
      </c>
    </row>
    <row r="45" spans="1:8" x14ac:dyDescent="0.25">
      <c r="A45" s="568" t="s">
        <v>121</v>
      </c>
      <c r="B45" s="567"/>
      <c r="C45" s="567">
        <v>1</v>
      </c>
      <c r="D45" s="567">
        <v>5</v>
      </c>
      <c r="E45" s="567">
        <v>10</v>
      </c>
      <c r="F45" s="567">
        <v>5</v>
      </c>
      <c r="G45" s="567">
        <v>2</v>
      </c>
      <c r="H45" s="567">
        <v>2</v>
      </c>
    </row>
    <row r="46" spans="1:8" x14ac:dyDescent="0.25">
      <c r="A46" s="568" t="s">
        <v>70</v>
      </c>
      <c r="B46" s="567"/>
      <c r="C46" s="567">
        <v>1</v>
      </c>
      <c r="D46" s="567">
        <v>4</v>
      </c>
      <c r="E46" s="567">
        <v>13</v>
      </c>
      <c r="F46" s="567">
        <v>11</v>
      </c>
      <c r="G46" s="567">
        <v>8</v>
      </c>
      <c r="H46" s="567">
        <v>1</v>
      </c>
    </row>
    <row r="47" spans="1:8" x14ac:dyDescent="0.25">
      <c r="A47" s="568" t="s">
        <v>50</v>
      </c>
      <c r="B47" s="567"/>
      <c r="C47" s="567">
        <v>1</v>
      </c>
      <c r="D47" s="567">
        <v>2</v>
      </c>
      <c r="E47" s="567">
        <v>5</v>
      </c>
      <c r="F47" s="567">
        <v>5</v>
      </c>
      <c r="G47" s="567">
        <v>2</v>
      </c>
      <c r="H47" s="567">
        <v>1</v>
      </c>
    </row>
    <row r="48" spans="1:8" x14ac:dyDescent="0.25">
      <c r="A48" s="568" t="s">
        <v>57</v>
      </c>
      <c r="B48" s="567"/>
      <c r="C48" s="567">
        <v>1</v>
      </c>
      <c r="D48" s="567">
        <v>2</v>
      </c>
      <c r="E48" s="567">
        <v>6</v>
      </c>
      <c r="F48" s="567">
        <v>4</v>
      </c>
      <c r="G48" s="567">
        <v>3</v>
      </c>
      <c r="H48" s="567"/>
    </row>
    <row r="49" spans="1:8" x14ac:dyDescent="0.25">
      <c r="A49" s="568" t="s">
        <v>71</v>
      </c>
      <c r="B49" s="567"/>
      <c r="C49" s="567">
        <v>1</v>
      </c>
      <c r="D49" s="567">
        <v>3</v>
      </c>
      <c r="E49" s="567">
        <v>5</v>
      </c>
      <c r="F49" s="567">
        <v>4</v>
      </c>
      <c r="G49" s="567">
        <v>1</v>
      </c>
      <c r="H49" s="567"/>
    </row>
    <row r="50" spans="1:8" x14ac:dyDescent="0.25">
      <c r="A50" s="568" t="s">
        <v>853</v>
      </c>
      <c r="B50" s="567"/>
      <c r="C50" s="567">
        <v>1</v>
      </c>
      <c r="D50" s="567">
        <v>4</v>
      </c>
      <c r="E50" s="567">
        <v>12</v>
      </c>
      <c r="F50" s="567">
        <v>11</v>
      </c>
      <c r="G50" s="567">
        <v>6</v>
      </c>
      <c r="H50" s="567">
        <v>4</v>
      </c>
    </row>
    <row r="51" spans="1:8" x14ac:dyDescent="0.25">
      <c r="A51" s="1068" t="s">
        <v>249</v>
      </c>
      <c r="B51" s="567"/>
      <c r="C51" s="567">
        <v>6</v>
      </c>
      <c r="D51" s="567">
        <v>17</v>
      </c>
      <c r="E51" s="567">
        <v>29</v>
      </c>
      <c r="F51" s="567">
        <v>112</v>
      </c>
      <c r="G51" s="567">
        <v>33</v>
      </c>
      <c r="H51" s="567"/>
    </row>
    <row r="52" spans="1:8" x14ac:dyDescent="0.25">
      <c r="A52" s="568" t="s">
        <v>174</v>
      </c>
      <c r="B52" s="567"/>
      <c r="C52" s="567">
        <v>1</v>
      </c>
      <c r="D52" s="567">
        <v>4</v>
      </c>
      <c r="E52" s="567">
        <v>8</v>
      </c>
      <c r="F52" s="567">
        <v>33</v>
      </c>
      <c r="G52" s="567">
        <v>6</v>
      </c>
      <c r="H52" s="567"/>
    </row>
    <row r="53" spans="1:8" x14ac:dyDescent="0.25">
      <c r="A53" s="568" t="s">
        <v>172</v>
      </c>
      <c r="B53" s="567"/>
      <c r="C53" s="567">
        <v>2</v>
      </c>
      <c r="D53" s="567">
        <v>3</v>
      </c>
      <c r="E53" s="567">
        <v>7</v>
      </c>
      <c r="F53" s="567">
        <v>24</v>
      </c>
      <c r="G53" s="567">
        <v>6</v>
      </c>
      <c r="H53" s="567"/>
    </row>
    <row r="54" spans="1:8" x14ac:dyDescent="0.25">
      <c r="A54" s="568" t="s">
        <v>173</v>
      </c>
      <c r="B54" s="567"/>
      <c r="C54" s="567">
        <v>3</v>
      </c>
      <c r="D54" s="567">
        <v>10</v>
      </c>
      <c r="E54" s="567">
        <v>14</v>
      </c>
      <c r="F54" s="567">
        <v>55</v>
      </c>
      <c r="G54" s="567">
        <v>21</v>
      </c>
      <c r="H54" s="567"/>
    </row>
    <row r="55" spans="1:8" x14ac:dyDescent="0.25">
      <c r="A55" s="1068" t="s">
        <v>250</v>
      </c>
      <c r="B55" s="567">
        <v>6</v>
      </c>
      <c r="C55" s="567">
        <v>9</v>
      </c>
      <c r="D55" s="567">
        <v>13</v>
      </c>
      <c r="E55" s="567">
        <v>6</v>
      </c>
      <c r="F55" s="567">
        <v>7</v>
      </c>
      <c r="G55" s="567"/>
      <c r="H55" s="567">
        <v>49</v>
      </c>
    </row>
    <row r="56" spans="1:8" x14ac:dyDescent="0.25">
      <c r="A56" s="568" t="s">
        <v>259</v>
      </c>
      <c r="B56" s="567">
        <v>6</v>
      </c>
      <c r="C56" s="567">
        <v>9</v>
      </c>
      <c r="D56" s="567">
        <v>13</v>
      </c>
      <c r="E56" s="567">
        <v>6</v>
      </c>
      <c r="F56" s="567">
        <v>7</v>
      </c>
      <c r="G56" s="567"/>
      <c r="H56" s="567">
        <v>49</v>
      </c>
    </row>
    <row r="57" spans="1:8" x14ac:dyDescent="0.25">
      <c r="A57" s="1068" t="s">
        <v>251</v>
      </c>
      <c r="B57" s="567">
        <v>6</v>
      </c>
      <c r="C57" s="567">
        <v>31</v>
      </c>
      <c r="D57" s="567">
        <v>80</v>
      </c>
      <c r="E57" s="567">
        <v>153</v>
      </c>
      <c r="F57" s="567">
        <v>608</v>
      </c>
      <c r="G57" s="567">
        <v>688</v>
      </c>
      <c r="H57" s="567">
        <v>2070</v>
      </c>
    </row>
  </sheetData>
  <sheetProtection algorithmName="SHA-512" hashValue="ZA7gJBaQxI4J0Eil4w+NlOiPcbk2bYRp7yUnFs5uwjKMTF5eC2C9fCh9lcmFuqA9M/660GRTdvZCTl8TCYmGQw==" saltValue="9a1e/ZEuRHb0AeufEz8Wsw=="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34"/>
  <sheetViews>
    <sheetView workbookViewId="0">
      <selection activeCell="A4" sqref="A4"/>
    </sheetView>
  </sheetViews>
  <sheetFormatPr defaultRowHeight="15" x14ac:dyDescent="0.25"/>
  <cols>
    <col min="1" max="1" width="25.5703125" bestFit="1" customWidth="1"/>
    <col min="2" max="2" width="25" bestFit="1" customWidth="1"/>
    <col min="3" max="3" width="23.85546875" bestFit="1" customWidth="1"/>
    <col min="4" max="4" width="17.28515625" bestFit="1" customWidth="1"/>
  </cols>
  <sheetData>
    <row r="1" spans="1:4" x14ac:dyDescent="0.25">
      <c r="A1" s="565" t="s">
        <v>270</v>
      </c>
      <c r="B1" t="s">
        <v>851</v>
      </c>
      <c r="D1" t="str">
        <f>B1</f>
        <v>2019-20</v>
      </c>
    </row>
    <row r="3" spans="1:4" x14ac:dyDescent="0.25">
      <c r="A3" s="565" t="s">
        <v>246</v>
      </c>
      <c r="B3" t="s">
        <v>980</v>
      </c>
      <c r="C3" t="s">
        <v>981</v>
      </c>
      <c r="D3" t="s">
        <v>269</v>
      </c>
    </row>
    <row r="4" spans="1:4" x14ac:dyDescent="0.25">
      <c r="A4" s="1068" t="s">
        <v>247</v>
      </c>
      <c r="B4" s="567">
        <v>262</v>
      </c>
      <c r="C4" s="567">
        <v>520</v>
      </c>
      <c r="D4" s="567">
        <v>2155</v>
      </c>
    </row>
    <row r="5" spans="1:4" x14ac:dyDescent="0.25">
      <c r="A5" s="568" t="s">
        <v>31</v>
      </c>
      <c r="B5" s="567">
        <v>1</v>
      </c>
      <c r="C5" s="567">
        <v>3</v>
      </c>
      <c r="D5" s="567">
        <v>4</v>
      </c>
    </row>
    <row r="6" spans="1:4" x14ac:dyDescent="0.25">
      <c r="A6" s="568" t="s">
        <v>32</v>
      </c>
      <c r="B6" s="567">
        <v>25</v>
      </c>
      <c r="C6" s="567">
        <v>65</v>
      </c>
      <c r="D6" s="567">
        <v>195</v>
      </c>
    </row>
    <row r="7" spans="1:4" x14ac:dyDescent="0.25">
      <c r="A7" s="568" t="s">
        <v>33</v>
      </c>
      <c r="B7" s="567">
        <v>6</v>
      </c>
      <c r="C7" s="567">
        <v>16</v>
      </c>
      <c r="D7" s="567">
        <v>81</v>
      </c>
    </row>
    <row r="8" spans="1:4" x14ac:dyDescent="0.25">
      <c r="A8" s="568" t="s">
        <v>34</v>
      </c>
      <c r="B8" s="567">
        <v>13</v>
      </c>
      <c r="C8" s="567">
        <v>25</v>
      </c>
      <c r="D8" s="567">
        <v>136</v>
      </c>
    </row>
    <row r="9" spans="1:4" x14ac:dyDescent="0.25">
      <c r="A9" s="568" t="s">
        <v>258</v>
      </c>
      <c r="B9" s="567">
        <v>1</v>
      </c>
      <c r="C9" s="567">
        <v>2</v>
      </c>
      <c r="D9" s="567">
        <v>5</v>
      </c>
    </row>
    <row r="10" spans="1:4" x14ac:dyDescent="0.25">
      <c r="A10" s="568" t="s">
        <v>35</v>
      </c>
      <c r="B10" s="567">
        <v>3</v>
      </c>
      <c r="C10" s="567">
        <v>5</v>
      </c>
      <c r="D10" s="567">
        <v>17</v>
      </c>
    </row>
    <row r="11" spans="1:4" x14ac:dyDescent="0.25">
      <c r="A11" s="568" t="s">
        <v>36</v>
      </c>
      <c r="B11" s="567">
        <v>16</v>
      </c>
      <c r="C11" s="567">
        <v>34</v>
      </c>
      <c r="D11" s="567">
        <v>142</v>
      </c>
    </row>
    <row r="12" spans="1:4" x14ac:dyDescent="0.25">
      <c r="A12" s="568" t="s">
        <v>37</v>
      </c>
      <c r="B12" s="567">
        <v>1</v>
      </c>
      <c r="C12" s="567">
        <v>2</v>
      </c>
      <c r="D12" s="567">
        <v>9</v>
      </c>
    </row>
    <row r="13" spans="1:4" x14ac:dyDescent="0.25">
      <c r="A13" s="568" t="s">
        <v>38</v>
      </c>
      <c r="B13" s="567">
        <v>7</v>
      </c>
      <c r="C13" s="567">
        <v>8</v>
      </c>
      <c r="D13" s="567">
        <v>65</v>
      </c>
    </row>
    <row r="14" spans="1:4" x14ac:dyDescent="0.25">
      <c r="A14" s="568" t="s">
        <v>40</v>
      </c>
      <c r="B14" s="567">
        <v>5</v>
      </c>
      <c r="C14" s="567">
        <v>12</v>
      </c>
      <c r="D14" s="567">
        <v>48</v>
      </c>
    </row>
    <row r="15" spans="1:4" x14ac:dyDescent="0.25">
      <c r="A15" s="568" t="s">
        <v>42</v>
      </c>
      <c r="B15" s="567">
        <v>4</v>
      </c>
      <c r="C15" s="567">
        <v>10</v>
      </c>
      <c r="D15" s="567">
        <v>43</v>
      </c>
    </row>
    <row r="16" spans="1:4" x14ac:dyDescent="0.25">
      <c r="A16" s="568" t="s">
        <v>43</v>
      </c>
      <c r="B16" s="567">
        <v>9</v>
      </c>
      <c r="C16" s="567">
        <v>21</v>
      </c>
      <c r="D16" s="567">
        <v>83</v>
      </c>
    </row>
    <row r="17" spans="1:4" x14ac:dyDescent="0.25">
      <c r="A17" s="568" t="s">
        <v>44</v>
      </c>
      <c r="B17" s="567">
        <v>53</v>
      </c>
      <c r="C17" s="567">
        <v>94</v>
      </c>
      <c r="D17" s="567">
        <v>378</v>
      </c>
    </row>
    <row r="18" spans="1:4" x14ac:dyDescent="0.25">
      <c r="A18" s="568" t="s">
        <v>45</v>
      </c>
      <c r="B18" s="567">
        <v>3</v>
      </c>
      <c r="C18" s="567">
        <v>6</v>
      </c>
      <c r="D18" s="567">
        <v>33</v>
      </c>
    </row>
    <row r="19" spans="1:4" x14ac:dyDescent="0.25">
      <c r="A19" s="568" t="s">
        <v>46</v>
      </c>
      <c r="B19" s="567">
        <v>1</v>
      </c>
      <c r="C19" s="567">
        <v>2</v>
      </c>
      <c r="D19" s="567">
        <v>10</v>
      </c>
    </row>
    <row r="20" spans="1:4" x14ac:dyDescent="0.25">
      <c r="A20" s="568" t="s">
        <v>47</v>
      </c>
      <c r="B20" s="567">
        <v>11</v>
      </c>
      <c r="C20" s="567">
        <v>27</v>
      </c>
      <c r="D20" s="567">
        <v>83</v>
      </c>
    </row>
    <row r="21" spans="1:4" x14ac:dyDescent="0.25">
      <c r="A21" s="568" t="s">
        <v>48</v>
      </c>
      <c r="B21" s="567">
        <v>14</v>
      </c>
      <c r="C21" s="567">
        <v>30</v>
      </c>
      <c r="D21" s="567">
        <v>91</v>
      </c>
    </row>
    <row r="22" spans="1:4" x14ac:dyDescent="0.25">
      <c r="A22" s="568" t="s">
        <v>49</v>
      </c>
      <c r="B22" s="567">
        <v>11</v>
      </c>
      <c r="C22" s="567">
        <v>11</v>
      </c>
      <c r="D22" s="567">
        <v>82</v>
      </c>
    </row>
    <row r="23" spans="1:4" x14ac:dyDescent="0.25">
      <c r="A23" s="568" t="s">
        <v>50</v>
      </c>
      <c r="B23" s="567">
        <v>3</v>
      </c>
      <c r="C23" s="567">
        <v>5</v>
      </c>
      <c r="D23" s="567">
        <v>29</v>
      </c>
    </row>
    <row r="24" spans="1:4" x14ac:dyDescent="0.25">
      <c r="A24" s="568" t="s">
        <v>51</v>
      </c>
      <c r="B24" s="567">
        <v>9</v>
      </c>
      <c r="C24" s="567">
        <v>22</v>
      </c>
      <c r="D24" s="567">
        <v>78</v>
      </c>
    </row>
    <row r="25" spans="1:4" x14ac:dyDescent="0.25">
      <c r="A25" s="568" t="s">
        <v>52</v>
      </c>
      <c r="B25" s="567">
        <v>10</v>
      </c>
      <c r="C25" s="567">
        <v>22</v>
      </c>
      <c r="D25" s="567">
        <v>99</v>
      </c>
    </row>
    <row r="26" spans="1:4" x14ac:dyDescent="0.25">
      <c r="A26" s="568" t="s">
        <v>53</v>
      </c>
      <c r="B26" s="567">
        <v>1</v>
      </c>
      <c r="C26" s="567">
        <v>2</v>
      </c>
      <c r="D26" s="567">
        <v>12</v>
      </c>
    </row>
    <row r="27" spans="1:4" x14ac:dyDescent="0.25">
      <c r="A27" s="568" t="s">
        <v>54</v>
      </c>
      <c r="B27" s="567">
        <v>13</v>
      </c>
      <c r="C27" s="567">
        <v>28</v>
      </c>
      <c r="D27" s="567">
        <v>107</v>
      </c>
    </row>
    <row r="28" spans="1:4" x14ac:dyDescent="0.25">
      <c r="A28" s="568" t="s">
        <v>55</v>
      </c>
      <c r="B28" s="567">
        <v>12</v>
      </c>
      <c r="C28" s="567">
        <v>24</v>
      </c>
      <c r="D28" s="567">
        <v>98</v>
      </c>
    </row>
    <row r="29" spans="1:4" x14ac:dyDescent="0.25">
      <c r="A29" s="568" t="s">
        <v>56</v>
      </c>
      <c r="B29" s="567">
        <v>5</v>
      </c>
      <c r="C29" s="567">
        <v>8</v>
      </c>
      <c r="D29" s="567">
        <v>42</v>
      </c>
    </row>
    <row r="30" spans="1:4" x14ac:dyDescent="0.25">
      <c r="A30" s="568" t="s">
        <v>57</v>
      </c>
      <c r="B30" s="567">
        <v>8</v>
      </c>
      <c r="C30" s="567">
        <v>8</v>
      </c>
      <c r="D30" s="567">
        <v>70</v>
      </c>
    </row>
    <row r="31" spans="1:4" x14ac:dyDescent="0.25">
      <c r="A31" s="568" t="s">
        <v>58</v>
      </c>
      <c r="B31" s="567">
        <v>9</v>
      </c>
      <c r="C31" s="567">
        <v>15</v>
      </c>
      <c r="D31" s="567">
        <v>51</v>
      </c>
    </row>
    <row r="32" spans="1:4" x14ac:dyDescent="0.25">
      <c r="A32" s="568" t="s">
        <v>59</v>
      </c>
      <c r="B32" s="567">
        <v>2</v>
      </c>
      <c r="C32" s="567">
        <v>2</v>
      </c>
      <c r="D32" s="567">
        <v>16</v>
      </c>
    </row>
    <row r="33" spans="1:4" x14ac:dyDescent="0.25">
      <c r="A33" s="568" t="s">
        <v>60</v>
      </c>
      <c r="B33" s="567">
        <v>6</v>
      </c>
      <c r="C33" s="567">
        <v>11</v>
      </c>
      <c r="D33" s="567">
        <v>48</v>
      </c>
    </row>
    <row r="34" spans="1:4" x14ac:dyDescent="0.25">
      <c r="A34" s="1068" t="s">
        <v>251</v>
      </c>
      <c r="B34" s="567">
        <v>262</v>
      </c>
      <c r="C34" s="567">
        <v>520</v>
      </c>
      <c r="D34" s="567">
        <v>2155</v>
      </c>
    </row>
  </sheetData>
  <sheetProtection algorithmName="SHA-512" hashValue="+2epYtvBZlaY6Ghhqwt4pC3/mxcC5wr/uD3dIKwMJqKUxX2pKWYkNtSuq5oojIPYzJp5NraBavB32jpZwvc5hA==" saltValue="LyHaBLRgzRe2OcO+pS2Bvw=="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pageSetUpPr fitToPage="1"/>
  </sheetPr>
  <dimension ref="A1:L80"/>
  <sheetViews>
    <sheetView showGridLines="0" workbookViewId="0">
      <pane ySplit="2" topLeftCell="A3" activePane="bottomLeft" state="frozen"/>
      <selection pane="bottomLeft" sqref="A1:H1"/>
    </sheetView>
  </sheetViews>
  <sheetFormatPr defaultRowHeight="15" x14ac:dyDescent="0.25"/>
  <cols>
    <col min="1" max="1" width="17.140625" customWidth="1"/>
    <col min="2" max="2" width="57.5703125" customWidth="1"/>
    <col min="3" max="9" width="12.140625" customWidth="1"/>
    <col min="10" max="10" width="13.28515625" customWidth="1"/>
  </cols>
  <sheetData>
    <row r="1" spans="1:10" ht="15.75" x14ac:dyDescent="0.25">
      <c r="A1" s="1077" t="s">
        <v>505</v>
      </c>
      <c r="B1" s="1077"/>
      <c r="C1" s="1077"/>
      <c r="D1" s="1077"/>
      <c r="E1" s="1077"/>
      <c r="F1" s="1077"/>
      <c r="G1" s="1077"/>
      <c r="H1" s="1077"/>
      <c r="I1" s="31"/>
      <c r="J1" s="31"/>
    </row>
    <row r="2" spans="1:10" ht="15" customHeight="1" x14ac:dyDescent="0.25">
      <c r="A2" s="772" t="s">
        <v>578</v>
      </c>
      <c r="C2" s="660"/>
      <c r="D2" s="660"/>
      <c r="E2" s="660"/>
      <c r="F2" s="660"/>
      <c r="G2" s="660"/>
      <c r="H2" s="660"/>
      <c r="I2" s="31"/>
      <c r="J2" s="31"/>
    </row>
    <row r="3" spans="1:10" ht="15" customHeight="1" x14ac:dyDescent="0.25">
      <c r="C3" s="660"/>
      <c r="D3" s="660"/>
      <c r="E3" s="660"/>
      <c r="F3" s="660"/>
      <c r="G3" s="660"/>
      <c r="H3" s="660"/>
      <c r="I3" s="31"/>
      <c r="J3" s="31"/>
    </row>
    <row r="4" spans="1:10" ht="30" customHeight="1" x14ac:dyDescent="0.25">
      <c r="A4" s="1094" t="s">
        <v>535</v>
      </c>
      <c r="B4" s="1094"/>
      <c r="C4" s="1094"/>
      <c r="D4" s="1094"/>
      <c r="E4" s="1094"/>
      <c r="F4" s="1094"/>
      <c r="G4" s="1094"/>
      <c r="H4" s="1094"/>
      <c r="I4" s="1094"/>
      <c r="J4" s="1094"/>
    </row>
    <row r="5" spans="1:10" ht="15" customHeight="1" x14ac:dyDescent="0.25">
      <c r="A5" t="s">
        <v>363</v>
      </c>
      <c r="B5" t="s">
        <v>729</v>
      </c>
      <c r="C5" s="624"/>
      <c r="D5" s="624"/>
      <c r="E5" s="624"/>
      <c r="F5" s="624"/>
      <c r="G5" s="624"/>
      <c r="H5" s="624"/>
      <c r="I5" s="624"/>
      <c r="J5" s="624"/>
    </row>
    <row r="6" spans="1:10" ht="15.75" customHeight="1" x14ac:dyDescent="0.25">
      <c r="A6" t="s">
        <v>364</v>
      </c>
      <c r="B6" t="s">
        <v>366</v>
      </c>
      <c r="C6" s="624"/>
      <c r="D6" s="624"/>
      <c r="E6" s="624"/>
      <c r="F6" s="624"/>
      <c r="G6" s="624"/>
      <c r="H6" s="624"/>
      <c r="I6" s="624"/>
      <c r="J6" s="624"/>
    </row>
    <row r="7" spans="1:10" ht="15.75" customHeight="1" x14ac:dyDescent="0.25">
      <c r="A7" t="s">
        <v>365</v>
      </c>
      <c r="B7" t="s">
        <v>367</v>
      </c>
      <c r="C7" s="624"/>
      <c r="D7" s="624"/>
      <c r="E7" s="624"/>
      <c r="F7" s="624"/>
      <c r="G7" s="624"/>
      <c r="H7" s="624"/>
      <c r="I7" s="624"/>
      <c r="J7" s="624"/>
    </row>
    <row r="8" spans="1:10" ht="38.25" x14ac:dyDescent="0.25">
      <c r="A8" s="46" t="s">
        <v>1</v>
      </c>
      <c r="B8" s="46" t="s">
        <v>218</v>
      </c>
      <c r="C8" s="50" t="s">
        <v>967</v>
      </c>
      <c r="D8" s="50" t="s">
        <v>968</v>
      </c>
      <c r="E8" s="50" t="s">
        <v>969</v>
      </c>
      <c r="F8" s="50" t="s">
        <v>970</v>
      </c>
      <c r="G8" s="50" t="s">
        <v>971</v>
      </c>
      <c r="H8" s="50" t="s">
        <v>972</v>
      </c>
      <c r="I8" s="50" t="s">
        <v>23</v>
      </c>
      <c r="J8" s="655" t="s">
        <v>79</v>
      </c>
    </row>
    <row r="9" spans="1:10" ht="15.75" thickBot="1" x14ac:dyDescent="0.3">
      <c r="A9" s="48" t="str">
        <f>'h4'!$D$1</f>
        <v>2019-20</v>
      </c>
      <c r="B9" s="48" t="s">
        <v>79</v>
      </c>
      <c r="C9" s="79">
        <f>C44+C64+C70+C72</f>
        <v>6</v>
      </c>
      <c r="D9" s="79">
        <f t="shared" ref="D9:J9" si="0">D44+D64+D70+D72</f>
        <v>31</v>
      </c>
      <c r="E9" s="79">
        <f t="shared" si="0"/>
        <v>80</v>
      </c>
      <c r="F9" s="79">
        <f t="shared" si="0"/>
        <v>153</v>
      </c>
      <c r="G9" s="79">
        <f t="shared" si="0"/>
        <v>608</v>
      </c>
      <c r="H9" s="79">
        <f t="shared" si="0"/>
        <v>688</v>
      </c>
      <c r="I9" s="79">
        <f t="shared" si="0"/>
        <v>2070</v>
      </c>
      <c r="J9" s="79">
        <f t="shared" si="0"/>
        <v>3636</v>
      </c>
    </row>
    <row r="10" spans="1:10" x14ac:dyDescent="0.25">
      <c r="B10" s="49"/>
      <c r="C10" s="54"/>
      <c r="D10" s="54"/>
      <c r="E10" s="54"/>
      <c r="F10" s="54"/>
      <c r="G10" s="54"/>
      <c r="H10" s="54"/>
      <c r="I10" s="54"/>
      <c r="J10" s="81"/>
    </row>
    <row r="11" spans="1:10" x14ac:dyDescent="0.25">
      <c r="A11" s="52" t="s">
        <v>515</v>
      </c>
      <c r="B11" s="52" t="s">
        <v>30</v>
      </c>
      <c r="C11" s="28"/>
      <c r="D11" s="24"/>
      <c r="E11" s="24"/>
      <c r="F11" s="24"/>
      <c r="G11" s="24"/>
      <c r="H11" s="24"/>
      <c r="I11" s="24"/>
      <c r="J11" s="24"/>
    </row>
    <row r="12" spans="1:10" ht="19.5" customHeight="1" x14ac:dyDescent="0.25">
      <c r="A12" s="572" t="s">
        <v>301</v>
      </c>
      <c r="B12" s="55" t="s">
        <v>31</v>
      </c>
      <c r="C12" s="652">
        <f>IFERROR(GETPIVOTDATA((CONCATENATE("Sum of ", C$8)),'h4'!$A$3,"ReportingLevel","1:LA","lvl",$B12),0)</f>
        <v>0</v>
      </c>
      <c r="D12" s="652">
        <f>IFERROR(GETPIVOTDATA((CONCATENATE("Sum of ", D$8)),'h4'!$A$3,"ReportingLevel","1:LA","lvl",$B12),0)</f>
        <v>0</v>
      </c>
      <c r="E12" s="652">
        <f>IFERROR(GETPIVOTDATA((CONCATENATE("Sum of ", E$8)),'h4'!$A$3,"ReportingLevel","1:LA","lvl",$B12),0)</f>
        <v>0</v>
      </c>
      <c r="F12" s="652">
        <f>IFERROR(GETPIVOTDATA((CONCATENATE("Sum of ", F$8)),'h4'!$A$3,"ReportingLevel","1:LA","lvl",$B12),0)</f>
        <v>0</v>
      </c>
      <c r="G12" s="415">
        <f>IFERROR(GETPIVOTDATA((CONCATENATE("Sum of ", G$8)),'h4'!$A$3,"ReportingLevel","1:LA","lvl",$B12),0)</f>
        <v>15</v>
      </c>
      <c r="H12" s="415">
        <f>IFERROR(GETPIVOTDATA((CONCATENATE("Sum of ", H$8)),'h4'!$A$3,"ReportingLevel","1:LA","lvl",$B12),0)</f>
        <v>35</v>
      </c>
      <c r="I12" s="415">
        <f>IFERROR(GETPIVOTDATA((CONCATENATE("Sum of ", I$8)),'h4'!$A$3,"ReportingLevel","1:LA","lvl",$B12),0)</f>
        <v>105</v>
      </c>
      <c r="J12" s="83">
        <f t="shared" ref="J12:J37" si="1">SUM(C12:I12)</f>
        <v>155</v>
      </c>
    </row>
    <row r="13" spans="1:10" x14ac:dyDescent="0.25">
      <c r="A13" s="573" t="s">
        <v>302</v>
      </c>
      <c r="B13" s="58" t="s">
        <v>32</v>
      </c>
      <c r="C13" s="653">
        <f>IFERROR(GETPIVOTDATA((CONCATENATE("Sum of ", C$8)),'h4'!$A$3,"ReportingLevel","1:LA","lvl",$B13),0)</f>
        <v>0</v>
      </c>
      <c r="D13" s="653">
        <f>IFERROR(GETPIVOTDATA((CONCATENATE("Sum of ", D$8)),'h4'!$A$3,"ReportingLevel","1:LA","lvl",$B13),0)</f>
        <v>0</v>
      </c>
      <c r="E13" s="653">
        <f>IFERROR(GETPIVOTDATA((CONCATENATE("Sum of ", E$8)),'h4'!$A$3,"ReportingLevel","1:LA","lvl",$B13),0)</f>
        <v>0</v>
      </c>
      <c r="F13" s="653">
        <f>IFERROR(GETPIVOTDATA((CONCATENATE("Sum of ", F$8)),'h4'!$A$3,"ReportingLevel","1:LA","lvl",$B13),0)</f>
        <v>0</v>
      </c>
      <c r="G13" s="82">
        <f>IFERROR(GETPIVOTDATA((CONCATENATE("Sum of ", G$8)),'h4'!$A$3,"ReportingLevel","1:LA","lvl",$B13),0)</f>
        <v>6</v>
      </c>
      <c r="H13" s="82">
        <f>IFERROR(GETPIVOTDATA((CONCATENATE("Sum of ", H$8)),'h4'!$A$3,"ReportingLevel","1:LA","lvl",$B13),0)</f>
        <v>4</v>
      </c>
      <c r="I13" s="82">
        <f>IFERROR(GETPIVOTDATA((CONCATENATE("Sum of ", I$8)),'h4'!$A$3,"ReportingLevel","1:LA","lvl",$B13),0)</f>
        <v>22</v>
      </c>
      <c r="J13" s="83">
        <f t="shared" si="1"/>
        <v>32</v>
      </c>
    </row>
    <row r="14" spans="1:10" x14ac:dyDescent="0.25">
      <c r="A14" s="573" t="s">
        <v>308</v>
      </c>
      <c r="B14" s="58" t="s">
        <v>33</v>
      </c>
      <c r="C14" s="653">
        <f>IFERROR(GETPIVOTDATA((CONCATENATE("Sum of ", C$8)),'h4'!$A$3,"ReportingLevel","1:LA","lvl",$B14),0)</f>
        <v>0</v>
      </c>
      <c r="D14" s="653">
        <f>IFERROR(GETPIVOTDATA((CONCATENATE("Sum of ", D$8)),'h4'!$A$3,"ReportingLevel","1:LA","lvl",$B14),0)</f>
        <v>0</v>
      </c>
      <c r="E14" s="653">
        <f>IFERROR(GETPIVOTDATA((CONCATENATE("Sum of ", E$8)),'h4'!$A$3,"ReportingLevel","1:LA","lvl",$B14),0)</f>
        <v>0</v>
      </c>
      <c r="F14" s="653">
        <f>IFERROR(GETPIVOTDATA((CONCATENATE("Sum of ", F$8)),'h4'!$A$3,"ReportingLevel","1:LA","lvl",$B14),0)</f>
        <v>0</v>
      </c>
      <c r="G14" s="82">
        <f>IFERROR(GETPIVOTDATA((CONCATENATE("Sum of ", G$8)),'h4'!$A$3,"ReportingLevel","1:LA","lvl",$B14),0)</f>
        <v>5</v>
      </c>
      <c r="H14" s="82">
        <f>IFERROR(GETPIVOTDATA((CONCATENATE("Sum of ", H$8)),'h4'!$A$3,"ReportingLevel","1:LA","lvl",$B14),0)</f>
        <v>5</v>
      </c>
      <c r="I14" s="82">
        <f>IFERROR(GETPIVOTDATA((CONCATENATE("Sum of ", I$8)),'h4'!$A$3,"ReportingLevel","1:LA","lvl",$B14),0)</f>
        <v>17</v>
      </c>
      <c r="J14" s="83">
        <f t="shared" si="1"/>
        <v>27</v>
      </c>
    </row>
    <row r="15" spans="1:10" x14ac:dyDescent="0.25">
      <c r="A15" s="573" t="s">
        <v>303</v>
      </c>
      <c r="B15" s="58" t="s">
        <v>34</v>
      </c>
      <c r="C15" s="653">
        <f>IFERROR(GETPIVOTDATA((CONCATENATE("Sum of ", C$8)),'h4'!$A$3,"ReportingLevel","1:LA","lvl",$B15),0)</f>
        <v>0</v>
      </c>
      <c r="D15" s="653">
        <f>IFERROR(GETPIVOTDATA((CONCATENATE("Sum of ", D$8)),'h4'!$A$3,"ReportingLevel","1:LA","lvl",$B15),0)</f>
        <v>0</v>
      </c>
      <c r="E15" s="653">
        <f>IFERROR(GETPIVOTDATA((CONCATENATE("Sum of ", E$8)),'h4'!$A$3,"ReportingLevel","1:LA","lvl",$B15),0)</f>
        <v>0</v>
      </c>
      <c r="F15" s="653">
        <f>IFERROR(GETPIVOTDATA((CONCATENATE("Sum of ", F$8)),'h4'!$A$3,"ReportingLevel","1:LA","lvl",$B15),0)</f>
        <v>0</v>
      </c>
      <c r="G15" s="82">
        <f>IFERROR(GETPIVOTDATA((CONCATENATE("Sum of ", G$8)),'h4'!$A$3,"ReportingLevel","1:LA","lvl",$B15),0)</f>
        <v>10</v>
      </c>
      <c r="H15" s="82">
        <f>IFERROR(GETPIVOTDATA((CONCATENATE("Sum of ", H$8)),'h4'!$A$3,"ReportingLevel","1:LA","lvl",$B15),0)</f>
        <v>10</v>
      </c>
      <c r="I15" s="82">
        <f>IFERROR(GETPIVOTDATA((CONCATENATE("Sum of ", I$8)),'h4'!$A$3,"ReportingLevel","1:LA","lvl",$B15),0)</f>
        <v>33</v>
      </c>
      <c r="J15" s="83">
        <f t="shared" si="1"/>
        <v>53</v>
      </c>
    </row>
    <row r="16" spans="1:10" x14ac:dyDescent="0.25">
      <c r="A16" s="573" t="s">
        <v>304</v>
      </c>
      <c r="B16" s="58" t="s">
        <v>258</v>
      </c>
      <c r="C16" s="653">
        <f>IFERROR(GETPIVOTDATA((CONCATENATE("Sum of ", C$8)),'h4'!$A$3,"ReportingLevel","1:LA","lvl",$B16),0)</f>
        <v>0</v>
      </c>
      <c r="D16" s="653">
        <f>IFERROR(GETPIVOTDATA((CONCATENATE("Sum of ", D$8)),'h4'!$A$3,"ReportingLevel","1:LA","lvl",$B16),0)</f>
        <v>0</v>
      </c>
      <c r="E16" s="653">
        <f>IFERROR(GETPIVOTDATA((CONCATENATE("Sum of ", E$8)),'h4'!$A$3,"ReportingLevel","1:LA","lvl",$B16),0)</f>
        <v>0</v>
      </c>
      <c r="F16" s="653">
        <f>IFERROR(GETPIVOTDATA((CONCATENATE("Sum of ", F$8)),'h4'!$A$3,"ReportingLevel","1:LA","lvl",$B16),0)</f>
        <v>0</v>
      </c>
      <c r="G16" s="82">
        <f>IFERROR(GETPIVOTDATA((CONCATENATE("Sum of ", G$8)),'h4'!$A$3,"ReportingLevel","1:LA","lvl",$B16),0)</f>
        <v>36</v>
      </c>
      <c r="H16" s="82">
        <f>IFERROR(GETPIVOTDATA((CONCATENATE("Sum of ", H$8)),'h4'!$A$3,"ReportingLevel","1:LA","lvl",$B16),0)</f>
        <v>56</v>
      </c>
      <c r="I16" s="82">
        <f>IFERROR(GETPIVOTDATA((CONCATENATE("Sum of ", I$8)),'h4'!$A$3,"ReportingLevel","1:LA","lvl",$B16),0)</f>
        <v>214</v>
      </c>
      <c r="J16" s="83">
        <f t="shared" si="1"/>
        <v>306</v>
      </c>
    </row>
    <row r="17" spans="1:10" x14ac:dyDescent="0.25">
      <c r="A17" s="573" t="s">
        <v>282</v>
      </c>
      <c r="B17" s="58" t="s">
        <v>35</v>
      </c>
      <c r="C17" s="653">
        <f>IFERROR(GETPIVOTDATA((CONCATENATE("Sum of ", C$8)),'h4'!$A$3,"ReportingLevel","1:LA","lvl",$B17),0)</f>
        <v>0</v>
      </c>
      <c r="D17" s="653">
        <f>IFERROR(GETPIVOTDATA((CONCATENATE("Sum of ", D$8)),'h4'!$A$3,"ReportingLevel","1:LA","lvl",$B17),0)</f>
        <v>0</v>
      </c>
      <c r="E17" s="653">
        <f>IFERROR(GETPIVOTDATA((CONCATENATE("Sum of ", E$8)),'h4'!$A$3,"ReportingLevel","1:LA","lvl",$B17),0)</f>
        <v>0</v>
      </c>
      <c r="F17" s="653">
        <f>IFERROR(GETPIVOTDATA((CONCATENATE("Sum of ", F$8)),'h4'!$A$3,"ReportingLevel","1:LA","lvl",$B17),0)</f>
        <v>0</v>
      </c>
      <c r="G17" s="82">
        <f>IFERROR(GETPIVOTDATA((CONCATENATE("Sum of ", G$8)),'h4'!$A$3,"ReportingLevel","1:LA","lvl",$B17),0)</f>
        <v>5</v>
      </c>
      <c r="H17" s="82">
        <f>IFERROR(GETPIVOTDATA((CONCATENATE("Sum of ", H$8)),'h4'!$A$3,"ReportingLevel","1:LA","lvl",$B17),0)</f>
        <v>5</v>
      </c>
      <c r="I17" s="82">
        <f>IFERROR(GETPIVOTDATA((CONCATENATE("Sum of ", I$8)),'h4'!$A$3,"ReportingLevel","1:LA","lvl",$B17),0)</f>
        <v>15</v>
      </c>
      <c r="J17" s="83">
        <f t="shared" si="1"/>
        <v>25</v>
      </c>
    </row>
    <row r="18" spans="1:10" x14ac:dyDescent="0.25">
      <c r="A18" s="573" t="s">
        <v>283</v>
      </c>
      <c r="B18" s="58" t="s">
        <v>36</v>
      </c>
      <c r="C18" s="653">
        <f>IFERROR(GETPIVOTDATA((CONCATENATE("Sum of ", C$8)),'h4'!$A$3,"ReportingLevel","1:LA","lvl",$B18),0)</f>
        <v>0</v>
      </c>
      <c r="D18" s="653">
        <f>IFERROR(GETPIVOTDATA((CONCATENATE("Sum of ", D$8)),'h4'!$A$3,"ReportingLevel","1:LA","lvl",$B18),0)</f>
        <v>0</v>
      </c>
      <c r="E18" s="653">
        <f>IFERROR(GETPIVOTDATA((CONCATENATE("Sum of ", E$8)),'h4'!$A$3,"ReportingLevel","1:LA","lvl",$B18),0)</f>
        <v>0</v>
      </c>
      <c r="F18" s="653">
        <f>IFERROR(GETPIVOTDATA((CONCATENATE("Sum of ", F$8)),'h4'!$A$3,"ReportingLevel","1:LA","lvl",$B18),0)</f>
        <v>0</v>
      </c>
      <c r="G18" s="82">
        <f>IFERROR(GETPIVOTDATA((CONCATENATE("Sum of ", G$8)),'h4'!$A$3,"ReportingLevel","1:LA","lvl",$B18),0)</f>
        <v>5</v>
      </c>
      <c r="H18" s="82">
        <f>IFERROR(GETPIVOTDATA((CONCATENATE("Sum of ", H$8)),'h4'!$A$3,"ReportingLevel","1:LA","lvl",$B18),0)</f>
        <v>10</v>
      </c>
      <c r="I18" s="82">
        <f>IFERROR(GETPIVOTDATA((CONCATENATE("Sum of ", I$8)),'h4'!$A$3,"ReportingLevel","1:LA","lvl",$B18),0)</f>
        <v>37</v>
      </c>
      <c r="J18" s="83">
        <f t="shared" si="1"/>
        <v>52</v>
      </c>
    </row>
    <row r="19" spans="1:10" x14ac:dyDescent="0.25">
      <c r="A19" s="573" t="s">
        <v>309</v>
      </c>
      <c r="B19" s="58" t="s">
        <v>37</v>
      </c>
      <c r="C19" s="653">
        <f>IFERROR(GETPIVOTDATA((CONCATENATE("Sum of ", C$8)),'h4'!$A$3,"ReportingLevel","1:LA","lvl",$B19),0)</f>
        <v>0</v>
      </c>
      <c r="D19" s="653">
        <f>IFERROR(GETPIVOTDATA((CONCATENATE("Sum of ", D$8)),'h4'!$A$3,"ReportingLevel","1:LA","lvl",$B19),0)</f>
        <v>0</v>
      </c>
      <c r="E19" s="653">
        <f>IFERROR(GETPIVOTDATA((CONCATENATE("Sum of ", E$8)),'h4'!$A$3,"ReportingLevel","1:LA","lvl",$B19),0)</f>
        <v>0</v>
      </c>
      <c r="F19" s="653">
        <f>IFERROR(GETPIVOTDATA((CONCATENATE("Sum of ", F$8)),'h4'!$A$3,"ReportingLevel","1:LA","lvl",$B19),0)</f>
        <v>0</v>
      </c>
      <c r="G19" s="82">
        <f>IFERROR(GETPIVOTDATA((CONCATENATE("Sum of ", G$8)),'h4'!$A$3,"ReportingLevel","1:LA","lvl",$B19),0)</f>
        <v>20</v>
      </c>
      <c r="H19" s="82">
        <f>IFERROR(GETPIVOTDATA((CONCATENATE("Sum of ", H$8)),'h4'!$A$3,"ReportingLevel","1:LA","lvl",$B19),0)</f>
        <v>36</v>
      </c>
      <c r="I19" s="82">
        <f>IFERROR(GETPIVOTDATA((CONCATENATE("Sum of ", I$8)),'h4'!$A$3,"ReportingLevel","1:LA","lvl",$B19),0)</f>
        <v>126</v>
      </c>
      <c r="J19" s="83">
        <f t="shared" si="1"/>
        <v>182</v>
      </c>
    </row>
    <row r="20" spans="1:10" x14ac:dyDescent="0.25">
      <c r="A20" s="573" t="s">
        <v>284</v>
      </c>
      <c r="B20" s="58" t="s">
        <v>38</v>
      </c>
      <c r="C20" s="653">
        <f>IFERROR(GETPIVOTDATA((CONCATENATE("Sum of ", C$8)),'h4'!$A$3,"ReportingLevel","1:LA","lvl",$B20),0)</f>
        <v>0</v>
      </c>
      <c r="D20" s="653">
        <f>IFERROR(GETPIVOTDATA((CONCATENATE("Sum of ", D$8)),'h4'!$A$3,"ReportingLevel","1:LA","lvl",$B20),0)</f>
        <v>0</v>
      </c>
      <c r="E20" s="653">
        <f>IFERROR(GETPIVOTDATA((CONCATENATE("Sum of ", E$8)),'h4'!$A$3,"ReportingLevel","1:LA","lvl",$B20),0)</f>
        <v>0</v>
      </c>
      <c r="F20" s="653">
        <f>IFERROR(GETPIVOTDATA((CONCATENATE("Sum of ", F$8)),'h4'!$A$3,"ReportingLevel","1:LA","lvl",$B20),0)</f>
        <v>0</v>
      </c>
      <c r="G20" s="82">
        <f>IFERROR(GETPIVOTDATA((CONCATENATE("Sum of ", G$8)),'h4'!$A$3,"ReportingLevel","1:LA","lvl",$B20),0)</f>
        <v>5</v>
      </c>
      <c r="H20" s="82">
        <f>IFERROR(GETPIVOTDATA((CONCATENATE("Sum of ", H$8)),'h4'!$A$3,"ReportingLevel","1:LA","lvl",$B20),0)</f>
        <v>10</v>
      </c>
      <c r="I20" s="82">
        <f>IFERROR(GETPIVOTDATA((CONCATENATE("Sum of ", I$8)),'h4'!$A$3,"ReportingLevel","1:LA","lvl",$B20),0)</f>
        <v>34</v>
      </c>
      <c r="J20" s="83">
        <f t="shared" si="1"/>
        <v>49</v>
      </c>
    </row>
    <row r="21" spans="1:10" x14ac:dyDescent="0.25">
      <c r="A21" s="573" t="s">
        <v>311</v>
      </c>
      <c r="B21" s="58" t="s">
        <v>39</v>
      </c>
      <c r="C21" s="653">
        <f>IFERROR(GETPIVOTDATA((CONCATENATE("Sum of ", C$8)),'h4'!$A$3,"ReportingLevel","1:LA","lvl",$B21),0)</f>
        <v>0</v>
      </c>
      <c r="D21" s="653">
        <f>IFERROR(GETPIVOTDATA((CONCATENATE("Sum of ", D$8)),'h4'!$A$3,"ReportingLevel","1:LA","lvl",$B21),0)</f>
        <v>0</v>
      </c>
      <c r="E21" s="653">
        <f>IFERROR(GETPIVOTDATA((CONCATENATE("Sum of ", E$8)),'h4'!$A$3,"ReportingLevel","1:LA","lvl",$B21),0)</f>
        <v>0</v>
      </c>
      <c r="F21" s="653">
        <f>IFERROR(GETPIVOTDATA((CONCATENATE("Sum of ", F$8)),'h4'!$A$3,"ReportingLevel","1:LA","lvl",$B21),0)</f>
        <v>0</v>
      </c>
      <c r="G21" s="82">
        <f>IFERROR(GETPIVOTDATA((CONCATENATE("Sum of ", G$8)),'h4'!$A$3,"ReportingLevel","1:LA","lvl",$B21),0)</f>
        <v>15</v>
      </c>
      <c r="H21" s="82">
        <f>IFERROR(GETPIVOTDATA((CONCATENATE("Sum of ", H$8)),'h4'!$A$3,"ReportingLevel","1:LA","lvl",$B21),0)</f>
        <v>15</v>
      </c>
      <c r="I21" s="82">
        <f>IFERROR(GETPIVOTDATA((CONCATENATE("Sum of ", I$8)),'h4'!$A$3,"ReportingLevel","1:LA","lvl",$B21),0)</f>
        <v>49</v>
      </c>
      <c r="J21" s="83">
        <f t="shared" si="1"/>
        <v>79</v>
      </c>
    </row>
    <row r="22" spans="1:10" x14ac:dyDescent="0.25">
      <c r="A22" s="573" t="s">
        <v>285</v>
      </c>
      <c r="B22" s="58" t="s">
        <v>40</v>
      </c>
      <c r="C22" s="653">
        <f>IFERROR(GETPIVOTDATA((CONCATENATE("Sum of ", C$8)),'h4'!$A$3,"ReportingLevel","1:LA","lvl",$B22),0)</f>
        <v>0</v>
      </c>
      <c r="D22" s="653">
        <f>IFERROR(GETPIVOTDATA((CONCATENATE("Sum of ", D$8)),'h4'!$A$3,"ReportingLevel","1:LA","lvl",$B22),0)</f>
        <v>0</v>
      </c>
      <c r="E22" s="653">
        <f>IFERROR(GETPIVOTDATA((CONCATENATE("Sum of ", E$8)),'h4'!$A$3,"ReportingLevel","1:LA","lvl",$B22),0)</f>
        <v>0</v>
      </c>
      <c r="F22" s="653">
        <f>IFERROR(GETPIVOTDATA((CONCATENATE("Sum of ", F$8)),'h4'!$A$3,"ReportingLevel","1:LA","lvl",$B22),0)</f>
        <v>0</v>
      </c>
      <c r="G22" s="82">
        <f>IFERROR(GETPIVOTDATA((CONCATENATE("Sum of ", G$8)),'h4'!$A$3,"ReportingLevel","1:LA","lvl",$B22),0)</f>
        <v>5</v>
      </c>
      <c r="H22" s="82">
        <f>IFERROR(GETPIVOTDATA((CONCATENATE("Sum of ", H$8)),'h4'!$A$3,"ReportingLevel","1:LA","lvl",$B22),0)</f>
        <v>5</v>
      </c>
      <c r="I22" s="82">
        <f>IFERROR(GETPIVOTDATA((CONCATENATE("Sum of ", I$8)),'h4'!$A$3,"ReportingLevel","1:LA","lvl",$B22),0)</f>
        <v>15</v>
      </c>
      <c r="J22" s="83">
        <f t="shared" si="1"/>
        <v>25</v>
      </c>
    </row>
    <row r="23" spans="1:10" x14ac:dyDescent="0.25">
      <c r="A23" s="573" t="s">
        <v>286</v>
      </c>
      <c r="B23" s="58" t="s">
        <v>41</v>
      </c>
      <c r="C23" s="653">
        <f>IFERROR(GETPIVOTDATA((CONCATENATE("Sum of ", C$8)),'h4'!$A$3,"ReportingLevel","1:LA","lvl",$B23),0)</f>
        <v>0</v>
      </c>
      <c r="D23" s="653">
        <f>IFERROR(GETPIVOTDATA((CONCATENATE("Sum of ", D$8)),'h4'!$A$3,"ReportingLevel","1:LA","lvl",$B23),0)</f>
        <v>0</v>
      </c>
      <c r="E23" s="653">
        <f>IFERROR(GETPIVOTDATA((CONCATENATE("Sum of ", E$8)),'h4'!$A$3,"ReportingLevel","1:LA","lvl",$B23),0)</f>
        <v>0</v>
      </c>
      <c r="F23" s="653">
        <f>IFERROR(GETPIVOTDATA((CONCATENATE("Sum of ", F$8)),'h4'!$A$3,"ReportingLevel","1:LA","lvl",$B23),0)</f>
        <v>0</v>
      </c>
      <c r="G23" s="82">
        <f>IFERROR(GETPIVOTDATA((CONCATENATE("Sum of ", G$8)),'h4'!$A$3,"ReportingLevel","1:LA","lvl",$B23),0)</f>
        <v>10</v>
      </c>
      <c r="H23" s="82">
        <f>IFERROR(GETPIVOTDATA((CONCATENATE("Sum of ", H$8)),'h4'!$A$3,"ReportingLevel","1:LA","lvl",$B23),0)</f>
        <v>10</v>
      </c>
      <c r="I23" s="82">
        <f>IFERROR(GETPIVOTDATA((CONCATENATE("Sum of ", I$8)),'h4'!$A$3,"ReportingLevel","1:LA","lvl",$B23),0)</f>
        <v>30</v>
      </c>
      <c r="J23" s="83">
        <f t="shared" si="1"/>
        <v>50</v>
      </c>
    </row>
    <row r="24" spans="1:10" x14ac:dyDescent="0.25">
      <c r="A24" s="573" t="s">
        <v>288</v>
      </c>
      <c r="B24" s="58" t="s">
        <v>42</v>
      </c>
      <c r="C24" s="653">
        <f>IFERROR(GETPIVOTDATA((CONCATENATE("Sum of ", C$8)),'h4'!$A$3,"ReportingLevel","1:LA","lvl",$B24),0)</f>
        <v>0</v>
      </c>
      <c r="D24" s="653">
        <f>IFERROR(GETPIVOTDATA((CONCATENATE("Sum of ", D$8)),'h4'!$A$3,"ReportingLevel","1:LA","lvl",$B24),0)</f>
        <v>0</v>
      </c>
      <c r="E24" s="653">
        <f>IFERROR(GETPIVOTDATA((CONCATENATE("Sum of ", E$8)),'h4'!$A$3,"ReportingLevel","1:LA","lvl",$B24),0)</f>
        <v>0</v>
      </c>
      <c r="F24" s="653">
        <f>IFERROR(GETPIVOTDATA((CONCATENATE("Sum of ", F$8)),'h4'!$A$3,"ReportingLevel","1:LA","lvl",$B24),0)</f>
        <v>0</v>
      </c>
      <c r="G24" s="82">
        <f>IFERROR(GETPIVOTDATA((CONCATENATE("Sum of ", G$8)),'h4'!$A$3,"ReportingLevel","1:LA","lvl",$B24),0)</f>
        <v>15</v>
      </c>
      <c r="H24" s="82">
        <f>IFERROR(GETPIVOTDATA((CONCATENATE("Sum of ", H$8)),'h4'!$A$3,"ReportingLevel","1:LA","lvl",$B24),0)</f>
        <v>19</v>
      </c>
      <c r="I24" s="82">
        <f>IFERROR(GETPIVOTDATA((CONCATENATE("Sum of ", I$8)),'h4'!$A$3,"ReportingLevel","1:LA","lvl",$B24),0)</f>
        <v>54</v>
      </c>
      <c r="J24" s="83">
        <f t="shared" si="1"/>
        <v>88</v>
      </c>
    </row>
    <row r="25" spans="1:10" x14ac:dyDescent="0.25">
      <c r="A25" s="573" t="s">
        <v>313</v>
      </c>
      <c r="B25" s="58" t="s">
        <v>43</v>
      </c>
      <c r="C25" s="653">
        <f>IFERROR(GETPIVOTDATA((CONCATENATE("Sum of ", C$8)),'h4'!$A$3,"ReportingLevel","1:LA","lvl",$B25),0)</f>
        <v>0</v>
      </c>
      <c r="D25" s="653">
        <f>IFERROR(GETPIVOTDATA((CONCATENATE("Sum of ", D$8)),'h4'!$A$3,"ReportingLevel","1:LA","lvl",$B25),0)</f>
        <v>0</v>
      </c>
      <c r="E25" s="653">
        <f>IFERROR(GETPIVOTDATA((CONCATENATE("Sum of ", E$8)),'h4'!$A$3,"ReportingLevel","1:LA","lvl",$B25),0)</f>
        <v>0</v>
      </c>
      <c r="F25" s="653">
        <f>IFERROR(GETPIVOTDATA((CONCATENATE("Sum of ", F$8)),'h4'!$A$3,"ReportingLevel","1:LA","lvl",$B25),0)</f>
        <v>0</v>
      </c>
      <c r="G25" s="82">
        <f>IFERROR(GETPIVOTDATA((CONCATENATE("Sum of ", G$8)),'h4'!$A$3,"ReportingLevel","1:LA","lvl",$B25),0)</f>
        <v>26</v>
      </c>
      <c r="H25" s="82">
        <f>IFERROR(GETPIVOTDATA((CONCATENATE("Sum of ", H$8)),'h4'!$A$3,"ReportingLevel","1:LA","lvl",$B25),0)</f>
        <v>51</v>
      </c>
      <c r="I25" s="82">
        <f>IFERROR(GETPIVOTDATA((CONCATENATE("Sum of ", I$8)),'h4'!$A$3,"ReportingLevel","1:LA","lvl",$B25),0)</f>
        <v>192</v>
      </c>
      <c r="J25" s="83">
        <f t="shared" si="1"/>
        <v>269</v>
      </c>
    </row>
    <row r="26" spans="1:10" x14ac:dyDescent="0.25">
      <c r="A26" s="573" t="str">
        <f>IF(A9 = "2019-20","S12000049","S12000046")</f>
        <v>S12000049</v>
      </c>
      <c r="B26" s="58" t="s">
        <v>121</v>
      </c>
      <c r="C26" s="653">
        <f>IFERROR(GETPIVOTDATA((CONCATENATE("Sum of ", C$8)),'h4'!$A$3,"ReportingLevel","1:LA","lvl",$B26),0)</f>
        <v>0</v>
      </c>
      <c r="D26" s="653">
        <f>IFERROR(GETPIVOTDATA((CONCATENATE("Sum of ", D$8)),'h4'!$A$3,"ReportingLevel","1:LA","lvl",$B26),0)</f>
        <v>0</v>
      </c>
      <c r="E26" s="653">
        <f>IFERROR(GETPIVOTDATA((CONCATENATE("Sum of ", E$8)),'h4'!$A$3,"ReportingLevel","1:LA","lvl",$B26),0)</f>
        <v>0</v>
      </c>
      <c r="F26" s="653">
        <f>IFERROR(GETPIVOTDATA((CONCATENATE("Sum of ", F$8)),'h4'!$A$3,"ReportingLevel","1:LA","lvl",$B26),0)</f>
        <v>0</v>
      </c>
      <c r="G26" s="82">
        <f>IFERROR(GETPIVOTDATA((CONCATENATE("Sum of ", G$8)),'h4'!$A$3,"ReportingLevel","1:LA","lvl",$B26),0)</f>
        <v>57</v>
      </c>
      <c r="H26" s="82">
        <f>IFERROR(GETPIVOTDATA((CONCATENATE("Sum of ", H$8)),'h4'!$A$3,"ReportingLevel","1:LA","lvl",$B26),0)</f>
        <v>114</v>
      </c>
      <c r="I26" s="82">
        <f>IFERROR(GETPIVOTDATA((CONCATENATE("Sum of ", I$8)),'h4'!$A$3,"ReportingLevel","1:LA","lvl",$B26),0)</f>
        <v>346</v>
      </c>
      <c r="J26" s="83">
        <f t="shared" si="1"/>
        <v>517</v>
      </c>
    </row>
    <row r="27" spans="1:10" x14ac:dyDescent="0.25">
      <c r="A27" s="573" t="s">
        <v>289</v>
      </c>
      <c r="B27" s="58" t="s">
        <v>44</v>
      </c>
      <c r="C27" s="653">
        <f>IFERROR(GETPIVOTDATA((CONCATENATE("Sum of ", C$8)),'h4'!$A$3,"ReportingLevel","1:LA","lvl",$B27),0)</f>
        <v>0</v>
      </c>
      <c r="D27" s="653">
        <f>IFERROR(GETPIVOTDATA((CONCATENATE("Sum of ", D$8)),'h4'!$A$3,"ReportingLevel","1:LA","lvl",$B27),0)</f>
        <v>0</v>
      </c>
      <c r="E27" s="653">
        <f>IFERROR(GETPIVOTDATA((CONCATENATE("Sum of ", E$8)),'h4'!$A$3,"ReportingLevel","1:LA","lvl",$B27),0)</f>
        <v>0</v>
      </c>
      <c r="F27" s="653">
        <f>IFERROR(GETPIVOTDATA((CONCATENATE("Sum of ", F$8)),'h4'!$A$3,"ReportingLevel","1:LA","lvl",$B27),0)</f>
        <v>0</v>
      </c>
      <c r="G27" s="82">
        <f>IFERROR(GETPIVOTDATA((CONCATENATE("Sum of ", G$8)),'h4'!$A$3,"ReportingLevel","1:LA","lvl",$B27),0)</f>
        <v>5</v>
      </c>
      <c r="H27" s="82">
        <f>IFERROR(GETPIVOTDATA((CONCATENATE("Sum of ", H$8)),'h4'!$A$3,"ReportingLevel","1:LA","lvl",$B27),0)</f>
        <v>14</v>
      </c>
      <c r="I27" s="82">
        <f>IFERROR(GETPIVOTDATA((CONCATENATE("Sum of ", I$8)),'h4'!$A$3,"ReportingLevel","1:LA","lvl",$B27),0)</f>
        <v>52</v>
      </c>
      <c r="J27" s="83">
        <f t="shared" si="1"/>
        <v>71</v>
      </c>
    </row>
    <row r="28" spans="1:10" x14ac:dyDescent="0.25">
      <c r="A28" s="573" t="s">
        <v>290</v>
      </c>
      <c r="B28" s="58" t="s">
        <v>45</v>
      </c>
      <c r="C28" s="653">
        <f>IFERROR(GETPIVOTDATA((CONCATENATE("Sum of ", C$8)),'h4'!$A$3,"ReportingLevel","1:LA","lvl",$B28),0)</f>
        <v>0</v>
      </c>
      <c r="D28" s="653">
        <f>IFERROR(GETPIVOTDATA((CONCATENATE("Sum of ", D$8)),'h4'!$A$3,"ReportingLevel","1:LA","lvl",$B28),0)</f>
        <v>0</v>
      </c>
      <c r="E28" s="653">
        <f>IFERROR(GETPIVOTDATA((CONCATENATE("Sum of ", E$8)),'h4'!$A$3,"ReportingLevel","1:LA","lvl",$B28),0)</f>
        <v>0</v>
      </c>
      <c r="F28" s="653">
        <f>IFERROR(GETPIVOTDATA((CONCATENATE("Sum of ", F$8)),'h4'!$A$3,"ReportingLevel","1:LA","lvl",$B28),0)</f>
        <v>0</v>
      </c>
      <c r="G28" s="82">
        <f>IFERROR(GETPIVOTDATA((CONCATENATE("Sum of ", G$8)),'h4'!$A$3,"ReportingLevel","1:LA","lvl",$B28),0)</f>
        <v>10</v>
      </c>
      <c r="H28" s="82">
        <f>IFERROR(GETPIVOTDATA((CONCATENATE("Sum of ", H$8)),'h4'!$A$3,"ReportingLevel","1:LA","lvl",$B28),0)</f>
        <v>15</v>
      </c>
      <c r="I28" s="82">
        <f>IFERROR(GETPIVOTDATA((CONCATENATE("Sum of ", I$8)),'h4'!$A$3,"ReportingLevel","1:LA","lvl",$B28),0)</f>
        <v>45</v>
      </c>
      <c r="J28" s="83">
        <f t="shared" si="1"/>
        <v>70</v>
      </c>
    </row>
    <row r="29" spans="1:10" x14ac:dyDescent="0.25">
      <c r="A29" s="573" t="s">
        <v>291</v>
      </c>
      <c r="B29" s="58" t="s">
        <v>46</v>
      </c>
      <c r="C29" s="653">
        <f>IFERROR(GETPIVOTDATA((CONCATENATE("Sum of ", C$8)),'h4'!$A$3,"ReportingLevel","1:LA","lvl",$B29),0)</f>
        <v>0</v>
      </c>
      <c r="D29" s="653">
        <f>IFERROR(GETPIVOTDATA((CONCATENATE("Sum of ", D$8)),'h4'!$A$3,"ReportingLevel","1:LA","lvl",$B29),0)</f>
        <v>0</v>
      </c>
      <c r="E29" s="653">
        <f>IFERROR(GETPIVOTDATA((CONCATENATE("Sum of ", E$8)),'h4'!$A$3,"ReportingLevel","1:LA","lvl",$B29),0)</f>
        <v>0</v>
      </c>
      <c r="F29" s="653">
        <f>IFERROR(GETPIVOTDATA((CONCATENATE("Sum of ", F$8)),'h4'!$A$3,"ReportingLevel","1:LA","lvl",$B29),0)</f>
        <v>0</v>
      </c>
      <c r="G29" s="82">
        <f>IFERROR(GETPIVOTDATA((CONCATENATE("Sum of ", G$8)),'h4'!$A$3,"ReportingLevel","1:LA","lvl",$B29),0)</f>
        <v>5</v>
      </c>
      <c r="H29" s="82">
        <f>IFERROR(GETPIVOTDATA((CONCATENATE("Sum of ", H$8)),'h4'!$A$3,"ReportingLevel","1:LA","lvl",$B29),0)</f>
        <v>4</v>
      </c>
      <c r="I29" s="82">
        <f>IFERROR(GETPIVOTDATA((CONCATENATE("Sum of ", I$8)),'h4'!$A$3,"ReportingLevel","1:LA","lvl",$B29),0)</f>
        <v>17</v>
      </c>
      <c r="J29" s="83">
        <f t="shared" si="1"/>
        <v>26</v>
      </c>
    </row>
    <row r="30" spans="1:10" x14ac:dyDescent="0.25">
      <c r="A30" s="573" t="s">
        <v>292</v>
      </c>
      <c r="B30" s="58" t="s">
        <v>47</v>
      </c>
      <c r="C30" s="653">
        <f>IFERROR(GETPIVOTDATA((CONCATENATE("Sum of ", C$8)),'h4'!$A$3,"ReportingLevel","1:LA","lvl",$B30),0)</f>
        <v>0</v>
      </c>
      <c r="D30" s="653">
        <f>IFERROR(GETPIVOTDATA((CONCATENATE("Sum of ", D$8)),'h4'!$A$3,"ReportingLevel","1:LA","lvl",$B30),0)</f>
        <v>0</v>
      </c>
      <c r="E30" s="653">
        <f>IFERROR(GETPIVOTDATA((CONCATENATE("Sum of ", E$8)),'h4'!$A$3,"ReportingLevel","1:LA","lvl",$B30),0)</f>
        <v>0</v>
      </c>
      <c r="F30" s="653">
        <f>IFERROR(GETPIVOTDATA((CONCATENATE("Sum of ", F$8)),'h4'!$A$3,"ReportingLevel","1:LA","lvl",$B30),0)</f>
        <v>0</v>
      </c>
      <c r="G30" s="82">
        <f>IFERROR(GETPIVOTDATA((CONCATENATE("Sum of ", G$8)),'h4'!$A$3,"ReportingLevel","1:LA","lvl",$B30),0)</f>
        <v>5</v>
      </c>
      <c r="H30" s="82">
        <f>IFERROR(GETPIVOTDATA((CONCATENATE("Sum of ", H$8)),'h4'!$A$3,"ReportingLevel","1:LA","lvl",$B30),0)</f>
        <v>5</v>
      </c>
      <c r="I30" s="82">
        <f>IFERROR(GETPIVOTDATA((CONCATENATE("Sum of ", I$8)),'h4'!$A$3,"ReportingLevel","1:LA","lvl",$B30),0)</f>
        <v>20</v>
      </c>
      <c r="J30" s="83">
        <f t="shared" si="1"/>
        <v>30</v>
      </c>
    </row>
    <row r="31" spans="1:10" x14ac:dyDescent="0.25">
      <c r="A31" s="573" t="s">
        <v>287</v>
      </c>
      <c r="B31" s="58" t="s">
        <v>48</v>
      </c>
      <c r="C31" s="653">
        <f>IFERROR(GETPIVOTDATA((CONCATENATE("Sum of ", C$8)),'h4'!$A$3,"ReportingLevel","1:LA","lvl",$B31),0)</f>
        <v>0</v>
      </c>
      <c r="D31" s="653">
        <f>IFERROR(GETPIVOTDATA((CONCATENATE("Sum of ", D$8)),'h4'!$A$3,"ReportingLevel","1:LA","lvl",$B31),0)</f>
        <v>0</v>
      </c>
      <c r="E31" s="653">
        <f>IFERROR(GETPIVOTDATA((CONCATENATE("Sum of ", E$8)),'h4'!$A$3,"ReportingLevel","1:LA","lvl",$B31),0)</f>
        <v>0</v>
      </c>
      <c r="F31" s="653">
        <f>IFERROR(GETPIVOTDATA((CONCATENATE("Sum of ", F$8)),'h4'!$A$3,"ReportingLevel","1:LA","lvl",$B31),0)</f>
        <v>0</v>
      </c>
      <c r="G31" s="82">
        <f>IFERROR(GETPIVOTDATA((CONCATENATE("Sum of ", G$8)),'h4'!$A$3,"ReportingLevel","1:LA","lvl",$B31),0)</f>
        <v>0</v>
      </c>
      <c r="H31" s="82">
        <f>IFERROR(GETPIVOTDATA((CONCATENATE("Sum of ", H$8)),'h4'!$A$3,"ReportingLevel","1:LA","lvl",$B31),0)</f>
        <v>0</v>
      </c>
      <c r="I31" s="82">
        <f>IFERROR(GETPIVOTDATA((CONCATENATE("Sum of ", I$8)),'h4'!$A$3,"ReportingLevel","1:LA","lvl",$B31),0)</f>
        <v>0</v>
      </c>
      <c r="J31" s="83">
        <f t="shared" si="1"/>
        <v>0</v>
      </c>
    </row>
    <row r="32" spans="1:10" x14ac:dyDescent="0.25">
      <c r="A32" s="573" t="s">
        <v>293</v>
      </c>
      <c r="B32" s="58" t="s">
        <v>49</v>
      </c>
      <c r="C32" s="653">
        <f>IFERROR(GETPIVOTDATA((CONCATENATE("Sum of ", C$8)),'h4'!$A$3,"ReportingLevel","1:LA","lvl",$B32),0)</f>
        <v>0</v>
      </c>
      <c r="D32" s="653">
        <f>IFERROR(GETPIVOTDATA((CONCATENATE("Sum of ", D$8)),'h4'!$A$3,"ReportingLevel","1:LA","lvl",$B32),0)</f>
        <v>0</v>
      </c>
      <c r="E32" s="653">
        <f>IFERROR(GETPIVOTDATA((CONCATENATE("Sum of ", E$8)),'h4'!$A$3,"ReportingLevel","1:LA","lvl",$B32),0)</f>
        <v>0</v>
      </c>
      <c r="F32" s="653">
        <f>IFERROR(GETPIVOTDATA((CONCATENATE("Sum of ", F$8)),'h4'!$A$3,"ReportingLevel","1:LA","lvl",$B32),0)</f>
        <v>0</v>
      </c>
      <c r="G32" s="82">
        <f>IFERROR(GETPIVOTDATA((CONCATENATE("Sum of ", G$8)),'h4'!$A$3,"ReportingLevel","1:LA","lvl",$B32),0)</f>
        <v>15</v>
      </c>
      <c r="H32" s="82">
        <f>IFERROR(GETPIVOTDATA((CONCATENATE("Sum of ", H$8)),'h4'!$A$3,"ReportingLevel","1:LA","lvl",$B32),0)</f>
        <v>15</v>
      </c>
      <c r="I32" s="82">
        <f>IFERROR(GETPIVOTDATA((CONCATENATE("Sum of ", I$8)),'h4'!$A$3,"ReportingLevel","1:LA","lvl",$B32),0)</f>
        <v>45</v>
      </c>
      <c r="J32" s="83">
        <f t="shared" si="1"/>
        <v>75</v>
      </c>
    </row>
    <row r="33" spans="1:10" x14ac:dyDescent="0.25">
      <c r="A33" s="573" t="str">
        <f>IF(A9="2019-20","S12000050","S12000044")</f>
        <v>S12000050</v>
      </c>
      <c r="B33" s="58" t="s">
        <v>50</v>
      </c>
      <c r="C33" s="653">
        <f>IFERROR(GETPIVOTDATA((CONCATENATE("Sum of ", C$8)),'h4'!$A$3,"ReportingLevel","1:LA","lvl",$B33),0)</f>
        <v>0</v>
      </c>
      <c r="D33" s="653">
        <f>IFERROR(GETPIVOTDATA((CONCATENATE("Sum of ", D$8)),'h4'!$A$3,"ReportingLevel","1:LA","lvl",$B33),0)</f>
        <v>0</v>
      </c>
      <c r="E33" s="653">
        <f>IFERROR(GETPIVOTDATA((CONCATENATE("Sum of ", E$8)),'h4'!$A$3,"ReportingLevel","1:LA","lvl",$B33),0)</f>
        <v>0</v>
      </c>
      <c r="F33" s="653">
        <f>IFERROR(GETPIVOTDATA((CONCATENATE("Sum of ", F$8)),'h4'!$A$3,"ReportingLevel","1:LA","lvl",$B33),0)</f>
        <v>0</v>
      </c>
      <c r="G33" s="82">
        <f>IFERROR(GETPIVOTDATA((CONCATENATE("Sum of ", G$8)),'h4'!$A$3,"ReportingLevel","1:LA","lvl",$B33),0)</f>
        <v>21</v>
      </c>
      <c r="H33" s="82">
        <f>IFERROR(GETPIVOTDATA((CONCATENATE("Sum of ", H$8)),'h4'!$A$3,"ReportingLevel","1:LA","lvl",$B33),0)</f>
        <v>37</v>
      </c>
      <c r="I33" s="82">
        <f>IFERROR(GETPIVOTDATA((CONCATENATE("Sum of ", I$8)),'h4'!$A$3,"ReportingLevel","1:LA","lvl",$B33),0)</f>
        <v>105</v>
      </c>
      <c r="J33" s="83">
        <f t="shared" si="1"/>
        <v>163</v>
      </c>
    </row>
    <row r="34" spans="1:10" x14ac:dyDescent="0.25">
      <c r="A34" s="573" t="s">
        <v>294</v>
      </c>
      <c r="B34" s="58" t="s">
        <v>51</v>
      </c>
      <c r="C34" s="653">
        <f>IFERROR(GETPIVOTDATA((CONCATENATE("Sum of ", C$8)),'h4'!$A$3,"ReportingLevel","1:LA","lvl",$B34),0)</f>
        <v>0</v>
      </c>
      <c r="D34" s="653">
        <f>IFERROR(GETPIVOTDATA((CONCATENATE("Sum of ", D$8)),'h4'!$A$3,"ReportingLevel","1:LA","lvl",$B34),0)</f>
        <v>0</v>
      </c>
      <c r="E34" s="653">
        <f>IFERROR(GETPIVOTDATA((CONCATENATE("Sum of ", E$8)),'h4'!$A$3,"ReportingLevel","1:LA","lvl",$B34),0)</f>
        <v>0</v>
      </c>
      <c r="F34" s="653">
        <f>IFERROR(GETPIVOTDATA((CONCATENATE("Sum of ", F$8)),'h4'!$A$3,"ReportingLevel","1:LA","lvl",$B34),0)</f>
        <v>0</v>
      </c>
      <c r="G34" s="82">
        <f>IFERROR(GETPIVOTDATA((CONCATENATE("Sum of ", G$8)),'h4'!$A$3,"ReportingLevel","1:LA","lvl",$B34),0)</f>
        <v>0</v>
      </c>
      <c r="H34" s="82">
        <f>IFERROR(GETPIVOTDATA((CONCATENATE("Sum of ", H$8)),'h4'!$A$3,"ReportingLevel","1:LA","lvl",$B34),0)</f>
        <v>0</v>
      </c>
      <c r="I34" s="82">
        <f>IFERROR(GETPIVOTDATA((CONCATENATE("Sum of ", I$8)),'h4'!$A$3,"ReportingLevel","1:LA","lvl",$B34),0)</f>
        <v>0</v>
      </c>
      <c r="J34" s="83">
        <f t="shared" si="1"/>
        <v>0</v>
      </c>
    </row>
    <row r="35" spans="1:10" x14ac:dyDescent="0.25">
      <c r="A35" s="573" t="s">
        <v>295</v>
      </c>
      <c r="B35" s="58" t="s">
        <v>52</v>
      </c>
      <c r="C35" s="653">
        <f>IFERROR(GETPIVOTDATA((CONCATENATE("Sum of ", C$8)),'h4'!$A$3,"ReportingLevel","1:LA","lvl",$B35),0)</f>
        <v>0</v>
      </c>
      <c r="D35" s="653">
        <f>IFERROR(GETPIVOTDATA((CONCATENATE("Sum of ", D$8)),'h4'!$A$3,"ReportingLevel","1:LA","lvl",$B35),0)</f>
        <v>0</v>
      </c>
      <c r="E35" s="653">
        <f>IFERROR(GETPIVOTDATA((CONCATENATE("Sum of ", E$8)),'h4'!$A$3,"ReportingLevel","1:LA","lvl",$B35),0)</f>
        <v>0</v>
      </c>
      <c r="F35" s="653">
        <f>IFERROR(GETPIVOTDATA((CONCATENATE("Sum of ", F$8)),'h4'!$A$3,"ReportingLevel","1:LA","lvl",$B35),0)</f>
        <v>0</v>
      </c>
      <c r="G35" s="82">
        <f>IFERROR(GETPIVOTDATA((CONCATENATE("Sum of ", G$8)),'h4'!$A$3,"ReportingLevel","1:LA","lvl",$B35),0)</f>
        <v>5</v>
      </c>
      <c r="H35" s="82">
        <f>IFERROR(GETPIVOTDATA((CONCATENATE("Sum of ", H$8)),'h4'!$A$3,"ReportingLevel","1:LA","lvl",$B35),0)</f>
        <v>10</v>
      </c>
      <c r="I35" s="82">
        <f>IFERROR(GETPIVOTDATA((CONCATENATE("Sum of ", I$8)),'h4'!$A$3,"ReportingLevel","1:LA","lvl",$B35),0)</f>
        <v>52</v>
      </c>
      <c r="J35" s="83">
        <f t="shared" si="1"/>
        <v>67</v>
      </c>
    </row>
    <row r="36" spans="1:10" x14ac:dyDescent="0.25">
      <c r="A36" s="573" t="s">
        <v>305</v>
      </c>
      <c r="B36" s="58" t="s">
        <v>53</v>
      </c>
      <c r="C36" s="653">
        <f>IFERROR(GETPIVOTDATA((CONCATENATE("Sum of ", C$8)),'h4'!$A$3,"ReportingLevel","1:LA","lvl",$B36),0)</f>
        <v>0</v>
      </c>
      <c r="D36" s="653">
        <f>IFERROR(GETPIVOTDATA((CONCATENATE("Sum of ", D$8)),'h4'!$A$3,"ReportingLevel","1:LA","lvl",$B36),0)</f>
        <v>0</v>
      </c>
      <c r="E36" s="653">
        <f>IFERROR(GETPIVOTDATA((CONCATENATE("Sum of ", E$8)),'h4'!$A$3,"ReportingLevel","1:LA","lvl",$B36),0)</f>
        <v>0</v>
      </c>
      <c r="F36" s="653">
        <f>IFERROR(GETPIVOTDATA((CONCATENATE("Sum of ", F$8)),'h4'!$A$3,"ReportingLevel","1:LA","lvl",$B36),0)</f>
        <v>0</v>
      </c>
      <c r="G36" s="82">
        <f>IFERROR(GETPIVOTDATA((CONCATENATE("Sum of ", G$8)),'h4'!$A$3,"ReportingLevel","1:LA","lvl",$B36),0)</f>
        <v>15</v>
      </c>
      <c r="H36" s="82">
        <f>IFERROR(GETPIVOTDATA((CONCATENATE("Sum of ", H$8)),'h4'!$A$3,"ReportingLevel","1:LA","lvl",$B36),0)</f>
        <v>21</v>
      </c>
      <c r="I36" s="82">
        <f>IFERROR(GETPIVOTDATA((CONCATENATE("Sum of ", I$8)),'h4'!$A$3,"ReportingLevel","1:LA","lvl",$B36),0)</f>
        <v>66</v>
      </c>
      <c r="J36" s="83">
        <f t="shared" si="1"/>
        <v>102</v>
      </c>
    </row>
    <row r="37" spans="1:10" x14ac:dyDescent="0.25">
      <c r="A37" s="573" t="s">
        <v>296</v>
      </c>
      <c r="B37" s="58" t="s">
        <v>54</v>
      </c>
      <c r="C37" s="653">
        <f>IFERROR(GETPIVOTDATA((CONCATENATE("Sum of ", C$8)),'h4'!$A$3,"ReportingLevel","1:LA","lvl",$B37),0)</f>
        <v>0</v>
      </c>
      <c r="D37" s="653">
        <f>IFERROR(GETPIVOTDATA((CONCATENATE("Sum of ", D$8)),'h4'!$A$3,"ReportingLevel","1:LA","lvl",$B37),0)</f>
        <v>0</v>
      </c>
      <c r="E37" s="653">
        <f>IFERROR(GETPIVOTDATA((CONCATENATE("Sum of ", E$8)),'h4'!$A$3,"ReportingLevel","1:LA","lvl",$B37),0)</f>
        <v>0</v>
      </c>
      <c r="F37" s="653">
        <f>IFERROR(GETPIVOTDATA((CONCATENATE("Sum of ", F$8)),'h4'!$A$3,"ReportingLevel","1:LA","lvl",$B37),0)</f>
        <v>0</v>
      </c>
      <c r="G37" s="82">
        <f>IFERROR(GETPIVOTDATA((CONCATENATE("Sum of ", G$8)),'h4'!$A$3,"ReportingLevel","1:LA","lvl",$B37),0)</f>
        <v>10</v>
      </c>
      <c r="H37" s="82">
        <f>IFERROR(GETPIVOTDATA((CONCATENATE("Sum of ", H$8)),'h4'!$A$3,"ReportingLevel","1:LA","lvl",$B37),0)</f>
        <v>10</v>
      </c>
      <c r="I37" s="82">
        <f>IFERROR(GETPIVOTDATA((CONCATENATE("Sum of ", I$8)),'h4'!$A$3,"ReportingLevel","1:LA","lvl",$B37),0)</f>
        <v>33</v>
      </c>
      <c r="J37" s="83">
        <f t="shared" si="1"/>
        <v>53</v>
      </c>
    </row>
    <row r="38" spans="1:10" x14ac:dyDescent="0.25">
      <c r="A38" s="573" t="s">
        <v>297</v>
      </c>
      <c r="B38" s="58" t="s">
        <v>55</v>
      </c>
      <c r="C38" s="653">
        <f>IFERROR(GETPIVOTDATA((CONCATENATE("Sum of ", C$8)),'h4'!$A$3,"ReportingLevel","1:LA","lvl",$B38),0)</f>
        <v>0</v>
      </c>
      <c r="D38" s="653">
        <f>IFERROR(GETPIVOTDATA((CONCATENATE("Sum of ", D$8)),'h4'!$A$3,"ReportingLevel","1:LA","lvl",$B38),0)</f>
        <v>0</v>
      </c>
      <c r="E38" s="653">
        <f>IFERROR(GETPIVOTDATA((CONCATENATE("Sum of ", E$8)),'h4'!$A$3,"ReportingLevel","1:LA","lvl",$B38),0)</f>
        <v>0</v>
      </c>
      <c r="F38" s="653">
        <f>IFERROR(GETPIVOTDATA((CONCATENATE("Sum of ", F$8)),'h4'!$A$3,"ReportingLevel","1:LA","lvl",$B38),0)</f>
        <v>0</v>
      </c>
      <c r="G38" s="82">
        <f>IFERROR(GETPIVOTDATA((CONCATENATE("Sum of ", G$8)),'h4'!$A$3,"ReportingLevel","1:LA","lvl",$B38),0)</f>
        <v>0</v>
      </c>
      <c r="H38" s="82">
        <f>IFERROR(GETPIVOTDATA((CONCATENATE("Sum of ", H$8)),'h4'!$A$3,"ReportingLevel","1:LA","lvl",$B38),0)</f>
        <v>0</v>
      </c>
      <c r="I38" s="82">
        <f>IFERROR(GETPIVOTDATA((CONCATENATE("Sum of ", I$8)),'h4'!$A$3,"ReportingLevel","1:LA","lvl",$B38),0)</f>
        <v>0</v>
      </c>
      <c r="J38" s="83">
        <v>0</v>
      </c>
    </row>
    <row r="39" spans="1:10" x14ac:dyDescent="0.25">
      <c r="A39" s="573" t="s">
        <v>298</v>
      </c>
      <c r="B39" s="58" t="s">
        <v>56</v>
      </c>
      <c r="C39" s="653">
        <f>IFERROR(GETPIVOTDATA((CONCATENATE("Sum of ", C$8)),'h4'!$A$3,"ReportingLevel","1:LA","lvl",$B39),0)</f>
        <v>0</v>
      </c>
      <c r="D39" s="653">
        <f>IFERROR(GETPIVOTDATA((CONCATENATE("Sum of ", D$8)),'h4'!$A$3,"ReportingLevel","1:LA","lvl",$B39),0)</f>
        <v>0</v>
      </c>
      <c r="E39" s="653">
        <f>IFERROR(GETPIVOTDATA((CONCATENATE("Sum of ", E$8)),'h4'!$A$3,"ReportingLevel","1:LA","lvl",$B39),0)</f>
        <v>0</v>
      </c>
      <c r="F39" s="653">
        <f>IFERROR(GETPIVOTDATA((CONCATENATE("Sum of ", F$8)),'h4'!$A$3,"ReportingLevel","1:LA","lvl",$B39),0)</f>
        <v>0</v>
      </c>
      <c r="G39" s="82">
        <f>IFERROR(GETPIVOTDATA((CONCATENATE("Sum of ", G$8)),'h4'!$A$3,"ReportingLevel","1:LA","lvl",$B39),0)</f>
        <v>5</v>
      </c>
      <c r="H39" s="82">
        <f>IFERROR(GETPIVOTDATA((CONCATENATE("Sum of ", H$8)),'h4'!$A$3,"ReportingLevel","1:LA","lvl",$B39),0)</f>
        <v>9</v>
      </c>
      <c r="I39" s="82">
        <f>IFERROR(GETPIVOTDATA((CONCATENATE("Sum of ", I$8)),'h4'!$A$3,"ReportingLevel","1:LA","lvl",$B39),0)</f>
        <v>36</v>
      </c>
      <c r="J39" s="83">
        <f>SUM(C39:I39)</f>
        <v>50</v>
      </c>
    </row>
    <row r="40" spans="1:10" x14ac:dyDescent="0.25">
      <c r="A40" s="573" t="s">
        <v>299</v>
      </c>
      <c r="B40" s="58" t="s">
        <v>57</v>
      </c>
      <c r="C40" s="653">
        <f>IFERROR(GETPIVOTDATA((CONCATENATE("Sum of ", C$8)),'h4'!$A$3,"ReportingLevel","1:LA","lvl",$B40),0)</f>
        <v>0</v>
      </c>
      <c r="D40" s="653">
        <f>IFERROR(GETPIVOTDATA((CONCATENATE("Sum of ", D$8)),'h4'!$A$3,"ReportingLevel","1:LA","lvl",$B40),0)</f>
        <v>0</v>
      </c>
      <c r="E40" s="653">
        <f>IFERROR(GETPIVOTDATA((CONCATENATE("Sum of ", E$8)),'h4'!$A$3,"ReportingLevel","1:LA","lvl",$B40),0)</f>
        <v>0</v>
      </c>
      <c r="F40" s="653">
        <f>IFERROR(GETPIVOTDATA((CONCATENATE("Sum of ", F$8)),'h4'!$A$3,"ReportingLevel","1:LA","lvl",$B40),0)</f>
        <v>0</v>
      </c>
      <c r="G40" s="82">
        <f>IFERROR(GETPIVOTDATA((CONCATENATE("Sum of ", G$8)),'h4'!$A$3,"ReportingLevel","1:LA","lvl",$B40),0)</f>
        <v>20</v>
      </c>
      <c r="H40" s="82">
        <f>IFERROR(GETPIVOTDATA((CONCATENATE("Sum of ", H$8)),'h4'!$A$3,"ReportingLevel","1:LA","lvl",$B40),0)</f>
        <v>37</v>
      </c>
      <c r="I40" s="82">
        <f>IFERROR(GETPIVOTDATA((CONCATENATE("Sum of ", I$8)),'h4'!$A$3,"ReportingLevel","1:LA","lvl",$B40),0)</f>
        <v>111</v>
      </c>
      <c r="J40" s="83">
        <f>SUM(C40:I40)</f>
        <v>168</v>
      </c>
    </row>
    <row r="41" spans="1:10" x14ac:dyDescent="0.25">
      <c r="A41" s="573" t="s">
        <v>300</v>
      </c>
      <c r="B41" s="58" t="s">
        <v>58</v>
      </c>
      <c r="C41" s="653">
        <f>IFERROR(GETPIVOTDATA((CONCATENATE("Sum of ", C$8)),'h4'!$A$3,"ReportingLevel","1:LA","lvl",$B41),0)</f>
        <v>0</v>
      </c>
      <c r="D41" s="653">
        <f>IFERROR(GETPIVOTDATA((CONCATENATE("Sum of ", D$8)),'h4'!$A$3,"ReportingLevel","1:LA","lvl",$B41),0)</f>
        <v>0</v>
      </c>
      <c r="E41" s="653">
        <f>IFERROR(GETPIVOTDATA((CONCATENATE("Sum of ", E$8)),'h4'!$A$3,"ReportingLevel","1:LA","lvl",$B41),0)</f>
        <v>0</v>
      </c>
      <c r="F41" s="653">
        <f>IFERROR(GETPIVOTDATA((CONCATENATE("Sum of ", F$8)),'h4'!$A$3,"ReportingLevel","1:LA","lvl",$B41),0)</f>
        <v>0</v>
      </c>
      <c r="G41" s="82">
        <f>IFERROR(GETPIVOTDATA((CONCATENATE("Sum of ", G$8)),'h4'!$A$3,"ReportingLevel","1:LA","lvl",$B41),0)</f>
        <v>5</v>
      </c>
      <c r="H41" s="82">
        <f>IFERROR(GETPIVOTDATA((CONCATENATE("Sum of ", H$8)),'h4'!$A$3,"ReportingLevel","1:LA","lvl",$B41),0)</f>
        <v>10</v>
      </c>
      <c r="I41" s="82">
        <f>IFERROR(GETPIVOTDATA((CONCATENATE("Sum of ", I$8)),'h4'!$A$3,"ReportingLevel","1:LA","lvl",$B41),0)</f>
        <v>36</v>
      </c>
      <c r="J41" s="83">
        <f>SUM(C41:I41)</f>
        <v>51</v>
      </c>
    </row>
    <row r="42" spans="1:10" x14ac:dyDescent="0.25">
      <c r="A42" s="573" t="s">
        <v>306</v>
      </c>
      <c r="B42" s="58" t="s">
        <v>59</v>
      </c>
      <c r="C42" s="653">
        <f>IFERROR(GETPIVOTDATA((CONCATENATE("Sum of ", C$8)),'h4'!$A$3,"ReportingLevel","1:LA","lvl",$B42),0)</f>
        <v>0</v>
      </c>
      <c r="D42" s="653">
        <f>IFERROR(GETPIVOTDATA((CONCATENATE("Sum of ", D$8)),'h4'!$A$3,"ReportingLevel","1:LA","lvl",$B42),0)</f>
        <v>0</v>
      </c>
      <c r="E42" s="653">
        <f>IFERROR(GETPIVOTDATA((CONCATENATE("Sum of ", E$8)),'h4'!$A$3,"ReportingLevel","1:LA","lvl",$B42),0)</f>
        <v>0</v>
      </c>
      <c r="F42" s="653">
        <f>IFERROR(GETPIVOTDATA((CONCATENATE("Sum of ", F$8)),'h4'!$A$3,"ReportingLevel","1:LA","lvl",$B42),0)</f>
        <v>0</v>
      </c>
      <c r="G42" s="82">
        <f>IFERROR(GETPIVOTDATA((CONCATENATE("Sum of ", G$8)),'h4'!$A$3,"ReportingLevel","1:LA","lvl",$B42),0)</f>
        <v>10</v>
      </c>
      <c r="H42" s="82">
        <f>IFERROR(GETPIVOTDATA((CONCATENATE("Sum of ", H$8)),'h4'!$A$3,"ReportingLevel","1:LA","lvl",$B42),0)</f>
        <v>15</v>
      </c>
      <c r="I42" s="82">
        <f>IFERROR(GETPIVOTDATA((CONCATENATE("Sum of ", I$8)),'h4'!$A$3,"ReportingLevel","1:LA","lvl",$B42),0)</f>
        <v>48</v>
      </c>
      <c r="J42" s="83">
        <f>SUM(C42:I42)</f>
        <v>73</v>
      </c>
    </row>
    <row r="43" spans="1:10" x14ac:dyDescent="0.25">
      <c r="A43" s="573" t="s">
        <v>307</v>
      </c>
      <c r="B43" s="58" t="s">
        <v>60</v>
      </c>
      <c r="C43" s="653">
        <f>IFERROR(GETPIVOTDATA((CONCATENATE("Sum of ", C$8)),'h4'!$A$3,"ReportingLevel","1:LA","lvl",$B43),0)</f>
        <v>0</v>
      </c>
      <c r="D43" s="653">
        <f>IFERROR(GETPIVOTDATA((CONCATENATE("Sum of ", D$8)),'h4'!$A$3,"ReportingLevel","1:LA","lvl",$B43),0)</f>
        <v>0</v>
      </c>
      <c r="E43" s="653">
        <f>IFERROR(GETPIVOTDATA((CONCATENATE("Sum of ", E$8)),'h4'!$A$3,"ReportingLevel","1:LA","lvl",$B43),0)</f>
        <v>0</v>
      </c>
      <c r="F43" s="653">
        <f>IFERROR(GETPIVOTDATA((CONCATENATE("Sum of ", F$8)),'h4'!$A$3,"ReportingLevel","1:LA","lvl",$B43),0)</f>
        <v>0</v>
      </c>
      <c r="G43" s="82">
        <f>IFERROR(GETPIVOTDATA((CONCATENATE("Sum of ", G$8)),'h4'!$A$3,"ReportingLevel","1:LA","lvl",$B43),0)</f>
        <v>10</v>
      </c>
      <c r="H43" s="82">
        <f>IFERROR(GETPIVOTDATA((CONCATENATE("Sum of ", H$8)),'h4'!$A$3,"ReportingLevel","1:LA","lvl",$B43),0)</f>
        <v>10</v>
      </c>
      <c r="I43" s="82">
        <f>IFERROR(GETPIVOTDATA((CONCATENATE("Sum of ", I$8)),'h4'!$A$3,"ReportingLevel","1:LA","lvl",$B43),0)</f>
        <v>38</v>
      </c>
      <c r="J43" s="83">
        <f>SUM(C43:I43)</f>
        <v>58</v>
      </c>
    </row>
    <row r="44" spans="1:10" ht="19.5" customHeight="1" thickBot="1" x14ac:dyDescent="0.3">
      <c r="A44" s="62"/>
      <c r="B44" s="62" t="s">
        <v>61</v>
      </c>
      <c r="C44" s="654">
        <f t="shared" ref="C44:J44" si="2">SUM(C12:C43)</f>
        <v>0</v>
      </c>
      <c r="D44" s="654">
        <f t="shared" si="2"/>
        <v>0</v>
      </c>
      <c r="E44" s="654">
        <f t="shared" si="2"/>
        <v>0</v>
      </c>
      <c r="F44" s="654">
        <f t="shared" si="2"/>
        <v>0</v>
      </c>
      <c r="G44" s="86">
        <f t="shared" si="2"/>
        <v>376</v>
      </c>
      <c r="H44" s="86">
        <f t="shared" si="2"/>
        <v>597</v>
      </c>
      <c r="I44" s="86">
        <f t="shared" si="2"/>
        <v>1993</v>
      </c>
      <c r="J44" s="86">
        <f t="shared" si="2"/>
        <v>2966</v>
      </c>
    </row>
    <row r="45" spans="1:10" x14ac:dyDescent="0.25">
      <c r="A45" s="64"/>
      <c r="B45" s="64"/>
      <c r="C45" s="87"/>
      <c r="D45" s="87"/>
      <c r="E45" s="87"/>
      <c r="F45" s="66"/>
      <c r="G45" s="66"/>
      <c r="H45" s="66"/>
      <c r="I45" s="66"/>
      <c r="J45" s="51"/>
    </row>
    <row r="46" spans="1:10" x14ac:dyDescent="0.25">
      <c r="A46" s="65" t="s">
        <v>516</v>
      </c>
      <c r="B46" s="65" t="s">
        <v>62</v>
      </c>
      <c r="C46" s="54"/>
      <c r="D46" s="54"/>
      <c r="E46" s="54"/>
      <c r="F46" s="54"/>
      <c r="G46" s="54"/>
      <c r="H46" s="54"/>
      <c r="I46" s="54"/>
      <c r="J46" s="88"/>
    </row>
    <row r="47" spans="1:10" ht="19.5" customHeight="1" x14ac:dyDescent="0.25">
      <c r="A47" s="574" t="s">
        <v>369</v>
      </c>
      <c r="B47" s="67" t="s">
        <v>31</v>
      </c>
      <c r="C47" s="652">
        <f>IFERROR(GETPIVOTDATA((CONCATENATE("Sum of ", C$8)),'h4'!$A$3,"ReportingLevel","2:LSO","lvl",$B47),0)</f>
        <v>0</v>
      </c>
      <c r="D47" s="415">
        <f>IFERROR(GETPIVOTDATA((CONCATENATE("Sum of ", D$8)),'h4'!$A$3,"ReportingLevel","2:LSO","lvl",$B47),0)</f>
        <v>1</v>
      </c>
      <c r="E47" s="415">
        <f>IFERROR(GETPIVOTDATA((CONCATENATE("Sum of ", E$8)),'h4'!$A$3,"ReportingLevel","2:LSO","lvl",$B47),0)</f>
        <v>2</v>
      </c>
      <c r="F47" s="415">
        <f>IFERROR(GETPIVOTDATA((CONCATENATE("Sum of ", F$8)),'h4'!$A$3,"ReportingLevel","2:LSO","lvl",$B47),0)</f>
        <v>3</v>
      </c>
      <c r="G47" s="415">
        <f>IFERROR(GETPIVOTDATA((CONCATENATE("Sum of ", G$8)),'h4'!$A$3,"ReportingLevel","2:LSO","lvl",$B47),0)</f>
        <v>4</v>
      </c>
      <c r="H47" s="415">
        <f>IFERROR(GETPIVOTDATA((CONCATENATE("Sum of ", H$8)),'h4'!$A$3,"ReportingLevel","2:LSO","lvl",$B47),0)</f>
        <v>2</v>
      </c>
      <c r="I47" s="415">
        <f>IFERROR(GETPIVOTDATA((CONCATENATE("Sum of ", I$8)),'h4'!$A$3,"ReportingLevel","2:LSO","lvl",$B47),0)</f>
        <v>1</v>
      </c>
      <c r="J47" s="83">
        <f t="shared" ref="J47:J63" si="3">SUM(C47:I47)</f>
        <v>13</v>
      </c>
    </row>
    <row r="48" spans="1:10" x14ac:dyDescent="0.25">
      <c r="A48" s="575" t="s">
        <v>370</v>
      </c>
      <c r="B48" s="69" t="s">
        <v>63</v>
      </c>
      <c r="C48" s="653">
        <f>IFERROR(GETPIVOTDATA((CONCATENATE("Sum of ", C$8)),'h4'!$A$3,"ReportingLevel","2:LSO","lvl",$B48),0)</f>
        <v>0</v>
      </c>
      <c r="D48" s="82">
        <f>IFERROR(GETPIVOTDATA((CONCATENATE("Sum of ", D$8)),'h4'!$A$3,"ReportingLevel","2:LSO","lvl",$B48),0)</f>
        <v>1</v>
      </c>
      <c r="E48" s="82">
        <f>IFERROR(GETPIVOTDATA((CONCATENATE("Sum of ", E$8)),'h4'!$A$3,"ReportingLevel","2:LSO","lvl",$B48),0)</f>
        <v>3</v>
      </c>
      <c r="F48" s="82">
        <f>IFERROR(GETPIVOTDATA((CONCATENATE("Sum of ", F$8)),'h4'!$A$3,"ReportingLevel","2:LSO","lvl",$B48),0)</f>
        <v>9</v>
      </c>
      <c r="G48" s="82">
        <f>IFERROR(GETPIVOTDATA((CONCATENATE("Sum of ", G$8)),'h4'!$A$3,"ReportingLevel","2:LSO","lvl",$B48),0)</f>
        <v>7</v>
      </c>
      <c r="H48" s="82">
        <f>IFERROR(GETPIVOTDATA((CONCATENATE("Sum of ", H$8)),'h4'!$A$3,"ReportingLevel","2:LSO","lvl",$B48),0)</f>
        <v>4</v>
      </c>
      <c r="I48" s="82">
        <f>IFERROR(GETPIVOTDATA((CONCATENATE("Sum of ", I$8)),'h4'!$A$3,"ReportingLevel","2:LSO","lvl",$B48),0)</f>
        <v>1</v>
      </c>
      <c r="J48" s="83">
        <f t="shared" si="3"/>
        <v>25</v>
      </c>
    </row>
    <row r="49" spans="1:10" ht="15.75" customHeight="1" x14ac:dyDescent="0.25">
      <c r="A49" s="575" t="s">
        <v>372</v>
      </c>
      <c r="B49" s="69" t="s">
        <v>64</v>
      </c>
      <c r="C49" s="653">
        <f>IFERROR(GETPIVOTDATA((CONCATENATE("Sum of ", C$8)),'h4'!$A$3,"ReportingLevel","2:LSO","lvl",$B49),0)</f>
        <v>0</v>
      </c>
      <c r="D49" s="82">
        <f>IFERROR(GETPIVOTDATA((CONCATENATE("Sum of ", D$8)),'h4'!$A$3,"ReportingLevel","2:LSO","lvl",$B49),0)</f>
        <v>1</v>
      </c>
      <c r="E49" s="82">
        <f>IFERROR(GETPIVOTDATA((CONCATENATE("Sum of ", E$8)),'h4'!$A$3,"ReportingLevel","2:LSO","lvl",$B49),0)</f>
        <v>3</v>
      </c>
      <c r="F49" s="82">
        <f>IFERROR(GETPIVOTDATA((CONCATENATE("Sum of ", F$8)),'h4'!$A$3,"ReportingLevel","2:LSO","lvl",$B49),0)</f>
        <v>8</v>
      </c>
      <c r="G49" s="82">
        <f>IFERROR(GETPIVOTDATA((CONCATENATE("Sum of ", G$8)),'h4'!$A$3,"ReportingLevel","2:LSO","lvl",$B49),0)</f>
        <v>7</v>
      </c>
      <c r="H49" s="82">
        <f>IFERROR(GETPIVOTDATA((CONCATENATE("Sum of ", H$8)),'h4'!$A$3,"ReportingLevel","2:LSO","lvl",$B49),0)</f>
        <v>7</v>
      </c>
      <c r="I49" s="82">
        <f>IFERROR(GETPIVOTDATA((CONCATENATE("Sum of ", I$8)),'h4'!$A$3,"ReportingLevel","2:LSO","lvl",$B49),0)</f>
        <v>2</v>
      </c>
      <c r="J49" s="83">
        <f t="shared" si="3"/>
        <v>28</v>
      </c>
    </row>
    <row r="50" spans="1:10" x14ac:dyDescent="0.25">
      <c r="A50" s="575" t="s">
        <v>373</v>
      </c>
      <c r="B50" s="69" t="s">
        <v>36</v>
      </c>
      <c r="C50" s="653">
        <f>IFERROR(GETPIVOTDATA((CONCATENATE("Sum of ", C$8)),'h4'!$A$3,"ReportingLevel","2:LSO","lvl",$B50),0)</f>
        <v>0</v>
      </c>
      <c r="D50" s="82">
        <f>IFERROR(GETPIVOTDATA((CONCATENATE("Sum of ", D$8)),'h4'!$A$3,"ReportingLevel","2:LSO","lvl",$B50),0)</f>
        <v>1</v>
      </c>
      <c r="E50" s="82">
        <f>IFERROR(GETPIVOTDATA((CONCATENATE("Sum of ", E$8)),'h4'!$A$3,"ReportingLevel","2:LSO","lvl",$B50),0)</f>
        <v>2</v>
      </c>
      <c r="F50" s="82">
        <f>IFERROR(GETPIVOTDATA((CONCATENATE("Sum of ", F$8)),'h4'!$A$3,"ReportingLevel","2:LSO","lvl",$B50),0)</f>
        <v>6</v>
      </c>
      <c r="G50" s="82">
        <f>IFERROR(GETPIVOTDATA((CONCATENATE("Sum of ", G$8)),'h4'!$A$3,"ReportingLevel","2:LSO","lvl",$B50),0)</f>
        <v>8</v>
      </c>
      <c r="H50" s="82">
        <f>IFERROR(GETPIVOTDATA((CONCATENATE("Sum of ", H$8)),'h4'!$A$3,"ReportingLevel","2:LSO","lvl",$B50),0)</f>
        <v>3</v>
      </c>
      <c r="I50" s="82">
        <f>IFERROR(GETPIVOTDATA((CONCATENATE("Sum of ", I$8)),'h4'!$A$3,"ReportingLevel","2:LSO","lvl",$B50),0)</f>
        <v>2</v>
      </c>
      <c r="J50" s="83">
        <f t="shared" si="3"/>
        <v>22</v>
      </c>
    </row>
    <row r="51" spans="1:10" x14ac:dyDescent="0.25">
      <c r="A51" s="575" t="s">
        <v>371</v>
      </c>
      <c r="B51" s="69" t="s">
        <v>65</v>
      </c>
      <c r="C51" s="653">
        <f>IFERROR(GETPIVOTDATA((CONCATENATE("Sum of ", C$8)),'h4'!$A$3,"ReportingLevel","2:LSO","lvl",$B51),0)</f>
        <v>0</v>
      </c>
      <c r="D51" s="82">
        <f>IFERROR(GETPIVOTDATA((CONCATENATE("Sum of ", D$8)),'h4'!$A$3,"ReportingLevel","2:LSO","lvl",$B51),0)</f>
        <v>1</v>
      </c>
      <c r="E51" s="82">
        <f>IFERROR(GETPIVOTDATA((CONCATENATE("Sum of ", E$8)),'h4'!$A$3,"ReportingLevel","2:LSO","lvl",$B51),0)</f>
        <v>4</v>
      </c>
      <c r="F51" s="82">
        <f>IFERROR(GETPIVOTDATA((CONCATENATE("Sum of ", F$8)),'h4'!$A$3,"ReportingLevel","2:LSO","lvl",$B51),0)</f>
        <v>9</v>
      </c>
      <c r="G51" s="82">
        <f>IFERROR(GETPIVOTDATA((CONCATENATE("Sum of ", G$8)),'h4'!$A$3,"ReportingLevel","2:LSO","lvl",$B51),0)</f>
        <v>11</v>
      </c>
      <c r="H51" s="82">
        <f>IFERROR(GETPIVOTDATA((CONCATENATE("Sum of ", H$8)),'h4'!$A$3,"ReportingLevel","2:LSO","lvl",$B51),0)</f>
        <v>4</v>
      </c>
      <c r="I51" s="82">
        <f>IFERROR(GETPIVOTDATA((CONCATENATE("Sum of ", I$8)),'h4'!$A$3,"ReportingLevel","2:LSO","lvl",$B51),0)</f>
        <v>2</v>
      </c>
      <c r="J51" s="83">
        <f t="shared" si="3"/>
        <v>31</v>
      </c>
    </row>
    <row r="52" spans="1:10" x14ac:dyDescent="0.25">
      <c r="A52" s="575" t="s">
        <v>374</v>
      </c>
      <c r="B52" s="69" t="s">
        <v>66</v>
      </c>
      <c r="C52" s="653">
        <f>IFERROR(GETPIVOTDATA((CONCATENATE("Sum of ", C$8)),'h4'!$A$3,"ReportingLevel","2:LSO","lvl",$B52),0)</f>
        <v>0</v>
      </c>
      <c r="D52" s="82">
        <f>IFERROR(GETPIVOTDATA((CONCATENATE("Sum of ", D$8)),'h4'!$A$3,"ReportingLevel","2:LSO","lvl",$B52),0)</f>
        <v>1</v>
      </c>
      <c r="E52" s="82">
        <f>IFERROR(GETPIVOTDATA((CONCATENATE("Sum of ", E$8)),'h4'!$A$3,"ReportingLevel","2:LSO","lvl",$B52),0)</f>
        <v>3</v>
      </c>
      <c r="F52" s="82">
        <f>IFERROR(GETPIVOTDATA((CONCATENATE("Sum of ", F$8)),'h4'!$A$3,"ReportingLevel","2:LSO","lvl",$B52),0)</f>
        <v>10</v>
      </c>
      <c r="G52" s="82">
        <f>IFERROR(GETPIVOTDATA((CONCATENATE("Sum of ", G$8)),'h4'!$A$3,"ReportingLevel","2:LSO","lvl",$B52),0)</f>
        <v>8</v>
      </c>
      <c r="H52" s="82">
        <f>IFERROR(GETPIVOTDATA((CONCATENATE("Sum of ", H$8)),'h4'!$A$3,"ReportingLevel","2:LSO","lvl",$B52),0)</f>
        <v>5</v>
      </c>
      <c r="I52" s="82">
        <f>IFERROR(GETPIVOTDATA((CONCATENATE("Sum of ", I$8)),'h4'!$A$3,"ReportingLevel","2:LSO","lvl",$B52),0)</f>
        <v>1</v>
      </c>
      <c r="J52" s="83">
        <f t="shared" si="3"/>
        <v>28</v>
      </c>
    </row>
    <row r="53" spans="1:10" x14ac:dyDescent="0.25">
      <c r="A53" s="575" t="s">
        <v>375</v>
      </c>
      <c r="B53" s="69" t="s">
        <v>67</v>
      </c>
      <c r="C53" s="653">
        <f>IFERROR(GETPIVOTDATA((CONCATENATE("Sum of ", C$8)),'h4'!$A$3,"ReportingLevel","2:LSO","lvl",$B53),0)</f>
        <v>0</v>
      </c>
      <c r="D53" s="82">
        <f>IFERROR(GETPIVOTDATA((CONCATENATE("Sum of ", D$8)),'h4'!$A$3,"ReportingLevel","2:LSO","lvl",$B53),0)</f>
        <v>1</v>
      </c>
      <c r="E53" s="82">
        <f>IFERROR(GETPIVOTDATA((CONCATENATE("Sum of ", E$8)),'h4'!$A$3,"ReportingLevel","2:LSO","lvl",$B53),0)</f>
        <v>3</v>
      </c>
      <c r="F53" s="82">
        <f>IFERROR(GETPIVOTDATA((CONCATENATE("Sum of ", F$8)),'h4'!$A$3,"ReportingLevel","2:LSO","lvl",$B53),0)</f>
        <v>7</v>
      </c>
      <c r="G53" s="82">
        <f>IFERROR(GETPIVOTDATA((CONCATENATE("Sum of ", G$8)),'h4'!$A$3,"ReportingLevel","2:LSO","lvl",$B53),0)</f>
        <v>9</v>
      </c>
      <c r="H53" s="82">
        <f>IFERROR(GETPIVOTDATA((CONCATENATE("Sum of ", H$8)),'h4'!$A$3,"ReportingLevel","2:LSO","lvl",$B53),0)</f>
        <v>5</v>
      </c>
      <c r="I53" s="82">
        <f>IFERROR(GETPIVOTDATA((CONCATENATE("Sum of ", I$8)),'h4'!$A$3,"ReportingLevel","2:LSO","lvl",$B53),0)</f>
        <v>4</v>
      </c>
      <c r="J53" s="83">
        <f t="shared" si="3"/>
        <v>29</v>
      </c>
    </row>
    <row r="54" spans="1:10" x14ac:dyDescent="0.25">
      <c r="A54" s="522" t="s">
        <v>376</v>
      </c>
      <c r="B54" s="69" t="s">
        <v>68</v>
      </c>
      <c r="C54" s="653">
        <f>IFERROR(GETPIVOTDATA((CONCATENATE("Sum of ", C$8)),'h4'!$A$3,"ReportingLevel","2:LSO","lvl",$B54),0)</f>
        <v>0</v>
      </c>
      <c r="D54" s="82">
        <f>IFERROR(GETPIVOTDATA((CONCATENATE("Sum of ", D$8)),'h4'!$A$3,"ReportingLevel","2:LSO","lvl",$B54),0)</f>
        <v>1</v>
      </c>
      <c r="E54" s="82">
        <f>IFERROR(GETPIVOTDATA((CONCATENATE("Sum of ", E$8)),'h4'!$A$3,"ReportingLevel","2:LSO","lvl",$B54),0)</f>
        <v>4</v>
      </c>
      <c r="F54" s="82">
        <f>IFERROR(GETPIVOTDATA((CONCATENATE("Sum of ", F$8)),'h4'!$A$3,"ReportingLevel","2:LSO","lvl",$B54),0)</f>
        <v>4</v>
      </c>
      <c r="G54" s="82">
        <f>IFERROR(GETPIVOTDATA((CONCATENATE("Sum of ", G$8)),'h4'!$A$3,"ReportingLevel","2:LSO","lvl",$B54),0)</f>
        <v>3</v>
      </c>
      <c r="H54" s="82">
        <f>IFERROR(GETPIVOTDATA((CONCATENATE("Sum of ", H$8)),'h4'!$A$3,"ReportingLevel","2:LSO","lvl",$B54),0)</f>
        <v>0</v>
      </c>
      <c r="I54" s="82">
        <f>IFERROR(GETPIVOTDATA((CONCATENATE("Sum of ", I$8)),'h4'!$A$3,"ReportingLevel","2:LSO","lvl",$B54),0)</f>
        <v>1</v>
      </c>
      <c r="J54" s="83">
        <f t="shared" si="3"/>
        <v>13</v>
      </c>
    </row>
    <row r="55" spans="1:10" x14ac:dyDescent="0.25">
      <c r="A55" s="575" t="s">
        <v>377</v>
      </c>
      <c r="B55" s="69" t="s">
        <v>175</v>
      </c>
      <c r="C55" s="653">
        <f>IFERROR(GETPIVOTDATA((CONCATENATE("Sum of ", C$8)),'h4'!$A$3,"ReportingLevel","2:LSO","lvl",$B55),0)</f>
        <v>0</v>
      </c>
      <c r="D55" s="82">
        <f>IFERROR(GETPIVOTDATA((CONCATENATE("Sum of ", D$8)),'h4'!$A$3,"ReportingLevel","2:LSO","lvl",$B55),0)</f>
        <v>1</v>
      </c>
      <c r="E55" s="82">
        <f>IFERROR(GETPIVOTDATA((CONCATENATE("Sum of ", E$8)),'h4'!$A$3,"ReportingLevel","2:LSO","lvl",$B55),0)</f>
        <v>4</v>
      </c>
      <c r="F55" s="82">
        <f>IFERROR(GETPIVOTDATA((CONCATENATE("Sum of ", F$8)),'h4'!$A$3,"ReportingLevel","2:LSO","lvl",$B55),0)</f>
        <v>5</v>
      </c>
      <c r="G55" s="82">
        <f>IFERROR(GETPIVOTDATA((CONCATENATE("Sum of ", G$8)),'h4'!$A$3,"ReportingLevel","2:LSO","lvl",$B55),0)</f>
        <v>10</v>
      </c>
      <c r="H55" s="82">
        <f>IFERROR(GETPIVOTDATA((CONCATENATE("Sum of ", H$8)),'h4'!$A$3,"ReportingLevel","2:LSO","lvl",$B55),0)</f>
        <v>4</v>
      </c>
      <c r="I55" s="82">
        <f>IFERROR(GETPIVOTDATA((CONCATENATE("Sum of ", I$8)),'h4'!$A$3,"ReportingLevel","2:LSO","lvl",$B55),0)</f>
        <v>4</v>
      </c>
      <c r="J55" s="83">
        <f t="shared" si="3"/>
        <v>28</v>
      </c>
    </row>
    <row r="56" spans="1:10" x14ac:dyDescent="0.25">
      <c r="A56" s="575" t="s">
        <v>378</v>
      </c>
      <c r="B56" s="69" t="s">
        <v>69</v>
      </c>
      <c r="C56" s="653">
        <f>IFERROR(GETPIVOTDATA((CONCATENATE("Sum of ", C$8)),'h4'!$A$3,"ReportingLevel","2:LSO","lvl",$B56),0)</f>
        <v>0</v>
      </c>
      <c r="D56" s="82">
        <f>IFERROR(GETPIVOTDATA((CONCATENATE("Sum of ", D$8)),'h4'!$A$3,"ReportingLevel","2:LSO","lvl",$B56),0)</f>
        <v>1</v>
      </c>
      <c r="E56" s="82">
        <f>IFERROR(GETPIVOTDATA((CONCATENATE("Sum of ", E$8)),'h4'!$A$3,"ReportingLevel","2:LSO","lvl",$B56),0)</f>
        <v>2</v>
      </c>
      <c r="F56" s="82">
        <f>IFERROR(GETPIVOTDATA((CONCATENATE("Sum of ", F$8)),'h4'!$A$3,"ReportingLevel","2:LSO","lvl",$B56),0)</f>
        <v>6</v>
      </c>
      <c r="G56" s="82">
        <f>IFERROR(GETPIVOTDATA((CONCATENATE("Sum of ", G$8)),'h4'!$A$3,"ReportingLevel","2:LSO","lvl",$B56),0)</f>
        <v>6</v>
      </c>
      <c r="H56" s="82">
        <f>IFERROR(GETPIVOTDATA((CONCATENATE("Sum of ", H$8)),'h4'!$A$3,"ReportingLevel","2:LSO","lvl",$B56),0)</f>
        <v>2</v>
      </c>
      <c r="I56" s="82">
        <f>IFERROR(GETPIVOTDATA((CONCATENATE("Sum of ", I$8)),'h4'!$A$3,"ReportingLevel","2:LSO","lvl",$B56),0)</f>
        <v>2</v>
      </c>
      <c r="J56" s="83">
        <f t="shared" si="3"/>
        <v>19</v>
      </c>
    </row>
    <row r="57" spans="1:10" x14ac:dyDescent="0.25">
      <c r="A57" s="575" t="str">
        <f>IF(A9&lt;&gt;"2019-20","S39000019","")</f>
        <v/>
      </c>
      <c r="B57" s="437" t="str">
        <f>IF(A9 &lt;&gt; "2019-20", "Fife", "")</f>
        <v/>
      </c>
      <c r="C57" s="653">
        <f>IFERROR(GETPIVOTDATA((CONCATENATE("Sum of ", C$8)),'h4'!$A$3,"ReportingLevel","2:LSO","lvl",$B57),0)</f>
        <v>0</v>
      </c>
      <c r="D57" s="82">
        <f>IFERROR(GETPIVOTDATA((CONCATENATE("Sum of ", D$8)),'h4'!$A$3,"ReportingLevel","2:LSO","lvl",$B57),0)</f>
        <v>0</v>
      </c>
      <c r="E57" s="82">
        <f>IFERROR(GETPIVOTDATA((CONCATENATE("Sum of ", E$8)),'h4'!$A$3,"ReportingLevel","2:LSO","lvl",$B57),0)</f>
        <v>0</v>
      </c>
      <c r="F57" s="82">
        <f>IFERROR(GETPIVOTDATA((CONCATENATE("Sum of ", F$8)),'h4'!$A$3,"ReportingLevel","2:LSO","lvl",$B57),0)</f>
        <v>0</v>
      </c>
      <c r="G57" s="82">
        <f>IFERROR(GETPIVOTDATA((CONCATENATE("Sum of ", G$8)),'h4'!$A$3,"ReportingLevel","2:LSO","lvl",$B57),0)</f>
        <v>0</v>
      </c>
      <c r="H57" s="82">
        <f>IFERROR(GETPIVOTDATA((CONCATENATE("Sum of ", H$8)),'h4'!$A$3,"ReportingLevel","2:LSO","lvl",$B57),0)</f>
        <v>0</v>
      </c>
      <c r="I57" s="82">
        <f>IFERROR(GETPIVOTDATA((CONCATENATE("Sum of ", I$8)),'h4'!$A$3,"ReportingLevel","2:LSO","lvl",$B57),0)</f>
        <v>0</v>
      </c>
      <c r="J57" s="83">
        <f t="shared" si="3"/>
        <v>0</v>
      </c>
    </row>
    <row r="58" spans="1:10" x14ac:dyDescent="0.25">
      <c r="A58" s="575" t="str">
        <f>IF(A9="2018-19","S39000012","S39000020")</f>
        <v>S39000020</v>
      </c>
      <c r="B58" s="69" t="s">
        <v>121</v>
      </c>
      <c r="C58" s="653">
        <f>IFERROR(GETPIVOTDATA((CONCATENATE("Sum of ", C$8)),'h4'!$A$3,"ReportingLevel","2:LSO","lvl",$B58),0)</f>
        <v>0</v>
      </c>
      <c r="D58" s="82">
        <f>IFERROR(GETPIVOTDATA((CONCATENATE("Sum of ", D$8)),'h4'!$A$3,"ReportingLevel","2:LSO","lvl",$B58),0)</f>
        <v>1</v>
      </c>
      <c r="E58" s="82">
        <f>IFERROR(GETPIVOTDATA((CONCATENATE("Sum of ", E$8)),'h4'!$A$3,"ReportingLevel","2:LSO","lvl",$B58),0)</f>
        <v>5</v>
      </c>
      <c r="F58" s="82">
        <f>IFERROR(GETPIVOTDATA((CONCATENATE("Sum of ", F$8)),'h4'!$A$3,"ReportingLevel","2:LSO","lvl",$B58),0)</f>
        <v>10</v>
      </c>
      <c r="G58" s="82">
        <f>IFERROR(GETPIVOTDATA((CONCATENATE("Sum of ", G$8)),'h4'!$A$3,"ReportingLevel","2:LSO","lvl",$B58),0)</f>
        <v>5</v>
      </c>
      <c r="H58" s="82">
        <f>IFERROR(GETPIVOTDATA((CONCATENATE("Sum of ", H$8)),'h4'!$A$3,"ReportingLevel","2:LSO","lvl",$B58),0)</f>
        <v>2</v>
      </c>
      <c r="I58" s="82">
        <f>IFERROR(GETPIVOTDATA((CONCATENATE("Sum of ", I$8)),'h4'!$A$3,"ReportingLevel","2:LSO","lvl",$B58),0)</f>
        <v>2</v>
      </c>
      <c r="J58" s="83">
        <f t="shared" si="3"/>
        <v>25</v>
      </c>
    </row>
    <row r="59" spans="1:10" x14ac:dyDescent="0.25">
      <c r="A59" s="575" t="s">
        <v>379</v>
      </c>
      <c r="B59" s="69" t="s">
        <v>70</v>
      </c>
      <c r="C59" s="653">
        <f>IFERROR(GETPIVOTDATA((CONCATENATE("Sum of ", C$8)),'h4'!$A$3,"ReportingLevel","2:LSO","lvl",$B59),0)</f>
        <v>0</v>
      </c>
      <c r="D59" s="82">
        <f>IFERROR(GETPIVOTDATA((CONCATENATE("Sum of ", D$8)),'h4'!$A$3,"ReportingLevel","2:LSO","lvl",$B59),0)</f>
        <v>1</v>
      </c>
      <c r="E59" s="82">
        <f>IFERROR(GETPIVOTDATA((CONCATENATE("Sum of ", E$8)),'h4'!$A$3,"ReportingLevel","2:LSO","lvl",$B59),0)</f>
        <v>4</v>
      </c>
      <c r="F59" s="82">
        <f>IFERROR(GETPIVOTDATA((CONCATENATE("Sum of ", F$8)),'h4'!$A$3,"ReportingLevel","2:LSO","lvl",$B59),0)</f>
        <v>13</v>
      </c>
      <c r="G59" s="82">
        <f>IFERROR(GETPIVOTDATA((CONCATENATE("Sum of ", G$8)),'h4'!$A$3,"ReportingLevel","2:LSO","lvl",$B59),0)</f>
        <v>11</v>
      </c>
      <c r="H59" s="82">
        <f>IFERROR(GETPIVOTDATA((CONCATENATE("Sum of ", H$8)),'h4'!$A$3,"ReportingLevel","2:LSO","lvl",$B59),0)</f>
        <v>8</v>
      </c>
      <c r="I59" s="82">
        <f>IFERROR(GETPIVOTDATA((CONCATENATE("Sum of ", I$8)),'h4'!$A$3,"ReportingLevel","2:LSO","lvl",$B59),0)</f>
        <v>1</v>
      </c>
      <c r="J59" s="83">
        <f t="shared" si="3"/>
        <v>38</v>
      </c>
    </row>
    <row r="60" spans="1:10" x14ac:dyDescent="0.25">
      <c r="A60" s="575" t="str">
        <f>IF(A9="2018-19","S39000014","S39000021")</f>
        <v>S39000021</v>
      </c>
      <c r="B60" s="69" t="s">
        <v>50</v>
      </c>
      <c r="C60" s="653">
        <f>IFERROR(GETPIVOTDATA((CONCATENATE("Sum of ", C$8)),'h4'!$A$3,"ReportingLevel","2:LSO","lvl",$B60),0)</f>
        <v>0</v>
      </c>
      <c r="D60" s="82">
        <f>IFERROR(GETPIVOTDATA((CONCATENATE("Sum of ", D$8)),'h4'!$A$3,"ReportingLevel","2:LSO","lvl",$B60),0)</f>
        <v>1</v>
      </c>
      <c r="E60" s="82">
        <f>IFERROR(GETPIVOTDATA((CONCATENATE("Sum of ", E$8)),'h4'!$A$3,"ReportingLevel","2:LSO","lvl",$B60),0)</f>
        <v>2</v>
      </c>
      <c r="F60" s="82">
        <f>IFERROR(GETPIVOTDATA((CONCATENATE("Sum of ", F$8)),'h4'!$A$3,"ReportingLevel","2:LSO","lvl",$B60),0)</f>
        <v>5</v>
      </c>
      <c r="G60" s="82">
        <f>IFERROR(GETPIVOTDATA((CONCATENATE("Sum of ", G$8)),'h4'!$A$3,"ReportingLevel","2:LSO","lvl",$B60),0)</f>
        <v>5</v>
      </c>
      <c r="H60" s="82">
        <f>IFERROR(GETPIVOTDATA((CONCATENATE("Sum of ", H$8)),'h4'!$A$3,"ReportingLevel","2:LSO","lvl",$B60),0)</f>
        <v>2</v>
      </c>
      <c r="I60" s="82">
        <f>IFERROR(GETPIVOTDATA((CONCATENATE("Sum of ", I$8)),'h4'!$A$3,"ReportingLevel","2:LSO","lvl",$B60),0)</f>
        <v>1</v>
      </c>
      <c r="J60" s="83">
        <f t="shared" si="3"/>
        <v>16</v>
      </c>
    </row>
    <row r="61" spans="1:10" x14ac:dyDescent="0.25">
      <c r="A61" s="575" t="s">
        <v>380</v>
      </c>
      <c r="B61" s="69" t="s">
        <v>57</v>
      </c>
      <c r="C61" s="653">
        <f>IFERROR(GETPIVOTDATA((CONCATENATE("Sum of ", C$8)),'h4'!$A$3,"ReportingLevel","2:LSO","lvl",$B61),0)</f>
        <v>0</v>
      </c>
      <c r="D61" s="82">
        <f>IFERROR(GETPIVOTDATA((CONCATENATE("Sum of ", D$8)),'h4'!$A$3,"ReportingLevel","2:LSO","lvl",$B61),0)</f>
        <v>1</v>
      </c>
      <c r="E61" s="82">
        <f>IFERROR(GETPIVOTDATA((CONCATENATE("Sum of ", E$8)),'h4'!$A$3,"ReportingLevel","2:LSO","lvl",$B61),0)</f>
        <v>2</v>
      </c>
      <c r="F61" s="82">
        <f>IFERROR(GETPIVOTDATA((CONCATENATE("Sum of ", F$8)),'h4'!$A$3,"ReportingLevel","2:LSO","lvl",$B61),0)</f>
        <v>6</v>
      </c>
      <c r="G61" s="82">
        <f>IFERROR(GETPIVOTDATA((CONCATENATE("Sum of ", G$8)),'h4'!$A$3,"ReportingLevel","2:LSO","lvl",$B61),0)</f>
        <v>4</v>
      </c>
      <c r="H61" s="82">
        <f>IFERROR(GETPIVOTDATA((CONCATENATE("Sum of ", H$8)),'h4'!$A$3,"ReportingLevel","2:LSO","lvl",$B61),0)</f>
        <v>3</v>
      </c>
      <c r="I61" s="82">
        <f>IFERROR(GETPIVOTDATA((CONCATENATE("Sum of ", I$8)),'h4'!$A$3,"ReportingLevel","2:LSO","lvl",$B61),0)</f>
        <v>0</v>
      </c>
      <c r="J61" s="83">
        <f t="shared" si="3"/>
        <v>16</v>
      </c>
    </row>
    <row r="62" spans="1:10" x14ac:dyDescent="0.25">
      <c r="A62" s="575" t="str">
        <f>IF(A9&lt;&gt;"2019-20","S39000016","LSO_E3")</f>
        <v>LSO_E3</v>
      </c>
      <c r="B62" s="437" t="str">
        <f>IF(A9&lt;&gt;"2019-20","Stirling and Clackmannanshire","Stirling, Clackmannanshire and Fife")</f>
        <v>Stirling, Clackmannanshire and Fife</v>
      </c>
      <c r="C62" s="653">
        <f>IFERROR(GETPIVOTDATA((CONCATENATE("Sum of ", C$8)),'h4'!$A$3,"ReportingLevel","2:LSO","lvl",$B62),0)</f>
        <v>0</v>
      </c>
      <c r="D62" s="82">
        <f>IFERROR(GETPIVOTDATA((CONCATENATE("Sum of ", D$8)),'h4'!$A$3,"ReportingLevel","2:LSO","lvl",$B62),0)</f>
        <v>1</v>
      </c>
      <c r="E62" s="82">
        <f>IFERROR(GETPIVOTDATA((CONCATENATE("Sum of ", E$8)),'h4'!$A$3,"ReportingLevel","2:LSO","lvl",$B62),0)</f>
        <v>4</v>
      </c>
      <c r="F62" s="82">
        <f>IFERROR(GETPIVOTDATA((CONCATENATE("Sum of ", F$8)),'h4'!$A$3,"ReportingLevel","2:LSO","lvl",$B62),0)</f>
        <v>12</v>
      </c>
      <c r="G62" s="82">
        <f>IFERROR(GETPIVOTDATA((CONCATENATE("Sum of ", G$8)),'h4'!$A$3,"ReportingLevel","2:LSO","lvl",$B62),0)</f>
        <v>11</v>
      </c>
      <c r="H62" s="82">
        <f>IFERROR(GETPIVOTDATA((CONCATENATE("Sum of ", H$8)),'h4'!$A$3,"ReportingLevel","2:LSO","lvl",$B62),0)</f>
        <v>6</v>
      </c>
      <c r="I62" s="82">
        <f>IFERROR(GETPIVOTDATA((CONCATENATE("Sum of ", I$8)),'h4'!$A$3,"ReportingLevel","2:LSO","lvl",$B62),0)</f>
        <v>4</v>
      </c>
      <c r="J62" s="83">
        <f t="shared" si="3"/>
        <v>38</v>
      </c>
    </row>
    <row r="63" spans="1:10" x14ac:dyDescent="0.25">
      <c r="A63" s="575" t="s">
        <v>381</v>
      </c>
      <c r="B63" s="69" t="s">
        <v>71</v>
      </c>
      <c r="C63" s="653">
        <f>IFERROR(GETPIVOTDATA((CONCATENATE("Sum of ", C$8)),'h4'!$A$3,"ReportingLevel","2:LSO","lvl",$B63),0)</f>
        <v>0</v>
      </c>
      <c r="D63" s="82">
        <f>IFERROR(GETPIVOTDATA((CONCATENATE("Sum of ", D$8)),'h4'!$A$3,"ReportingLevel","2:LSO","lvl",$B63),0)</f>
        <v>1</v>
      </c>
      <c r="E63" s="82">
        <f>IFERROR(GETPIVOTDATA((CONCATENATE("Sum of ", E$8)),'h4'!$A$3,"ReportingLevel","2:LSO","lvl",$B63),0)</f>
        <v>3</v>
      </c>
      <c r="F63" s="82">
        <f>IFERROR(GETPIVOTDATA((CONCATENATE("Sum of ", F$8)),'h4'!$A$3,"ReportingLevel","2:LSO","lvl",$B63),0)</f>
        <v>5</v>
      </c>
      <c r="G63" s="82">
        <f>IFERROR(GETPIVOTDATA((CONCATENATE("Sum of ", G$8)),'h4'!$A$3,"ReportingLevel","2:LSO","lvl",$B63),0)</f>
        <v>4</v>
      </c>
      <c r="H63" s="82">
        <f>IFERROR(GETPIVOTDATA((CONCATENATE("Sum of ", H$8)),'h4'!$A$3,"ReportingLevel","2:LSO","lvl",$B63),0)</f>
        <v>1</v>
      </c>
      <c r="I63" s="82">
        <f>IFERROR(GETPIVOTDATA((CONCATENATE("Sum of ", I$8)),'h4'!$A$3,"ReportingLevel","2:LSO","lvl",$B63),0)</f>
        <v>0</v>
      </c>
      <c r="J63" s="83">
        <f t="shared" si="3"/>
        <v>14</v>
      </c>
    </row>
    <row r="64" spans="1:10" ht="18" customHeight="1" thickBot="1" x14ac:dyDescent="0.3">
      <c r="A64" s="70"/>
      <c r="B64" s="70" t="s">
        <v>72</v>
      </c>
      <c r="C64" s="654">
        <f t="shared" ref="C64:J64" si="4">SUM(C47:C63)</f>
        <v>0</v>
      </c>
      <c r="D64" s="86">
        <f t="shared" si="4"/>
        <v>16</v>
      </c>
      <c r="E64" s="86">
        <f t="shared" si="4"/>
        <v>50</v>
      </c>
      <c r="F64" s="86">
        <f t="shared" si="4"/>
        <v>118</v>
      </c>
      <c r="G64" s="86">
        <f t="shared" si="4"/>
        <v>113</v>
      </c>
      <c r="H64" s="86">
        <f t="shared" si="4"/>
        <v>58</v>
      </c>
      <c r="I64" s="86">
        <f t="shared" si="4"/>
        <v>28</v>
      </c>
      <c r="J64" s="86">
        <f t="shared" si="4"/>
        <v>383</v>
      </c>
    </row>
    <row r="65" spans="1:12" x14ac:dyDescent="0.25">
      <c r="A65" s="64"/>
      <c r="B65" s="64"/>
      <c r="C65" s="90"/>
      <c r="D65" s="51"/>
      <c r="E65" s="51"/>
      <c r="F65" s="51"/>
      <c r="G65" s="51"/>
      <c r="H65" s="51"/>
      <c r="I65" s="51"/>
      <c r="J65" s="51"/>
    </row>
    <row r="66" spans="1:12" x14ac:dyDescent="0.25">
      <c r="A66" s="72" t="s">
        <v>368</v>
      </c>
      <c r="B66" s="72" t="s">
        <v>15</v>
      </c>
      <c r="C66" s="53"/>
      <c r="D66" s="53"/>
      <c r="E66" s="53"/>
      <c r="F66" s="53"/>
      <c r="G66" s="53"/>
      <c r="H66" s="53"/>
      <c r="I66" s="53"/>
      <c r="J66" s="92"/>
    </row>
    <row r="67" spans="1:12" ht="21" customHeight="1" x14ac:dyDescent="0.25">
      <c r="A67" s="725" t="s">
        <v>402</v>
      </c>
      <c r="B67" s="73" t="s">
        <v>174</v>
      </c>
      <c r="C67" s="653">
        <f>IFERROR(GETPIVOTDATA((CONCATENATE("Sum of ", C$8)),'h4'!$A$3,"ReportingLevel","3:SDA","lvl",$B67),0)</f>
        <v>0</v>
      </c>
      <c r="D67" s="82">
        <f>IFERROR(GETPIVOTDATA((CONCATENATE("Sum of ", D$8)),'h4'!$A$3,"ReportingLevel","3:SDA","lvl",$B67),0)</f>
        <v>1</v>
      </c>
      <c r="E67" s="82">
        <f>IFERROR(GETPIVOTDATA((CONCATENATE("Sum of ", E$8)),'h4'!$A$3,"ReportingLevel","3:SDA","lvl",$B67),0)</f>
        <v>4</v>
      </c>
      <c r="F67" s="82">
        <f>IFERROR(GETPIVOTDATA((CONCATENATE("Sum of ", F$8)),'h4'!$A$3,"ReportingLevel","3:SDA","lvl",$B67),0)</f>
        <v>8</v>
      </c>
      <c r="G67" s="82">
        <f>IFERROR(GETPIVOTDATA((CONCATENATE("Sum of ", G$8)),'h4'!$A$3,"ReportingLevel","3:SDA","lvl",$B67),0)</f>
        <v>33</v>
      </c>
      <c r="H67" s="82">
        <f>IFERROR(GETPIVOTDATA((CONCATENATE("Sum of ", H$8)),'h4'!$A$3,"ReportingLevel","3:SDA","lvl",$B67),0)</f>
        <v>6</v>
      </c>
      <c r="I67" s="82">
        <f>IFERROR(GETPIVOTDATA((CONCATENATE("Sum of ", I$8)),'h4'!$A$3,"ReportingLevel","3:SDA","lvl",$B67),0)</f>
        <v>0</v>
      </c>
      <c r="J67" s="83">
        <f>SUM(C67:I67)</f>
        <v>52</v>
      </c>
    </row>
    <row r="68" spans="1:12" x14ac:dyDescent="0.25">
      <c r="A68" s="60" t="s">
        <v>404</v>
      </c>
      <c r="B68" s="58" t="s">
        <v>172</v>
      </c>
      <c r="C68" s="653">
        <f>IFERROR(GETPIVOTDATA((CONCATENATE("Sum of ", C$8)),'h4'!$A$3,"ReportingLevel","3:SDA","lvl",$B68),0)</f>
        <v>0</v>
      </c>
      <c r="D68" s="82">
        <f>IFERROR(GETPIVOTDATA((CONCATENATE("Sum of ", D$8)),'h4'!$A$3,"ReportingLevel","3:SDA","lvl",$B68),0)</f>
        <v>2</v>
      </c>
      <c r="E68" s="82">
        <f>IFERROR(GETPIVOTDATA((CONCATENATE("Sum of ", E$8)),'h4'!$A$3,"ReportingLevel","3:SDA","lvl",$B68),0)</f>
        <v>3</v>
      </c>
      <c r="F68" s="82">
        <f>IFERROR(GETPIVOTDATA((CONCATENATE("Sum of ", F$8)),'h4'!$A$3,"ReportingLevel","3:SDA","lvl",$B68),0)</f>
        <v>7</v>
      </c>
      <c r="G68" s="82">
        <f>IFERROR(GETPIVOTDATA((CONCATENATE("Sum of ", G$8)),'h4'!$A$3,"ReportingLevel","3:SDA","lvl",$B68),0)</f>
        <v>24</v>
      </c>
      <c r="H68" s="82">
        <f>IFERROR(GETPIVOTDATA((CONCATENATE("Sum of ", H$8)),'h4'!$A$3,"ReportingLevel","3:SDA","lvl",$B68),0)</f>
        <v>6</v>
      </c>
      <c r="I68" s="82">
        <f>IFERROR(GETPIVOTDATA((CONCATENATE("Sum of ", I$8)),'h4'!$A$3,"ReportingLevel","3:SDA","lvl",$B68),0)</f>
        <v>0</v>
      </c>
      <c r="J68" s="83">
        <f>SUM(C68:I68)</f>
        <v>42</v>
      </c>
    </row>
    <row r="69" spans="1:12" x14ac:dyDescent="0.25">
      <c r="A69" s="679" t="s">
        <v>403</v>
      </c>
      <c r="B69" s="58" t="s">
        <v>173</v>
      </c>
      <c r="C69" s="653">
        <f>IFERROR(GETPIVOTDATA((CONCATENATE("Sum of ", C$8)),'h4'!$A$3,"ReportingLevel","3:SDA","lvl",$B69),0)</f>
        <v>0</v>
      </c>
      <c r="D69" s="82">
        <f>IFERROR(GETPIVOTDATA((CONCATENATE("Sum of ", D$8)),'h4'!$A$3,"ReportingLevel","3:SDA","lvl",$B69),0)</f>
        <v>3</v>
      </c>
      <c r="E69" s="82">
        <f>IFERROR(GETPIVOTDATA((CONCATENATE("Sum of ", E$8)),'h4'!$A$3,"ReportingLevel","3:SDA","lvl",$B69),0)</f>
        <v>10</v>
      </c>
      <c r="F69" s="82">
        <f>IFERROR(GETPIVOTDATA((CONCATENATE("Sum of ", F$8)),'h4'!$A$3,"ReportingLevel","3:SDA","lvl",$B69),0)</f>
        <v>14</v>
      </c>
      <c r="G69" s="82">
        <f>IFERROR(GETPIVOTDATA((CONCATENATE("Sum of ", G$8)),'h4'!$A$3,"ReportingLevel","3:SDA","lvl",$B69),0)</f>
        <v>55</v>
      </c>
      <c r="H69" s="82">
        <f>IFERROR(GETPIVOTDATA((CONCATENATE("Sum of ", H$8)),'h4'!$A$3,"ReportingLevel","3:SDA","lvl",$B69),0)</f>
        <v>21</v>
      </c>
      <c r="I69" s="82">
        <f>IFERROR(GETPIVOTDATA((CONCATENATE("Sum of ", I$8)),'h4'!$A$3,"ReportingLevel","3:SDA","lvl",$B69),0)</f>
        <v>0</v>
      </c>
      <c r="J69" s="83">
        <f>SUM(C69:I69)</f>
        <v>103</v>
      </c>
    </row>
    <row r="70" spans="1:12" ht="18.75" customHeight="1" thickBot="1" x14ac:dyDescent="0.3">
      <c r="A70" s="75"/>
      <c r="B70" s="75" t="s">
        <v>77</v>
      </c>
      <c r="C70" s="654">
        <f>SUM(C67:C69)</f>
        <v>0</v>
      </c>
      <c r="D70" s="86">
        <f t="shared" ref="D70:J70" si="5">SUM(D67:D69)</f>
        <v>6</v>
      </c>
      <c r="E70" s="86">
        <f t="shared" si="5"/>
        <v>17</v>
      </c>
      <c r="F70" s="86">
        <f t="shared" si="5"/>
        <v>29</v>
      </c>
      <c r="G70" s="86">
        <f t="shared" si="5"/>
        <v>112</v>
      </c>
      <c r="H70" s="86">
        <f t="shared" si="5"/>
        <v>33</v>
      </c>
      <c r="I70" s="86">
        <f t="shared" si="5"/>
        <v>0</v>
      </c>
      <c r="J70" s="86">
        <f t="shared" si="5"/>
        <v>197</v>
      </c>
    </row>
    <row r="71" spans="1:12" x14ac:dyDescent="0.25">
      <c r="A71" s="72" t="s">
        <v>513</v>
      </c>
      <c r="B71" s="64"/>
      <c r="C71" s="54"/>
      <c r="D71" s="54"/>
      <c r="E71" s="54"/>
      <c r="F71" s="54"/>
      <c r="G71" s="54"/>
      <c r="H71" s="54"/>
      <c r="I71" s="54"/>
      <c r="J71" s="81"/>
    </row>
    <row r="72" spans="1:12" ht="15.75" thickBot="1" x14ac:dyDescent="0.3">
      <c r="A72" s="75" t="s">
        <v>382</v>
      </c>
      <c r="B72" s="94" t="s">
        <v>78</v>
      </c>
      <c r="C72" s="416">
        <f>IFERROR(GETPIVOTDATA((CONCATENATE("Sum of ", C$8)),'h4'!$A$3,"ReportingLevel","4:National","lvl","Scotland"),0)</f>
        <v>6</v>
      </c>
      <c r="D72" s="416">
        <f>IFERROR(GETPIVOTDATA((CONCATENATE("Sum of ", D$8)),'h4'!$A$3,"ReportingLevel","4:National","lvl","Scotland"),0)</f>
        <v>9</v>
      </c>
      <c r="E72" s="416">
        <f>IFERROR(GETPIVOTDATA((CONCATENATE("Sum of ", E$8)),'h4'!$A$3,"ReportingLevel","4:National","lvl","Scotland"),0)</f>
        <v>13</v>
      </c>
      <c r="F72" s="416">
        <f>IFERROR(GETPIVOTDATA((CONCATENATE("Sum of ", F$8)),'h4'!$A$3,"ReportingLevel","4:National","lvl","Scotland"),0)</f>
        <v>6</v>
      </c>
      <c r="G72" s="416">
        <f>IFERROR(GETPIVOTDATA((CONCATENATE("Sum of ", G$8)),'h4'!$A$3,"ReportingLevel","4:National","lvl","Scotland"),0)</f>
        <v>7</v>
      </c>
      <c r="H72" s="416">
        <f>IFERROR(GETPIVOTDATA((CONCATENATE("Sum of ", H$8)),'h4'!$A$3,"ReportingLevel","4:National","lvl","Scotland"),0)</f>
        <v>0</v>
      </c>
      <c r="I72" s="416">
        <f>IFERROR(GETPIVOTDATA((CONCATENATE("Sum of ", I$8)),'h4'!$A$3,"ReportingLevel","4:National","lvl","Scotland"),0)</f>
        <v>49</v>
      </c>
      <c r="J72" s="86">
        <f>SUM(C72:I72)</f>
        <v>90</v>
      </c>
    </row>
    <row r="74" spans="1:12" x14ac:dyDescent="0.25">
      <c r="A74" s="509" t="s">
        <v>8</v>
      </c>
      <c r="B74" s="510"/>
      <c r="C74" s="510"/>
      <c r="D74" s="510"/>
      <c r="E74" s="510"/>
      <c r="F74" s="510"/>
      <c r="G74" s="510"/>
      <c r="H74" s="510"/>
      <c r="I74" s="510"/>
    </row>
    <row r="75" spans="1:12" x14ac:dyDescent="0.25">
      <c r="A75" s="506" t="s">
        <v>231</v>
      </c>
      <c r="B75" s="498"/>
      <c r="C75" s="507"/>
      <c r="D75" s="622"/>
      <c r="E75" s="622"/>
      <c r="F75" s="622"/>
      <c r="G75" s="622"/>
      <c r="H75" s="622"/>
      <c r="I75" s="622"/>
    </row>
    <row r="76" spans="1:12" ht="45" customHeight="1" x14ac:dyDescent="0.25">
      <c r="A76" s="1096" t="s">
        <v>974</v>
      </c>
      <c r="B76" s="1096"/>
      <c r="C76" s="1096"/>
      <c r="D76" s="1096"/>
      <c r="E76" s="1096"/>
      <c r="F76" s="1096"/>
      <c r="G76" s="1096"/>
      <c r="H76" s="1096"/>
      <c r="I76" s="1096"/>
    </row>
    <row r="77" spans="1:12" x14ac:dyDescent="0.25">
      <c r="A77" s="552" t="s">
        <v>805</v>
      </c>
      <c r="B77" s="626"/>
      <c r="C77" s="626"/>
      <c r="D77" s="626"/>
      <c r="E77" s="626"/>
      <c r="F77" s="626"/>
      <c r="G77" s="626"/>
      <c r="H77" s="626"/>
      <c r="I77" s="626"/>
      <c r="K77" s="547"/>
      <c r="L77" s="547"/>
    </row>
    <row r="78" spans="1:12" x14ac:dyDescent="0.25">
      <c r="A78" s="506" t="s">
        <v>806</v>
      </c>
      <c r="B78" s="483"/>
      <c r="C78" s="483"/>
      <c r="D78" s="483"/>
      <c r="E78" s="483"/>
      <c r="F78" s="483"/>
      <c r="G78" s="483"/>
      <c r="H78" s="483"/>
      <c r="I78" s="483"/>
    </row>
    <row r="79" spans="1:12" x14ac:dyDescent="0.25">
      <c r="B79" s="483"/>
      <c r="C79" s="483"/>
      <c r="D79" s="483"/>
      <c r="E79" s="483"/>
      <c r="F79" s="483"/>
      <c r="G79" s="483"/>
      <c r="H79" s="483"/>
      <c r="I79" s="483"/>
      <c r="J79" s="483"/>
    </row>
    <row r="80" spans="1:12" x14ac:dyDescent="0.25">
      <c r="J80" s="483"/>
    </row>
  </sheetData>
  <sheetProtection algorithmName="SHA-512" hashValue="6+OOf/Ooeai9NZztcNNERTj9JDvyyRlNAaNcJabhMuKRjN4A/mslDe+Rin47dXO+nlf1FD2ZGElrV+9+ds/iQA==" saltValue="VV7b2SvjH/DPprRNr7CSTg==" spinCount="100000" sheet="1" scenarios="1" formatCells="0" formatColumns="0" formatRows="0" sort="0" autoFilter="0" pivotTables="0"/>
  <mergeCells count="3">
    <mergeCell ref="A1:H1"/>
    <mergeCell ref="A4:J4"/>
    <mergeCell ref="A76:I76"/>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55" orientation="portrait" r:id="rId1"/>
  <drawing r:id="rId2"/>
  <extLst>
    <ext xmlns:x14="http://schemas.microsoft.com/office/spreadsheetml/2009/9/main" uri="{A8765BA9-456A-4dab-B4F3-ACF838C121DE}">
      <x14:slicerList>
        <x14:slicer r:id="rId3"/>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1:I53"/>
  <sheetViews>
    <sheetView showGridLines="0" zoomScaleNormal="100" workbookViewId="0">
      <pane ySplit="2" topLeftCell="A3" activePane="bottomLeft" state="frozen"/>
      <selection pane="bottomLeft" sqref="A1:G1"/>
    </sheetView>
  </sheetViews>
  <sheetFormatPr defaultRowHeight="15" x14ac:dyDescent="0.25"/>
  <cols>
    <col min="1" max="1" width="17" bestFit="1" customWidth="1"/>
    <col min="2" max="2" width="34.7109375" customWidth="1"/>
    <col min="3" max="5" width="13" customWidth="1"/>
    <col min="6" max="6" width="12.7109375" customWidth="1"/>
  </cols>
  <sheetData>
    <row r="1" spans="1:9" ht="15.75" x14ac:dyDescent="0.25">
      <c r="A1" s="1077" t="s">
        <v>505</v>
      </c>
      <c r="B1" s="1077"/>
      <c r="C1" s="1077"/>
      <c r="D1" s="1077"/>
      <c r="E1" s="1077"/>
      <c r="F1" s="1077"/>
      <c r="G1" s="1077"/>
      <c r="H1" s="31"/>
      <c r="I1" s="31"/>
    </row>
    <row r="2" spans="1:9" ht="18" x14ac:dyDescent="0.25">
      <c r="A2" s="772" t="s">
        <v>578</v>
      </c>
      <c r="B2" s="1"/>
      <c r="C2" s="1"/>
      <c r="D2" s="1"/>
      <c r="E2" s="1"/>
      <c r="F2" s="1"/>
      <c r="G2" s="1"/>
      <c r="H2" s="31"/>
      <c r="I2" s="31"/>
    </row>
    <row r="3" spans="1:9" ht="18" x14ac:dyDescent="0.25">
      <c r="A3" s="1"/>
      <c r="B3" s="1"/>
      <c r="C3" s="1"/>
      <c r="D3" s="1"/>
      <c r="E3" s="1"/>
      <c r="F3" s="1"/>
      <c r="G3" s="1"/>
      <c r="H3" s="31"/>
      <c r="I3" s="31"/>
    </row>
    <row r="4" spans="1:9" ht="30.75" customHeight="1" x14ac:dyDescent="0.25">
      <c r="A4" s="1094" t="s">
        <v>534</v>
      </c>
      <c r="B4" s="1094"/>
      <c r="C4" s="1094"/>
      <c r="D4" s="1094"/>
      <c r="E4" s="1094"/>
      <c r="F4" s="1094"/>
    </row>
    <row r="5" spans="1:9" ht="15" customHeight="1" x14ac:dyDescent="0.25">
      <c r="A5" t="s">
        <v>363</v>
      </c>
      <c r="B5" t="s">
        <v>730</v>
      </c>
      <c r="C5" s="624"/>
      <c r="D5" s="624"/>
      <c r="E5" s="624"/>
      <c r="F5" s="624"/>
    </row>
    <row r="6" spans="1:9" ht="15" customHeight="1" x14ac:dyDescent="0.25">
      <c r="A6" t="s">
        <v>364</v>
      </c>
      <c r="B6" t="s">
        <v>366</v>
      </c>
      <c r="C6" s="624"/>
      <c r="D6" s="624"/>
      <c r="E6" s="624"/>
      <c r="F6" s="624"/>
    </row>
    <row r="7" spans="1:9" ht="15" customHeight="1" x14ac:dyDescent="0.25">
      <c r="A7" t="s">
        <v>365</v>
      </c>
      <c r="B7" t="s">
        <v>367</v>
      </c>
      <c r="C7" s="624"/>
      <c r="D7" s="624"/>
      <c r="E7" s="624"/>
      <c r="F7" s="624"/>
    </row>
    <row r="8" spans="1:9" ht="33.75" customHeight="1" x14ac:dyDescent="0.25">
      <c r="A8" s="46" t="s">
        <v>1</v>
      </c>
      <c r="B8" s="46" t="s">
        <v>218</v>
      </c>
      <c r="C8" s="97" t="s">
        <v>971</v>
      </c>
      <c r="D8" s="97" t="s">
        <v>972</v>
      </c>
      <c r="E8" s="97" t="s">
        <v>23</v>
      </c>
      <c r="F8" s="97" t="s">
        <v>26</v>
      </c>
    </row>
    <row r="9" spans="1:9" ht="22.5" customHeight="1" thickBot="1" x14ac:dyDescent="0.3">
      <c r="A9" s="48" t="str">
        <f>h4b!$D$1</f>
        <v>2019-20</v>
      </c>
      <c r="B9" s="48" t="s">
        <v>79</v>
      </c>
      <c r="C9" s="399">
        <f>C44</f>
        <v>262</v>
      </c>
      <c r="D9" s="399">
        <f>D44</f>
        <v>520</v>
      </c>
      <c r="E9" s="399">
        <f>E44</f>
        <v>2155</v>
      </c>
      <c r="F9" s="399">
        <f>F44</f>
        <v>2937</v>
      </c>
    </row>
    <row r="10" spans="1:9" ht="15" customHeight="1" x14ac:dyDescent="0.25">
      <c r="B10" s="49"/>
      <c r="C10" s="394"/>
      <c r="D10" s="394"/>
      <c r="E10" s="394"/>
      <c r="F10" s="394"/>
    </row>
    <row r="11" spans="1:9" ht="13.5" customHeight="1" x14ac:dyDescent="0.25">
      <c r="A11" s="52" t="s">
        <v>515</v>
      </c>
      <c r="B11" s="52" t="s">
        <v>30</v>
      </c>
      <c r="C11" s="400"/>
      <c r="D11" s="400"/>
      <c r="E11" s="400"/>
      <c r="F11" s="400"/>
    </row>
    <row r="12" spans="1:9" ht="24" customHeight="1" x14ac:dyDescent="0.25">
      <c r="A12" s="572" t="s">
        <v>301</v>
      </c>
      <c r="B12" s="55" t="s">
        <v>31</v>
      </c>
      <c r="C12" s="59">
        <f>IFERROR(GETPIVOTDATA((CONCATENATE("Sum of ", C$8)),h4b!$A$1,"ReportingLevel","1:LA","lvl",$B12),0)</f>
        <v>1</v>
      </c>
      <c r="D12" s="59">
        <f>IFERROR(GETPIVOTDATA((CONCATENATE("Sum of ", D$8)),h4b!$A$1,"ReportingLevel","1:LA","lvl",$B12),0)</f>
        <v>3</v>
      </c>
      <c r="E12" s="59">
        <f>IFERROR(GETPIVOTDATA((CONCATENATE("Sum of ", E$8)),h4b!$A$1,"ReportingLevel","1:LA","lvl",$B12),0)</f>
        <v>4</v>
      </c>
      <c r="F12" s="369">
        <f>SUM(C12:E12)</f>
        <v>8</v>
      </c>
    </row>
    <row r="13" spans="1:9" ht="15" customHeight="1" x14ac:dyDescent="0.25">
      <c r="A13" s="573" t="s">
        <v>302</v>
      </c>
      <c r="B13" s="58" t="s">
        <v>32</v>
      </c>
      <c r="C13" s="59">
        <f>IFERROR(GETPIVOTDATA((CONCATENATE("Sum of ", C$8)),h4b!$A$1,"ReportingLevel","1:LA","lvl",$B13),0)</f>
        <v>25</v>
      </c>
      <c r="D13" s="59">
        <f>IFERROR(GETPIVOTDATA((CONCATENATE("Sum of ", D$8)),h4b!$A$1,"ReportingLevel","1:LA","lvl",$B13),0)</f>
        <v>65</v>
      </c>
      <c r="E13" s="59">
        <f>IFERROR(GETPIVOTDATA((CONCATENATE("Sum of ", E$8)),h4b!$A$1,"ReportingLevel","1:LA","lvl",$B13),0)</f>
        <v>195</v>
      </c>
      <c r="F13" s="369">
        <f t="shared" ref="F13:F21" si="0">SUM(C13:E13)</f>
        <v>285</v>
      </c>
    </row>
    <row r="14" spans="1:9" ht="15" customHeight="1" x14ac:dyDescent="0.25">
      <c r="A14" s="573" t="s">
        <v>308</v>
      </c>
      <c r="B14" s="58" t="s">
        <v>33</v>
      </c>
      <c r="C14" s="59">
        <f>IFERROR(GETPIVOTDATA((CONCATENATE("Sum of ", C$8)),h4b!$A$1,"ReportingLevel","1:LA","lvl",$B14),0)</f>
        <v>6</v>
      </c>
      <c r="D14" s="59">
        <f>IFERROR(GETPIVOTDATA((CONCATENATE("Sum of ", D$8)),h4b!$A$1,"ReportingLevel","1:LA","lvl",$B14),0)</f>
        <v>16</v>
      </c>
      <c r="E14" s="59">
        <f>IFERROR(GETPIVOTDATA((CONCATENATE("Sum of ", E$8)),h4b!$A$1,"ReportingLevel","1:LA","lvl",$B14),0)</f>
        <v>81</v>
      </c>
      <c r="F14" s="369">
        <f t="shared" si="0"/>
        <v>103</v>
      </c>
    </row>
    <row r="15" spans="1:9" ht="15" customHeight="1" x14ac:dyDescent="0.25">
      <c r="A15" s="573" t="s">
        <v>303</v>
      </c>
      <c r="B15" s="58" t="s">
        <v>34</v>
      </c>
      <c r="C15" s="59">
        <f>IFERROR(GETPIVOTDATA((CONCATENATE("Sum of ", C$8)),h4b!$A$1,"ReportingLevel","1:LA","lvl",$B15),0)</f>
        <v>13</v>
      </c>
      <c r="D15" s="59">
        <f>IFERROR(GETPIVOTDATA((CONCATENATE("Sum of ", D$8)),h4b!$A$1,"ReportingLevel","1:LA","lvl",$B15),0)</f>
        <v>25</v>
      </c>
      <c r="E15" s="59">
        <f>IFERROR(GETPIVOTDATA((CONCATENATE("Sum of ", E$8)),h4b!$A$1,"ReportingLevel","1:LA","lvl",$B15),0)</f>
        <v>136</v>
      </c>
      <c r="F15" s="369">
        <f t="shared" si="0"/>
        <v>174</v>
      </c>
    </row>
    <row r="16" spans="1:9" ht="15" customHeight="1" x14ac:dyDescent="0.25">
      <c r="A16" s="573" t="s">
        <v>304</v>
      </c>
      <c r="B16" s="58" t="s">
        <v>258</v>
      </c>
      <c r="C16" s="59">
        <f>IFERROR(GETPIVOTDATA((CONCATENATE("Sum of ", C$8)),h4b!$A$1,"ReportingLevel","1:LA","lvl",$B16),0)</f>
        <v>1</v>
      </c>
      <c r="D16" s="59">
        <f>IFERROR(GETPIVOTDATA((CONCATENATE("Sum of ", D$8)),h4b!$A$1,"ReportingLevel","1:LA","lvl",$B16),0)</f>
        <v>2</v>
      </c>
      <c r="E16" s="59">
        <f>IFERROR(GETPIVOTDATA((CONCATENATE("Sum of ", E$8)),h4b!$A$1,"ReportingLevel","1:LA","lvl",$B16),0)</f>
        <v>5</v>
      </c>
      <c r="F16" s="369">
        <f t="shared" si="0"/>
        <v>8</v>
      </c>
    </row>
    <row r="17" spans="1:6" ht="15" customHeight="1" x14ac:dyDescent="0.25">
      <c r="A17" s="573" t="s">
        <v>282</v>
      </c>
      <c r="B17" s="58" t="s">
        <v>35</v>
      </c>
      <c r="C17" s="59">
        <f>IFERROR(GETPIVOTDATA((CONCATENATE("Sum of ", C$8)),h4b!$A$1,"ReportingLevel","1:LA","lvl",$B17),0)</f>
        <v>3</v>
      </c>
      <c r="D17" s="59">
        <f>IFERROR(GETPIVOTDATA((CONCATENATE("Sum of ", D$8)),h4b!$A$1,"ReportingLevel","1:LA","lvl",$B17),0)</f>
        <v>5</v>
      </c>
      <c r="E17" s="59">
        <f>IFERROR(GETPIVOTDATA((CONCATENATE("Sum of ", E$8)),h4b!$A$1,"ReportingLevel","1:LA","lvl",$B17),0)</f>
        <v>17</v>
      </c>
      <c r="F17" s="369">
        <f t="shared" si="0"/>
        <v>25</v>
      </c>
    </row>
    <row r="18" spans="1:6" ht="15" customHeight="1" x14ac:dyDescent="0.25">
      <c r="A18" s="573" t="s">
        <v>283</v>
      </c>
      <c r="B18" s="58" t="s">
        <v>36</v>
      </c>
      <c r="C18" s="59">
        <f>IFERROR(GETPIVOTDATA((CONCATENATE("Sum of ", C$8)),h4b!$A$1,"ReportingLevel","1:LA","lvl",$B18),0)</f>
        <v>16</v>
      </c>
      <c r="D18" s="59">
        <f>IFERROR(GETPIVOTDATA((CONCATENATE("Sum of ", D$8)),h4b!$A$1,"ReportingLevel","1:LA","lvl",$B18),0)</f>
        <v>34</v>
      </c>
      <c r="E18" s="59">
        <f>IFERROR(GETPIVOTDATA((CONCATENATE("Sum of ", E$8)),h4b!$A$1,"ReportingLevel","1:LA","lvl",$B18),0)</f>
        <v>142</v>
      </c>
      <c r="F18" s="369">
        <f t="shared" si="0"/>
        <v>192</v>
      </c>
    </row>
    <row r="19" spans="1:6" ht="15" customHeight="1" x14ac:dyDescent="0.25">
      <c r="A19" s="573" t="s">
        <v>309</v>
      </c>
      <c r="B19" s="58" t="s">
        <v>37</v>
      </c>
      <c r="C19" s="59">
        <f>IFERROR(GETPIVOTDATA((CONCATENATE("Sum of ", C$8)),h4b!$A$1,"ReportingLevel","1:LA","lvl",$B19),0)</f>
        <v>1</v>
      </c>
      <c r="D19" s="59">
        <f>IFERROR(GETPIVOTDATA((CONCATENATE("Sum of ", D$8)),h4b!$A$1,"ReportingLevel","1:LA","lvl",$B19),0)</f>
        <v>2</v>
      </c>
      <c r="E19" s="59">
        <f>IFERROR(GETPIVOTDATA((CONCATENATE("Sum of ", E$8)),h4b!$A$1,"ReportingLevel","1:LA","lvl",$B19),0)</f>
        <v>9</v>
      </c>
      <c r="F19" s="369">
        <f t="shared" si="0"/>
        <v>12</v>
      </c>
    </row>
    <row r="20" spans="1:6" ht="15" customHeight="1" x14ac:dyDescent="0.25">
      <c r="A20" s="573" t="s">
        <v>284</v>
      </c>
      <c r="B20" s="58" t="s">
        <v>38</v>
      </c>
      <c r="C20" s="59">
        <f>IFERROR(GETPIVOTDATA((CONCATENATE("Sum of ", C$8)),h4b!$A$1,"ReportingLevel","1:LA","lvl",$B20),0)</f>
        <v>7</v>
      </c>
      <c r="D20" s="59">
        <f>IFERROR(GETPIVOTDATA((CONCATENATE("Sum of ", D$8)),h4b!$A$1,"ReportingLevel","1:LA","lvl",$B20),0)</f>
        <v>8</v>
      </c>
      <c r="E20" s="59">
        <f>IFERROR(GETPIVOTDATA((CONCATENATE("Sum of ", E$8)),h4b!$A$1,"ReportingLevel","1:LA","lvl",$B20),0)</f>
        <v>65</v>
      </c>
      <c r="F20" s="369">
        <f t="shared" si="0"/>
        <v>80</v>
      </c>
    </row>
    <row r="21" spans="1:6" ht="15" customHeight="1" x14ac:dyDescent="0.25">
      <c r="A21" s="573" t="s">
        <v>311</v>
      </c>
      <c r="B21" s="58" t="s">
        <v>39</v>
      </c>
      <c r="C21" s="59">
        <f>IFERROR(GETPIVOTDATA((CONCATENATE("Sum of ", C$8)),h4b!$A$1,"ReportingLevel","1:LA","lvl",$B21),0)</f>
        <v>0</v>
      </c>
      <c r="D21" s="59">
        <f>IFERROR(GETPIVOTDATA((CONCATENATE("Sum of ", D$8)),h4b!$A$1,"ReportingLevel","1:LA","lvl",$B21),0)</f>
        <v>0</v>
      </c>
      <c r="E21" s="59">
        <f>IFERROR(GETPIVOTDATA((CONCATENATE("Sum of ", E$8)),h4b!$A$1,"ReportingLevel","1:LA","lvl",$B21),0)</f>
        <v>0</v>
      </c>
      <c r="F21" s="369">
        <f t="shared" si="0"/>
        <v>0</v>
      </c>
    </row>
    <row r="22" spans="1:6" ht="15" customHeight="1" x14ac:dyDescent="0.25">
      <c r="A22" s="573" t="s">
        <v>285</v>
      </c>
      <c r="B22" s="58" t="s">
        <v>40</v>
      </c>
      <c r="C22" s="59">
        <f>IFERROR(GETPIVOTDATA((CONCATENATE("Sum of ", C$8)),h4b!$A$1,"ReportingLevel","1:LA","lvl",$B22),0)</f>
        <v>5</v>
      </c>
      <c r="D22" s="59">
        <f>IFERROR(GETPIVOTDATA((CONCATENATE("Sum of ", D$8)),h4b!$A$1,"ReportingLevel","1:LA","lvl",$B22),0)</f>
        <v>12</v>
      </c>
      <c r="E22" s="59">
        <f>IFERROR(GETPIVOTDATA((CONCATENATE("Sum of ", E$8)),h4b!$A$1,"ReportingLevel","1:LA","lvl",$B22),0)</f>
        <v>48</v>
      </c>
      <c r="F22" s="369">
        <f>SUM(C22:E22)</f>
        <v>65</v>
      </c>
    </row>
    <row r="23" spans="1:6" ht="15" customHeight="1" x14ac:dyDescent="0.25">
      <c r="A23" s="573" t="s">
        <v>286</v>
      </c>
      <c r="B23" s="58" t="s">
        <v>41</v>
      </c>
      <c r="C23" s="59">
        <f>IFERROR(GETPIVOTDATA((CONCATENATE("Sum of ", C$8)),h4b!$A$1,"ReportingLevel","1:LA","lvl",$B23),0)</f>
        <v>0</v>
      </c>
      <c r="D23" s="59">
        <f>IFERROR(GETPIVOTDATA((CONCATENATE("Sum of ", D$8)),h4b!$A$1,"ReportingLevel","1:LA","lvl",$B23),0)</f>
        <v>0</v>
      </c>
      <c r="E23" s="59">
        <f>IFERROR(GETPIVOTDATA((CONCATENATE("Sum of ", E$8)),h4b!$A$1,"ReportingLevel","1:LA","lvl",$B23),0)</f>
        <v>0</v>
      </c>
      <c r="F23" s="369">
        <f t="shared" ref="F23" si="1">SUM(C23:E23)</f>
        <v>0</v>
      </c>
    </row>
    <row r="24" spans="1:6" ht="15" customHeight="1" x14ac:dyDescent="0.25">
      <c r="A24" s="573" t="s">
        <v>288</v>
      </c>
      <c r="B24" s="58" t="s">
        <v>42</v>
      </c>
      <c r="C24" s="59">
        <f>IFERROR(GETPIVOTDATA((CONCATENATE("Sum of ", C$8)),h4b!$A$1,"ReportingLevel","1:LA","lvl",$B24),0)</f>
        <v>4</v>
      </c>
      <c r="D24" s="59">
        <f>IFERROR(GETPIVOTDATA((CONCATENATE("Sum of ", D$8)),h4b!$A$1,"ReportingLevel","1:LA","lvl",$B24),0)</f>
        <v>10</v>
      </c>
      <c r="E24" s="59">
        <f>IFERROR(GETPIVOTDATA((CONCATENATE("Sum of ", E$8)),h4b!$A$1,"ReportingLevel","1:LA","lvl",$B24),0)</f>
        <v>43</v>
      </c>
      <c r="F24" s="369">
        <f t="shared" ref="F24:F43" si="2">SUM(C24:E24)</f>
        <v>57</v>
      </c>
    </row>
    <row r="25" spans="1:6" ht="15" customHeight="1" x14ac:dyDescent="0.25">
      <c r="A25" s="573" t="s">
        <v>313</v>
      </c>
      <c r="B25" s="58" t="s">
        <v>43</v>
      </c>
      <c r="C25" s="59">
        <f>IFERROR(GETPIVOTDATA((CONCATENATE("Sum of ", C$8)),h4b!$A$1,"ReportingLevel","1:LA","lvl",$B25),0)</f>
        <v>9</v>
      </c>
      <c r="D25" s="59">
        <f>IFERROR(GETPIVOTDATA((CONCATENATE("Sum of ", D$8)),h4b!$A$1,"ReportingLevel","1:LA","lvl",$B25),0)</f>
        <v>21</v>
      </c>
      <c r="E25" s="59">
        <f>IFERROR(GETPIVOTDATA((CONCATENATE("Sum of ", E$8)),h4b!$A$1,"ReportingLevel","1:LA","lvl",$B25),0)</f>
        <v>83</v>
      </c>
      <c r="F25" s="369">
        <f t="shared" si="2"/>
        <v>113</v>
      </c>
    </row>
    <row r="26" spans="1:6" ht="15" customHeight="1" x14ac:dyDescent="0.25">
      <c r="A26" s="573" t="str">
        <f>IF(A9 = "2019-20","S12000049","S12000046")</f>
        <v>S12000049</v>
      </c>
      <c r="B26" s="58" t="s">
        <v>121</v>
      </c>
      <c r="C26" s="59">
        <f>IFERROR(GETPIVOTDATA((CONCATENATE("Sum of ", C$8)),h4b!$A$1,"ReportingLevel","1:LA","lvl",$B26),0)</f>
        <v>0</v>
      </c>
      <c r="D26" s="59">
        <f>IFERROR(GETPIVOTDATA((CONCATENATE("Sum of ", D$8)),h4b!$A$1,"ReportingLevel","1:LA","lvl",$B26),0)</f>
        <v>0</v>
      </c>
      <c r="E26" s="59">
        <f>IFERROR(GETPIVOTDATA((CONCATENATE("Sum of ", E$8)),h4b!$A$1,"ReportingLevel","1:LA","lvl",$B26),0)</f>
        <v>0</v>
      </c>
      <c r="F26" s="369">
        <f t="shared" si="2"/>
        <v>0</v>
      </c>
    </row>
    <row r="27" spans="1:6" ht="15" customHeight="1" x14ac:dyDescent="0.25">
      <c r="A27" s="573" t="s">
        <v>289</v>
      </c>
      <c r="B27" s="58" t="s">
        <v>44</v>
      </c>
      <c r="C27" s="59">
        <f>IFERROR(GETPIVOTDATA((CONCATENATE("Sum of ", C$8)),h4b!$A$1,"ReportingLevel","1:LA","lvl",$B27),0)</f>
        <v>53</v>
      </c>
      <c r="D27" s="59">
        <f>IFERROR(GETPIVOTDATA((CONCATENATE("Sum of ", D$8)),h4b!$A$1,"ReportingLevel","1:LA","lvl",$B27),0)</f>
        <v>94</v>
      </c>
      <c r="E27" s="59">
        <f>IFERROR(GETPIVOTDATA((CONCATENATE("Sum of ", E$8)),h4b!$A$1,"ReportingLevel","1:LA","lvl",$B27),0)</f>
        <v>378</v>
      </c>
      <c r="F27" s="369">
        <f t="shared" si="2"/>
        <v>525</v>
      </c>
    </row>
    <row r="28" spans="1:6" ht="15" customHeight="1" x14ac:dyDescent="0.25">
      <c r="A28" s="573" t="s">
        <v>290</v>
      </c>
      <c r="B28" s="58" t="s">
        <v>45</v>
      </c>
      <c r="C28" s="59">
        <f>IFERROR(GETPIVOTDATA((CONCATENATE("Sum of ", C$8)),h4b!$A$1,"ReportingLevel","1:LA","lvl",$B28),0)</f>
        <v>3</v>
      </c>
      <c r="D28" s="59">
        <f>IFERROR(GETPIVOTDATA((CONCATENATE("Sum of ", D$8)),h4b!$A$1,"ReportingLevel","1:LA","lvl",$B28),0)</f>
        <v>6</v>
      </c>
      <c r="E28" s="59">
        <f>IFERROR(GETPIVOTDATA((CONCATENATE("Sum of ", E$8)),h4b!$A$1,"ReportingLevel","1:LA","lvl",$B28),0)</f>
        <v>33</v>
      </c>
      <c r="F28" s="369">
        <f t="shared" si="2"/>
        <v>42</v>
      </c>
    </row>
    <row r="29" spans="1:6" ht="15" customHeight="1" x14ac:dyDescent="0.25">
      <c r="A29" s="573" t="s">
        <v>291</v>
      </c>
      <c r="B29" s="58" t="s">
        <v>46</v>
      </c>
      <c r="C29" s="59">
        <f>IFERROR(GETPIVOTDATA((CONCATENATE("Sum of ", C$8)),h4b!$A$1,"ReportingLevel","1:LA","lvl",$B29),0)</f>
        <v>1</v>
      </c>
      <c r="D29" s="59">
        <f>IFERROR(GETPIVOTDATA((CONCATENATE("Sum of ", D$8)),h4b!$A$1,"ReportingLevel","1:LA","lvl",$B29),0)</f>
        <v>2</v>
      </c>
      <c r="E29" s="59">
        <f>IFERROR(GETPIVOTDATA((CONCATENATE("Sum of ", E$8)),h4b!$A$1,"ReportingLevel","1:LA","lvl",$B29),0)</f>
        <v>10</v>
      </c>
      <c r="F29" s="369">
        <f t="shared" si="2"/>
        <v>13</v>
      </c>
    </row>
    <row r="30" spans="1:6" ht="15" customHeight="1" x14ac:dyDescent="0.25">
      <c r="A30" s="573" t="s">
        <v>292</v>
      </c>
      <c r="B30" s="58" t="s">
        <v>47</v>
      </c>
      <c r="C30" s="59">
        <f>IFERROR(GETPIVOTDATA((CONCATENATE("Sum of ", C$8)),h4b!$A$1,"ReportingLevel","1:LA","lvl",$B30),0)</f>
        <v>11</v>
      </c>
      <c r="D30" s="59">
        <f>IFERROR(GETPIVOTDATA((CONCATENATE("Sum of ", D$8)),h4b!$A$1,"ReportingLevel","1:LA","lvl",$B30),0)</f>
        <v>27</v>
      </c>
      <c r="E30" s="59">
        <f>IFERROR(GETPIVOTDATA((CONCATENATE("Sum of ", E$8)),h4b!$A$1,"ReportingLevel","1:LA","lvl",$B30),0)</f>
        <v>83</v>
      </c>
      <c r="F30" s="369">
        <f t="shared" si="2"/>
        <v>121</v>
      </c>
    </row>
    <row r="31" spans="1:6" ht="15" customHeight="1" x14ac:dyDescent="0.25">
      <c r="A31" s="573" t="s">
        <v>287</v>
      </c>
      <c r="B31" s="58" t="s">
        <v>48</v>
      </c>
      <c r="C31" s="59">
        <f>IFERROR(GETPIVOTDATA((CONCATENATE("Sum of ", C$8)),h4b!$A$1,"ReportingLevel","1:LA","lvl",$B31),0)</f>
        <v>14</v>
      </c>
      <c r="D31" s="59">
        <f>IFERROR(GETPIVOTDATA((CONCATENATE("Sum of ", D$8)),h4b!$A$1,"ReportingLevel","1:LA","lvl",$B31),0)</f>
        <v>30</v>
      </c>
      <c r="E31" s="59">
        <f>IFERROR(GETPIVOTDATA((CONCATENATE("Sum of ", E$8)),h4b!$A$1,"ReportingLevel","1:LA","lvl",$B31),0)</f>
        <v>91</v>
      </c>
      <c r="F31" s="369">
        <f t="shared" si="2"/>
        <v>135</v>
      </c>
    </row>
    <row r="32" spans="1:6" ht="15" customHeight="1" x14ac:dyDescent="0.25">
      <c r="A32" s="573" t="s">
        <v>293</v>
      </c>
      <c r="B32" s="58" t="s">
        <v>49</v>
      </c>
      <c r="C32" s="59">
        <f>IFERROR(GETPIVOTDATA((CONCATENATE("Sum of ", C$8)),h4b!$A$1,"ReportingLevel","1:LA","lvl",$B32),0)</f>
        <v>11</v>
      </c>
      <c r="D32" s="59">
        <f>IFERROR(GETPIVOTDATA((CONCATENATE("Sum of ", D$8)),h4b!$A$1,"ReportingLevel","1:LA","lvl",$B32),0)</f>
        <v>11</v>
      </c>
      <c r="E32" s="59">
        <f>IFERROR(GETPIVOTDATA((CONCATENATE("Sum of ", E$8)),h4b!$A$1,"ReportingLevel","1:LA","lvl",$B32),0)</f>
        <v>82</v>
      </c>
      <c r="F32" s="369">
        <f t="shared" si="2"/>
        <v>104</v>
      </c>
    </row>
    <row r="33" spans="1:9" ht="15" customHeight="1" x14ac:dyDescent="0.25">
      <c r="A33" s="573" t="str">
        <f>IF(A9="2019-20","S12000050","S12000044")</f>
        <v>S12000050</v>
      </c>
      <c r="B33" s="58" t="s">
        <v>50</v>
      </c>
      <c r="C33" s="59">
        <f>IFERROR(GETPIVOTDATA((CONCATENATE("Sum of ", C$8)),h4b!$A$1,"ReportingLevel","1:LA","lvl",$B33),0)</f>
        <v>3</v>
      </c>
      <c r="D33" s="59">
        <f>IFERROR(GETPIVOTDATA((CONCATENATE("Sum of ", D$8)),h4b!$A$1,"ReportingLevel","1:LA","lvl",$B33),0)</f>
        <v>5</v>
      </c>
      <c r="E33" s="59">
        <f>IFERROR(GETPIVOTDATA((CONCATENATE("Sum of ", E$8)),h4b!$A$1,"ReportingLevel","1:LA","lvl",$B33),0)</f>
        <v>29</v>
      </c>
      <c r="F33" s="369">
        <f t="shared" si="2"/>
        <v>37</v>
      </c>
    </row>
    <row r="34" spans="1:9" ht="15" customHeight="1" x14ac:dyDescent="0.25">
      <c r="A34" s="573" t="s">
        <v>294</v>
      </c>
      <c r="B34" s="58" t="s">
        <v>51</v>
      </c>
      <c r="C34" s="59">
        <f>IFERROR(GETPIVOTDATA((CONCATENATE("Sum of ", C$8)),h4b!$A$1,"ReportingLevel","1:LA","lvl",$B34),0)</f>
        <v>9</v>
      </c>
      <c r="D34" s="59">
        <f>IFERROR(GETPIVOTDATA((CONCATENATE("Sum of ", D$8)),h4b!$A$1,"ReportingLevel","1:LA","lvl",$B34),0)</f>
        <v>22</v>
      </c>
      <c r="E34" s="59">
        <f>IFERROR(GETPIVOTDATA((CONCATENATE("Sum of ", E$8)),h4b!$A$1,"ReportingLevel","1:LA","lvl",$B34),0)</f>
        <v>78</v>
      </c>
      <c r="F34" s="369">
        <f t="shared" si="2"/>
        <v>109</v>
      </c>
    </row>
    <row r="35" spans="1:9" ht="15" customHeight="1" x14ac:dyDescent="0.25">
      <c r="A35" s="573" t="s">
        <v>295</v>
      </c>
      <c r="B35" s="58" t="s">
        <v>52</v>
      </c>
      <c r="C35" s="59">
        <f>IFERROR(GETPIVOTDATA((CONCATENATE("Sum of ", C$8)),h4b!$A$1,"ReportingLevel","1:LA","lvl",$B35),0)</f>
        <v>10</v>
      </c>
      <c r="D35" s="59">
        <f>IFERROR(GETPIVOTDATA((CONCATENATE("Sum of ", D$8)),h4b!$A$1,"ReportingLevel","1:LA","lvl",$B35),0)</f>
        <v>22</v>
      </c>
      <c r="E35" s="59">
        <f>IFERROR(GETPIVOTDATA((CONCATENATE("Sum of ", E$8)),h4b!$A$1,"ReportingLevel","1:LA","lvl",$B35),0)</f>
        <v>99</v>
      </c>
      <c r="F35" s="369">
        <f t="shared" si="2"/>
        <v>131</v>
      </c>
    </row>
    <row r="36" spans="1:9" ht="15" customHeight="1" x14ac:dyDescent="0.25">
      <c r="A36" s="573" t="s">
        <v>305</v>
      </c>
      <c r="B36" s="58" t="s">
        <v>53</v>
      </c>
      <c r="C36" s="59">
        <f>IFERROR(GETPIVOTDATA((CONCATENATE("Sum of ", C$8)),h4b!$A$1,"ReportingLevel","1:LA","lvl",$B36),0)</f>
        <v>1</v>
      </c>
      <c r="D36" s="59">
        <f>IFERROR(GETPIVOTDATA((CONCATENATE("Sum of ", D$8)),h4b!$A$1,"ReportingLevel","1:LA","lvl",$B36),0)</f>
        <v>2</v>
      </c>
      <c r="E36" s="59">
        <f>IFERROR(GETPIVOTDATA((CONCATENATE("Sum of ", E$8)),h4b!$A$1,"ReportingLevel","1:LA","lvl",$B36),0)</f>
        <v>12</v>
      </c>
      <c r="F36" s="369">
        <f t="shared" si="2"/>
        <v>15</v>
      </c>
    </row>
    <row r="37" spans="1:9" ht="15" customHeight="1" x14ac:dyDescent="0.25">
      <c r="A37" s="573" t="s">
        <v>296</v>
      </c>
      <c r="B37" s="58" t="s">
        <v>54</v>
      </c>
      <c r="C37" s="59">
        <f>IFERROR(GETPIVOTDATA((CONCATENATE("Sum of ", C$8)),h4b!$A$1,"ReportingLevel","1:LA","lvl",$B37),0)</f>
        <v>13</v>
      </c>
      <c r="D37" s="59">
        <f>IFERROR(GETPIVOTDATA((CONCATENATE("Sum of ", D$8)),h4b!$A$1,"ReportingLevel","1:LA","lvl",$B37),0)</f>
        <v>28</v>
      </c>
      <c r="E37" s="59">
        <f>IFERROR(GETPIVOTDATA((CONCATENATE("Sum of ", E$8)),h4b!$A$1,"ReportingLevel","1:LA","lvl",$B37),0)</f>
        <v>107</v>
      </c>
      <c r="F37" s="369">
        <f t="shared" si="2"/>
        <v>148</v>
      </c>
    </row>
    <row r="38" spans="1:9" ht="15" customHeight="1" x14ac:dyDescent="0.25">
      <c r="A38" s="573" t="s">
        <v>297</v>
      </c>
      <c r="B38" s="58" t="s">
        <v>55</v>
      </c>
      <c r="C38" s="59">
        <f>IFERROR(GETPIVOTDATA((CONCATENATE("Sum of ", C$8)),h4b!$A$1,"ReportingLevel","1:LA","lvl",$B38),0)</f>
        <v>12</v>
      </c>
      <c r="D38" s="59">
        <f>IFERROR(GETPIVOTDATA((CONCATENATE("Sum of ", D$8)),h4b!$A$1,"ReportingLevel","1:LA","lvl",$B38),0)</f>
        <v>24</v>
      </c>
      <c r="E38" s="59">
        <f>IFERROR(GETPIVOTDATA((CONCATENATE("Sum of ", E$8)),h4b!$A$1,"ReportingLevel","1:LA","lvl",$B38),0)</f>
        <v>98</v>
      </c>
      <c r="F38" s="369">
        <f t="shared" si="2"/>
        <v>134</v>
      </c>
    </row>
    <row r="39" spans="1:9" ht="15" customHeight="1" x14ac:dyDescent="0.25">
      <c r="A39" s="573" t="s">
        <v>298</v>
      </c>
      <c r="B39" s="58" t="s">
        <v>56</v>
      </c>
      <c r="C39" s="59">
        <f>IFERROR(GETPIVOTDATA((CONCATENATE("Sum of ", C$8)),h4b!$A$1,"ReportingLevel","1:LA","lvl",$B39),0)</f>
        <v>5</v>
      </c>
      <c r="D39" s="59">
        <f>IFERROR(GETPIVOTDATA((CONCATENATE("Sum of ", D$8)),h4b!$A$1,"ReportingLevel","1:LA","lvl",$B39),0)</f>
        <v>8</v>
      </c>
      <c r="E39" s="59">
        <f>IFERROR(GETPIVOTDATA((CONCATENATE("Sum of ", E$8)),h4b!$A$1,"ReportingLevel","1:LA","lvl",$B39),0)</f>
        <v>42</v>
      </c>
      <c r="F39" s="369">
        <f t="shared" si="2"/>
        <v>55</v>
      </c>
    </row>
    <row r="40" spans="1:9" ht="15" customHeight="1" x14ac:dyDescent="0.25">
      <c r="A40" s="573" t="s">
        <v>299</v>
      </c>
      <c r="B40" s="58" t="s">
        <v>57</v>
      </c>
      <c r="C40" s="59">
        <f>IFERROR(GETPIVOTDATA((CONCATENATE("Sum of ", C$8)),h4b!$A$1,"ReportingLevel","1:LA","lvl",$B40),0)</f>
        <v>8</v>
      </c>
      <c r="D40" s="59">
        <f>IFERROR(GETPIVOTDATA((CONCATENATE("Sum of ", D$8)),h4b!$A$1,"ReportingLevel","1:LA","lvl",$B40),0)</f>
        <v>8</v>
      </c>
      <c r="E40" s="59">
        <f>IFERROR(GETPIVOTDATA((CONCATENATE("Sum of ", E$8)),h4b!$A$1,"ReportingLevel","1:LA","lvl",$B40),0)</f>
        <v>70</v>
      </c>
      <c r="F40" s="369">
        <f t="shared" si="2"/>
        <v>86</v>
      </c>
    </row>
    <row r="41" spans="1:9" ht="15" customHeight="1" x14ac:dyDescent="0.25">
      <c r="A41" s="573" t="s">
        <v>300</v>
      </c>
      <c r="B41" s="58" t="s">
        <v>58</v>
      </c>
      <c r="C41" s="59">
        <f>IFERROR(GETPIVOTDATA((CONCATENATE("Sum of ", C$8)),h4b!$A$1,"ReportingLevel","1:LA","lvl",$B41),0)</f>
        <v>9</v>
      </c>
      <c r="D41" s="59">
        <f>IFERROR(GETPIVOTDATA((CONCATENATE("Sum of ", D$8)),h4b!$A$1,"ReportingLevel","1:LA","lvl",$B41),0)</f>
        <v>15</v>
      </c>
      <c r="E41" s="59">
        <f>IFERROR(GETPIVOTDATA((CONCATENATE("Sum of ", E$8)),h4b!$A$1,"ReportingLevel","1:LA","lvl",$B41),0)</f>
        <v>51</v>
      </c>
      <c r="F41" s="369">
        <f t="shared" si="2"/>
        <v>75</v>
      </c>
    </row>
    <row r="42" spans="1:9" ht="15" customHeight="1" x14ac:dyDescent="0.25">
      <c r="A42" s="573" t="s">
        <v>306</v>
      </c>
      <c r="B42" s="58" t="s">
        <v>59</v>
      </c>
      <c r="C42" s="59">
        <f>IFERROR(GETPIVOTDATA((CONCATENATE("Sum of ", C$8)),h4b!$A$1,"ReportingLevel","1:LA","lvl",$B42),0)</f>
        <v>2</v>
      </c>
      <c r="D42" s="59">
        <f>IFERROR(GETPIVOTDATA((CONCATENATE("Sum of ", D$8)),h4b!$A$1,"ReportingLevel","1:LA","lvl",$B42),0)</f>
        <v>2</v>
      </c>
      <c r="E42" s="59">
        <f>IFERROR(GETPIVOTDATA((CONCATENATE("Sum of ", E$8)),h4b!$A$1,"ReportingLevel","1:LA","lvl",$B42),0)</f>
        <v>16</v>
      </c>
      <c r="F42" s="369">
        <f t="shared" si="2"/>
        <v>20</v>
      </c>
    </row>
    <row r="43" spans="1:9" ht="15" customHeight="1" x14ac:dyDescent="0.25">
      <c r="A43" s="573" t="s">
        <v>307</v>
      </c>
      <c r="B43" s="58" t="s">
        <v>60</v>
      </c>
      <c r="C43" s="59">
        <f>IFERROR(GETPIVOTDATA((CONCATENATE("Sum of ", C$8)),h4b!$A$1,"ReportingLevel","1:LA","lvl",$B43),0)</f>
        <v>6</v>
      </c>
      <c r="D43" s="59">
        <f>IFERROR(GETPIVOTDATA((CONCATENATE("Sum of ", D$8)),h4b!$A$1,"ReportingLevel","1:LA","lvl",$B43),0)</f>
        <v>11</v>
      </c>
      <c r="E43" s="59">
        <f>IFERROR(GETPIVOTDATA((CONCATENATE("Sum of ", E$8)),h4b!$A$1,"ReportingLevel","1:LA","lvl",$B43),0)</f>
        <v>48</v>
      </c>
      <c r="F43" s="369">
        <f t="shared" si="2"/>
        <v>65</v>
      </c>
    </row>
    <row r="44" spans="1:9" ht="30" customHeight="1" thickBot="1" x14ac:dyDescent="0.3">
      <c r="A44" s="62"/>
      <c r="B44" s="62" t="s">
        <v>61</v>
      </c>
      <c r="C44" s="86">
        <f>SUM(C12:C43)</f>
        <v>262</v>
      </c>
      <c r="D44" s="86">
        <f>SUM(D12:D43)</f>
        <v>520</v>
      </c>
      <c r="E44" s="86">
        <f>SUM(E12:E43)</f>
        <v>2155</v>
      </c>
      <c r="F44" s="86">
        <f>SUM(F12:F43)</f>
        <v>2937</v>
      </c>
    </row>
    <row r="45" spans="1:9" ht="13.5" customHeight="1" x14ac:dyDescent="0.25">
      <c r="B45" s="99"/>
      <c r="C45" s="371"/>
      <c r="D45" s="371"/>
      <c r="E45" s="371"/>
      <c r="F45" s="371"/>
    </row>
    <row r="46" spans="1:9" x14ac:dyDescent="0.25">
      <c r="A46" s="509" t="s">
        <v>8</v>
      </c>
    </row>
    <row r="47" spans="1:9" x14ac:dyDescent="0.25">
      <c r="A47" s="483" t="s">
        <v>244</v>
      </c>
    </row>
    <row r="48" spans="1:9" ht="45.75" customHeight="1" x14ac:dyDescent="0.25">
      <c r="A48" s="1096" t="s">
        <v>974</v>
      </c>
      <c r="B48" s="1096"/>
      <c r="C48" s="1096"/>
      <c r="D48" s="1096"/>
      <c r="E48" s="1096"/>
      <c r="F48" s="1096"/>
      <c r="G48" s="1096"/>
      <c r="H48" s="1096"/>
      <c r="I48" s="1096"/>
    </row>
    <row r="50" spans="2:2" x14ac:dyDescent="0.25">
      <c r="B50" s="483"/>
    </row>
    <row r="51" spans="2:2" x14ac:dyDescent="0.25">
      <c r="B51" s="483"/>
    </row>
    <row r="52" spans="2:2" x14ac:dyDescent="0.25">
      <c r="B52" s="483"/>
    </row>
    <row r="53" spans="2:2" x14ac:dyDescent="0.25">
      <c r="B53" s="483"/>
    </row>
  </sheetData>
  <sheetProtection algorithmName="SHA-512" hashValue="Q8++2k3LyIckeU0AKelTu0oOOvO5PMrG/4UaWQeqJqQdXYH66A/DP6MQcjOmuCelHEEVwdN5L9e7rDK6Y8UABA==" saltValue="XpbFkLWWbKRhQG/Wb4pnPQ==" spinCount="100000" sheet="1" scenarios="1" formatCells="0" formatColumns="0" formatRows="0" sort="0" autoFilter="0" pivotTables="0"/>
  <mergeCells count="3">
    <mergeCell ref="A4:F4"/>
    <mergeCell ref="A1:G1"/>
    <mergeCell ref="A48:I48"/>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3" orientation="portrait" r:id="rId1"/>
  <drawing r:id="rId2"/>
  <extLst>
    <ext xmlns:x14="http://schemas.microsoft.com/office/spreadsheetml/2009/9/main" uri="{A8765BA9-456A-4dab-B4F3-ACF838C121DE}">
      <x14:slicerList>
        <x14:slicer r:id="rId3"/>
      </x14:slicerList>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39997558519241921"/>
    <pageSetUpPr fitToPage="1"/>
  </sheetPr>
  <dimension ref="A1:J43"/>
  <sheetViews>
    <sheetView showGridLines="0" workbookViewId="0">
      <pane ySplit="2" topLeftCell="A3" activePane="bottomLeft" state="frozen"/>
      <selection pane="bottomLeft" sqref="A1:H1"/>
    </sheetView>
  </sheetViews>
  <sheetFormatPr defaultRowHeight="15" x14ac:dyDescent="0.25"/>
  <cols>
    <col min="1" max="1" width="17.140625" customWidth="1"/>
    <col min="2" max="2" width="33.85546875" customWidth="1"/>
    <col min="3" max="8" width="13" customWidth="1"/>
    <col min="9" max="9" width="14.140625" customWidth="1"/>
    <col min="10" max="10" width="12.140625" customWidth="1"/>
  </cols>
  <sheetData>
    <row r="1" spans="1:10" ht="15.75" x14ac:dyDescent="0.25">
      <c r="A1" s="1077" t="s">
        <v>505</v>
      </c>
      <c r="B1" s="1077"/>
      <c r="C1" s="1077"/>
      <c r="D1" s="1077"/>
      <c r="E1" s="1077"/>
      <c r="F1" s="1077"/>
      <c r="G1" s="1077"/>
      <c r="H1" s="1077"/>
    </row>
    <row r="2" spans="1:10" ht="15.75" x14ac:dyDescent="0.25">
      <c r="A2" s="772" t="s">
        <v>578</v>
      </c>
      <c r="C2" s="660"/>
      <c r="D2" s="660"/>
      <c r="E2" s="660"/>
      <c r="F2" s="660"/>
      <c r="G2" s="660"/>
      <c r="H2" s="660"/>
    </row>
    <row r="3" spans="1:10" ht="15.75" x14ac:dyDescent="0.25">
      <c r="C3" s="660"/>
      <c r="D3" s="660"/>
      <c r="E3" s="660"/>
      <c r="F3" s="660"/>
      <c r="G3" s="660"/>
      <c r="H3" s="660"/>
    </row>
    <row r="4" spans="1:10" s="677" customFormat="1" ht="30.75" customHeight="1" x14ac:dyDescent="0.25">
      <c r="A4" s="676" t="s">
        <v>532</v>
      </c>
      <c r="B4" s="676"/>
      <c r="C4" s="676"/>
      <c r="D4" s="676"/>
      <c r="E4" s="676"/>
      <c r="F4" s="676"/>
      <c r="G4" s="676"/>
      <c r="H4" s="676"/>
      <c r="J4" s="678"/>
    </row>
    <row r="5" spans="1:10" ht="15" customHeight="1" x14ac:dyDescent="0.25">
      <c r="A5" t="s">
        <v>363</v>
      </c>
      <c r="B5" t="s">
        <v>748</v>
      </c>
      <c r="C5" s="624"/>
      <c r="D5" s="624"/>
      <c r="E5" s="624"/>
      <c r="F5" s="624"/>
      <c r="G5" s="624"/>
      <c r="H5" s="624"/>
      <c r="J5" s="101"/>
    </row>
    <row r="6" spans="1:10" ht="15" customHeight="1" x14ac:dyDescent="0.25">
      <c r="A6" t="s">
        <v>364</v>
      </c>
      <c r="B6" t="s">
        <v>366</v>
      </c>
      <c r="C6" s="624"/>
      <c r="D6" s="624"/>
      <c r="E6" s="624"/>
      <c r="F6" s="624"/>
      <c r="G6" s="624"/>
      <c r="H6" s="624"/>
      <c r="J6" s="101"/>
    </row>
    <row r="7" spans="1:10" ht="15" customHeight="1" x14ac:dyDescent="0.25">
      <c r="A7" t="s">
        <v>365</v>
      </c>
      <c r="B7" t="s">
        <v>367</v>
      </c>
      <c r="C7" s="624"/>
      <c r="D7" s="624"/>
      <c r="E7" s="624"/>
      <c r="F7" s="624"/>
      <c r="G7" s="624"/>
      <c r="H7" s="624"/>
      <c r="J7" s="101"/>
    </row>
    <row r="8" spans="1:10" ht="15" customHeight="1" x14ac:dyDescent="0.25">
      <c r="A8" s="624"/>
      <c r="B8" s="624"/>
      <c r="C8" s="624"/>
      <c r="D8" s="624"/>
      <c r="E8" s="624"/>
      <c r="F8" s="624"/>
      <c r="G8" s="624"/>
      <c r="H8" s="624"/>
      <c r="J8" s="101"/>
    </row>
    <row r="9" spans="1:10" ht="15" customHeight="1" x14ac:dyDescent="0.25">
      <c r="A9" s="973" t="s">
        <v>1</v>
      </c>
      <c r="B9" s="973" t="str">
        <f>h4cde!D1</f>
        <v>2019-20</v>
      </c>
      <c r="C9" s="973"/>
      <c r="D9" s="973"/>
      <c r="E9" s="973"/>
      <c r="F9" s="973"/>
      <c r="G9" s="973"/>
      <c r="H9" s="973"/>
      <c r="J9" s="101"/>
    </row>
    <row r="10" spans="1:10" ht="15" customHeight="1" x14ac:dyDescent="0.25">
      <c r="A10" s="973"/>
      <c r="B10" s="973"/>
      <c r="C10" s="973"/>
      <c r="D10" s="973"/>
      <c r="E10" s="973"/>
      <c r="F10" s="973"/>
      <c r="G10" s="973"/>
      <c r="H10" s="973"/>
      <c r="J10" s="101"/>
    </row>
    <row r="11" spans="1:10" ht="33.75" customHeight="1" x14ac:dyDescent="0.25">
      <c r="A11" s="52" t="s">
        <v>513</v>
      </c>
      <c r="B11" s="102" t="s">
        <v>218</v>
      </c>
      <c r="C11" s="103" t="s">
        <v>968</v>
      </c>
      <c r="D11" s="103" t="s">
        <v>969</v>
      </c>
      <c r="E11" s="103" t="s">
        <v>970</v>
      </c>
      <c r="F11" s="103" t="s">
        <v>971</v>
      </c>
      <c r="G11" s="103" t="s">
        <v>972</v>
      </c>
      <c r="H11" s="103" t="s">
        <v>80</v>
      </c>
      <c r="I11" s="104" t="s">
        <v>26</v>
      </c>
    </row>
    <row r="12" spans="1:10" ht="15" customHeight="1" thickBot="1" x14ac:dyDescent="0.3">
      <c r="A12" s="417" t="s">
        <v>382</v>
      </c>
      <c r="B12" s="98" t="s">
        <v>517</v>
      </c>
      <c r="C12" s="105">
        <f>h4cde!B5</f>
        <v>1</v>
      </c>
      <c r="D12" s="105">
        <f>h4cde!C5</f>
        <v>4</v>
      </c>
      <c r="E12" s="105">
        <f>h4cde!D5</f>
        <v>8</v>
      </c>
      <c r="F12" s="105">
        <f>h4cde!E5</f>
        <v>45</v>
      </c>
      <c r="G12" s="105">
        <f>h4cde!F5</f>
        <v>26</v>
      </c>
      <c r="H12" s="105">
        <f>h4cde!G5</f>
        <v>104</v>
      </c>
      <c r="I12" s="41">
        <f>SUM(C12:H12)</f>
        <v>188</v>
      </c>
    </row>
    <row r="13" spans="1:10" ht="13.5" customHeight="1" x14ac:dyDescent="0.25">
      <c r="A13" s="60"/>
      <c r="B13" s="100"/>
      <c r="C13" s="28"/>
      <c r="D13" s="28"/>
      <c r="E13" s="28"/>
      <c r="F13" s="28"/>
      <c r="G13" s="28"/>
      <c r="H13" s="28"/>
      <c r="I13" s="13"/>
      <c r="J13" s="44"/>
    </row>
    <row r="14" spans="1:10" ht="13.5" customHeight="1" x14ac:dyDescent="0.25">
      <c r="A14" s="64" t="s">
        <v>8</v>
      </c>
      <c r="C14" s="28"/>
      <c r="D14" s="28"/>
      <c r="E14" s="28"/>
      <c r="F14" s="28"/>
      <c r="G14" s="28"/>
      <c r="H14" s="28"/>
      <c r="I14" s="13"/>
      <c r="J14" s="44"/>
    </row>
    <row r="15" spans="1:10" ht="15.75" x14ac:dyDescent="0.25">
      <c r="A15" s="483" t="s">
        <v>232</v>
      </c>
      <c r="C15" s="311"/>
      <c r="D15" s="311"/>
      <c r="E15" s="311"/>
      <c r="F15" s="311"/>
      <c r="G15" s="311"/>
      <c r="H15" s="311"/>
      <c r="I15" s="311"/>
      <c r="J15" s="101"/>
    </row>
    <row r="16" spans="1:10" ht="15" customHeight="1" x14ac:dyDescent="0.25">
      <c r="A16" t="s">
        <v>518</v>
      </c>
      <c r="C16" s="311"/>
      <c r="D16" s="311"/>
      <c r="E16" s="311"/>
      <c r="F16" s="311"/>
      <c r="G16" s="311"/>
      <c r="H16" s="311"/>
      <c r="I16" s="311"/>
      <c r="J16" s="101"/>
    </row>
    <row r="17" spans="1:10" ht="45.75" customHeight="1" x14ac:dyDescent="0.25">
      <c r="A17" s="1096" t="s">
        <v>974</v>
      </c>
      <c r="B17" s="1096"/>
      <c r="C17" s="1096"/>
      <c r="D17" s="1096"/>
      <c r="E17" s="1096"/>
      <c r="F17" s="1096"/>
      <c r="G17" s="1096"/>
      <c r="H17" s="1096"/>
      <c r="I17" s="1096"/>
      <c r="J17" s="101"/>
    </row>
    <row r="18" spans="1:10" ht="15" customHeight="1" x14ac:dyDescent="0.25">
      <c r="A18" s="977"/>
      <c r="B18" s="977"/>
      <c r="C18" s="977"/>
      <c r="D18" s="977"/>
      <c r="E18" s="977"/>
      <c r="F18" s="977"/>
      <c r="G18" s="977"/>
      <c r="H18" s="977"/>
      <c r="I18" s="977"/>
      <c r="J18" s="101"/>
    </row>
    <row r="19" spans="1:10" ht="30" customHeight="1" x14ac:dyDescent="0.25">
      <c r="A19" s="676" t="s">
        <v>533</v>
      </c>
      <c r="B19" s="676"/>
      <c r="C19" s="676"/>
      <c r="D19" s="676"/>
      <c r="E19" s="676"/>
      <c r="F19" s="676"/>
      <c r="G19" s="676"/>
      <c r="H19" s="676"/>
      <c r="J19" s="101"/>
    </row>
    <row r="20" spans="1:10" ht="15" customHeight="1" x14ac:dyDescent="0.25">
      <c r="A20" t="s">
        <v>363</v>
      </c>
      <c r="B20" t="s">
        <v>749</v>
      </c>
      <c r="C20" s="624"/>
      <c r="D20" s="624"/>
      <c r="E20" s="624"/>
      <c r="F20" s="624"/>
      <c r="G20" s="624"/>
      <c r="H20" s="624"/>
      <c r="I20" s="624"/>
      <c r="J20" s="101"/>
    </row>
    <row r="21" spans="1:10" ht="15" customHeight="1" x14ac:dyDescent="0.25">
      <c r="A21" t="s">
        <v>364</v>
      </c>
      <c r="B21" t="s">
        <v>366</v>
      </c>
      <c r="C21" s="624"/>
      <c r="D21" s="624"/>
      <c r="E21" s="624"/>
      <c r="F21" s="624"/>
      <c r="G21" s="624"/>
      <c r="H21" s="624"/>
      <c r="I21" s="624"/>
      <c r="J21" s="101"/>
    </row>
    <row r="22" spans="1:10" ht="15" customHeight="1" x14ac:dyDescent="0.25">
      <c r="A22" t="s">
        <v>365</v>
      </c>
      <c r="B22" t="s">
        <v>367</v>
      </c>
      <c r="C22" s="624"/>
      <c r="D22" s="624"/>
      <c r="E22" s="624"/>
      <c r="F22" s="624"/>
      <c r="G22" s="624"/>
      <c r="H22" s="624"/>
      <c r="I22" s="624"/>
      <c r="J22" s="101"/>
    </row>
    <row r="23" spans="1:10" ht="33.75" customHeight="1" x14ac:dyDescent="0.25">
      <c r="A23" s="102" t="s">
        <v>1</v>
      </c>
      <c r="B23" s="102" t="s">
        <v>218</v>
      </c>
      <c r="C23" s="97" t="s">
        <v>210</v>
      </c>
      <c r="D23" s="97" t="s">
        <v>81</v>
      </c>
      <c r="E23" s="97" t="s">
        <v>82</v>
      </c>
      <c r="F23" s="97" t="s">
        <v>83</v>
      </c>
      <c r="G23" s="97" t="s">
        <v>84</v>
      </c>
      <c r="H23" s="97" t="s">
        <v>85</v>
      </c>
      <c r="I23" s="97" t="s">
        <v>98</v>
      </c>
      <c r="J23" s="106" t="s">
        <v>26</v>
      </c>
    </row>
    <row r="24" spans="1:10" ht="22.5" customHeight="1" thickBot="1" x14ac:dyDescent="0.3">
      <c r="A24" s="98" t="str">
        <f>h4cde!D22</f>
        <v>2019-20</v>
      </c>
      <c r="B24" s="98" t="s">
        <v>517</v>
      </c>
      <c r="C24" s="398">
        <f t="shared" ref="C24:J24" si="0">C29+C31</f>
        <v>3</v>
      </c>
      <c r="D24" s="398">
        <f t="shared" si="0"/>
        <v>47</v>
      </c>
      <c r="E24" s="398">
        <f t="shared" si="0"/>
        <v>32</v>
      </c>
      <c r="F24" s="398">
        <f t="shared" si="0"/>
        <v>90</v>
      </c>
      <c r="G24" s="398">
        <f t="shared" si="0"/>
        <v>400</v>
      </c>
      <c r="H24" s="398">
        <f t="shared" si="0"/>
        <v>63</v>
      </c>
      <c r="I24" s="398">
        <f t="shared" si="0"/>
        <v>183</v>
      </c>
      <c r="J24" s="398">
        <f t="shared" si="0"/>
        <v>818</v>
      </c>
    </row>
    <row r="25" spans="1:10" ht="30" customHeight="1" x14ac:dyDescent="0.25">
      <c r="A25" s="52" t="s">
        <v>368</v>
      </c>
      <c r="B25" s="52" t="s">
        <v>73</v>
      </c>
      <c r="C25" s="52"/>
      <c r="D25" s="2"/>
      <c r="E25" s="2"/>
      <c r="F25" s="2"/>
      <c r="G25" s="2"/>
      <c r="H25" s="2"/>
      <c r="I25" s="2"/>
      <c r="J25" s="2"/>
    </row>
    <row r="26" spans="1:10" ht="15" customHeight="1" x14ac:dyDescent="0.25">
      <c r="A26" s="60" t="s">
        <v>402</v>
      </c>
      <c r="B26" s="55" t="s">
        <v>174</v>
      </c>
      <c r="C26" s="680">
        <f>h4cde!B26</f>
        <v>0</v>
      </c>
      <c r="D26" s="60">
        <f>h4cde!C26</f>
        <v>2</v>
      </c>
      <c r="E26" s="60">
        <f>h4cde!D26</f>
        <v>5</v>
      </c>
      <c r="F26" s="60">
        <f>h4cde!E26</f>
        <v>6</v>
      </c>
      <c r="G26" s="60">
        <f>h4cde!F26</f>
        <v>45</v>
      </c>
      <c r="H26" s="60">
        <f>h4cde!G26</f>
        <v>18</v>
      </c>
      <c r="I26" s="60">
        <f>h4cde!H26</f>
        <v>19</v>
      </c>
      <c r="J26" s="108">
        <f>SUM(C26:I26)</f>
        <v>95</v>
      </c>
    </row>
    <row r="27" spans="1:10" ht="15" customHeight="1" x14ac:dyDescent="0.25">
      <c r="A27" s="60" t="s">
        <v>404</v>
      </c>
      <c r="B27" s="58" t="s">
        <v>172</v>
      </c>
      <c r="C27" s="680">
        <f>h4cde!B27</f>
        <v>0</v>
      </c>
      <c r="D27" s="60">
        <f>h4cde!C27</f>
        <v>2</v>
      </c>
      <c r="E27" s="60">
        <f>h4cde!D27</f>
        <v>9</v>
      </c>
      <c r="F27" s="60">
        <f>h4cde!E27</f>
        <v>5</v>
      </c>
      <c r="G27" s="60">
        <f>h4cde!F27</f>
        <v>74</v>
      </c>
      <c r="H27" s="60">
        <f>h4cde!G27</f>
        <v>16</v>
      </c>
      <c r="I27" s="60">
        <f>h4cde!H27</f>
        <v>26</v>
      </c>
      <c r="J27" s="108">
        <f>SUM(C27:I27)</f>
        <v>132</v>
      </c>
    </row>
    <row r="28" spans="1:10" ht="15" customHeight="1" x14ac:dyDescent="0.25">
      <c r="A28" s="679" t="s">
        <v>403</v>
      </c>
      <c r="B28" s="58" t="s">
        <v>173</v>
      </c>
      <c r="C28" s="680">
        <f>h4cde!B28</f>
        <v>0</v>
      </c>
      <c r="D28" s="60">
        <f>h4cde!C28</f>
        <v>2</v>
      </c>
      <c r="E28" s="60">
        <f>h4cde!D28</f>
        <v>9</v>
      </c>
      <c r="F28" s="60">
        <f>h4cde!E28</f>
        <v>8</v>
      </c>
      <c r="G28" s="60">
        <f>h4cde!F28</f>
        <v>137</v>
      </c>
      <c r="H28" s="60">
        <f>h4cde!G28</f>
        <v>28</v>
      </c>
      <c r="I28" s="60">
        <f>h4cde!H28</f>
        <v>58</v>
      </c>
      <c r="J28" s="108">
        <f>SUM(C28:I28)</f>
        <v>242</v>
      </c>
    </row>
    <row r="29" spans="1:10" ht="30" customHeight="1" thickBot="1" x14ac:dyDescent="0.3">
      <c r="A29" s="62"/>
      <c r="B29" s="62" t="s">
        <v>77</v>
      </c>
      <c r="C29" s="681">
        <f>SUM(C26:C28)</f>
        <v>0</v>
      </c>
      <c r="D29" s="398">
        <f>SUM(D26:D28)</f>
        <v>6</v>
      </c>
      <c r="E29" s="398">
        <f t="shared" ref="E29:J29" si="1">SUM(E26:E28)</f>
        <v>23</v>
      </c>
      <c r="F29" s="398">
        <f t="shared" si="1"/>
        <v>19</v>
      </c>
      <c r="G29" s="398">
        <f t="shared" si="1"/>
        <v>256</v>
      </c>
      <c r="H29" s="398">
        <f t="shared" si="1"/>
        <v>62</v>
      </c>
      <c r="I29" s="398">
        <f t="shared" si="1"/>
        <v>103</v>
      </c>
      <c r="J29" s="398">
        <f t="shared" si="1"/>
        <v>469</v>
      </c>
    </row>
    <row r="30" spans="1:10" ht="30" customHeight="1" x14ac:dyDescent="0.25">
      <c r="A30" s="102" t="s">
        <v>513</v>
      </c>
    </row>
    <row r="31" spans="1:10" ht="18.75" customHeight="1" thickBot="1" x14ac:dyDescent="0.3">
      <c r="A31" s="417" t="s">
        <v>382</v>
      </c>
      <c r="B31" s="48" t="s">
        <v>78</v>
      </c>
      <c r="C31" s="417">
        <f>h4cde!B30</f>
        <v>3</v>
      </c>
      <c r="D31" s="417">
        <f>h4cde!C30</f>
        <v>41</v>
      </c>
      <c r="E31" s="417">
        <f>h4cde!D30</f>
        <v>9</v>
      </c>
      <c r="F31" s="417">
        <f>h4cde!E30</f>
        <v>71</v>
      </c>
      <c r="G31" s="417">
        <f>h4cde!F30</f>
        <v>144</v>
      </c>
      <c r="H31" s="417">
        <f>h4cde!G30</f>
        <v>1</v>
      </c>
      <c r="I31" s="417">
        <f>h4cde!H30</f>
        <v>80</v>
      </c>
      <c r="J31" s="398">
        <f>SUM(C31:I31)</f>
        <v>349</v>
      </c>
    </row>
    <row r="32" spans="1:10" x14ac:dyDescent="0.25">
      <c r="B32" s="503"/>
      <c r="C32" s="504"/>
      <c r="D32" s="504"/>
      <c r="E32" s="504"/>
      <c r="F32" s="504"/>
      <c r="G32" s="504"/>
      <c r="H32" s="504"/>
      <c r="I32" s="505"/>
      <c r="J32" s="495"/>
    </row>
    <row r="33" spans="1:10" ht="15" customHeight="1" x14ac:dyDescent="0.25">
      <c r="A33" s="503" t="s">
        <v>8</v>
      </c>
      <c r="B33" s="669"/>
      <c r="C33" s="669"/>
      <c r="D33" s="669"/>
      <c r="E33" s="669"/>
      <c r="F33" s="669"/>
      <c r="G33" s="669"/>
      <c r="H33" s="670"/>
      <c r="I33" s="671"/>
    </row>
    <row r="34" spans="1:10" ht="15" customHeight="1" x14ac:dyDescent="0.25">
      <c r="A34" s="949" t="s">
        <v>808</v>
      </c>
      <c r="B34" s="669"/>
      <c r="C34" s="669"/>
      <c r="D34" s="669"/>
      <c r="E34" s="669"/>
      <c r="F34" s="669"/>
      <c r="G34" s="669"/>
      <c r="H34" s="670"/>
      <c r="I34" s="671"/>
    </row>
    <row r="35" spans="1:10" ht="31.5" customHeight="1" x14ac:dyDescent="0.25">
      <c r="A35" s="1097" t="s">
        <v>807</v>
      </c>
      <c r="B35" s="1097"/>
      <c r="C35" s="1097"/>
      <c r="D35" s="1097"/>
      <c r="E35" s="1097"/>
      <c r="F35" s="1097"/>
      <c r="G35" s="1097"/>
      <c r="H35" s="1097"/>
      <c r="I35" s="1097"/>
      <c r="J35" s="1097"/>
    </row>
    <row r="36" spans="1:10" ht="15" customHeight="1" x14ac:dyDescent="0.25">
      <c r="A36" s="673" t="s">
        <v>229</v>
      </c>
      <c r="B36" s="673"/>
      <c r="C36" s="673"/>
      <c r="D36" s="673"/>
      <c r="E36" s="673"/>
      <c r="F36" s="673"/>
      <c r="G36" s="673"/>
      <c r="H36" s="673"/>
      <c r="I36" s="673"/>
      <c r="J36" s="673"/>
    </row>
    <row r="37" spans="1:10" ht="30" customHeight="1" x14ac:dyDescent="0.25">
      <c r="A37" s="1095" t="s">
        <v>230</v>
      </c>
      <c r="B37" s="1095"/>
      <c r="C37" s="1095"/>
      <c r="D37" s="1095"/>
      <c r="E37" s="1095"/>
      <c r="F37" s="1095"/>
      <c r="G37" s="1095"/>
      <c r="H37" s="1095"/>
      <c r="I37" s="1095"/>
      <c r="J37" s="1095"/>
    </row>
    <row r="38" spans="1:10" ht="15" customHeight="1" x14ac:dyDescent="0.25">
      <c r="A38" s="506" t="s">
        <v>231</v>
      </c>
      <c r="B38" s="496"/>
      <c r="C38" s="674"/>
      <c r="D38" s="675"/>
      <c r="E38" s="675"/>
      <c r="F38" s="675"/>
      <c r="G38" s="675"/>
      <c r="H38" s="675"/>
      <c r="I38" s="675"/>
    </row>
    <row r="39" spans="1:10" x14ac:dyDescent="0.25">
      <c r="C39" s="505"/>
      <c r="D39" s="505"/>
      <c r="E39" s="505"/>
      <c r="F39" s="505"/>
      <c r="G39" s="505"/>
      <c r="H39" s="505"/>
      <c r="I39" s="505"/>
      <c r="J39" s="495"/>
    </row>
    <row r="40" spans="1:10" x14ac:dyDescent="0.25">
      <c r="B40" s="513"/>
      <c r="C40" s="513"/>
      <c r="D40" s="513"/>
      <c r="E40" s="513"/>
      <c r="F40" s="513"/>
      <c r="G40" s="513"/>
      <c r="H40" s="513"/>
      <c r="I40" s="513"/>
      <c r="J40" s="513"/>
    </row>
    <row r="41" spans="1:10" x14ac:dyDescent="0.25">
      <c r="B41" s="513"/>
      <c r="C41" s="513"/>
      <c r="D41" s="513"/>
      <c r="E41" s="513"/>
      <c r="F41" s="513"/>
      <c r="G41" s="513"/>
      <c r="H41" s="513"/>
      <c r="I41" s="513"/>
      <c r="J41" s="513"/>
    </row>
    <row r="42" spans="1:10" x14ac:dyDescent="0.25">
      <c r="B42" s="513"/>
      <c r="C42" s="513"/>
      <c r="D42" s="513"/>
      <c r="E42" s="513"/>
      <c r="F42" s="513"/>
      <c r="G42" s="513"/>
      <c r="H42" s="513"/>
      <c r="I42" s="513"/>
      <c r="J42" s="513"/>
    </row>
    <row r="43" spans="1:10" x14ac:dyDescent="0.25">
      <c r="B43" s="513"/>
      <c r="C43" s="513"/>
      <c r="D43" s="513"/>
      <c r="E43" s="513"/>
      <c r="F43" s="513"/>
      <c r="G43" s="513"/>
      <c r="H43" s="513"/>
      <c r="I43" s="513"/>
      <c r="J43" s="513"/>
    </row>
  </sheetData>
  <sheetProtection algorithmName="SHA-512" hashValue="DbfV5e5xnOLOfJyqn/ghQyPKsa+I++ArYrBg0ozJCtikUcrTg2Miepxsrri22Qlg3FgxhnEtW/n+ijvj2rlQdA==" saltValue="Fh5jfeGKay5HEDfqyk1RIA==" spinCount="100000" sheet="1" scenarios="1" formatCells="0" formatColumns="0" formatRows="0" sort="0" autoFilter="0" pivotTables="0"/>
  <mergeCells count="4">
    <mergeCell ref="A1:H1"/>
    <mergeCell ref="A35:J35"/>
    <mergeCell ref="A37:J37"/>
    <mergeCell ref="A17:I17"/>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4" orientation="landscape" r:id="rId1"/>
  <drawing r:id="rId2"/>
  <extLst>
    <ext xmlns:x14="http://schemas.microsoft.com/office/spreadsheetml/2009/9/main" uri="{A8765BA9-456A-4dab-B4F3-ACF838C121DE}">
      <x14:slicerList>
        <x14:slicer r:id="rId3"/>
      </x14:slicerList>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pageSetUpPr fitToPage="1"/>
  </sheetPr>
  <dimension ref="A1:G49"/>
  <sheetViews>
    <sheetView showGridLines="0" workbookViewId="0">
      <pane ySplit="2" topLeftCell="A3" activePane="bottomLeft" state="frozen"/>
      <selection pane="bottomLeft" sqref="A1:G1"/>
    </sheetView>
  </sheetViews>
  <sheetFormatPr defaultRowHeight="15" x14ac:dyDescent="0.25"/>
  <cols>
    <col min="1" max="1" width="17.140625" customWidth="1"/>
    <col min="2" max="2" width="28.7109375" customWidth="1"/>
    <col min="3" max="5" width="13" customWidth="1"/>
    <col min="6" max="6" width="10.28515625" customWidth="1"/>
  </cols>
  <sheetData>
    <row r="1" spans="1:7" ht="15.75" customHeight="1" x14ac:dyDescent="0.25">
      <c r="A1" s="1077" t="s">
        <v>505</v>
      </c>
      <c r="B1" s="1077"/>
      <c r="C1" s="1077"/>
      <c r="D1" s="1077"/>
      <c r="E1" s="1077"/>
      <c r="F1" s="1077"/>
      <c r="G1" s="1077"/>
    </row>
    <row r="2" spans="1:7" ht="15.75" x14ac:dyDescent="0.25">
      <c r="A2" s="772" t="s">
        <v>578</v>
      </c>
      <c r="C2" s="660"/>
      <c r="D2" s="660"/>
      <c r="E2" s="660"/>
      <c r="F2" s="660"/>
      <c r="G2" s="660"/>
    </row>
    <row r="3" spans="1:7" ht="15.75" x14ac:dyDescent="0.25">
      <c r="C3" s="660"/>
      <c r="D3" s="660"/>
      <c r="E3" s="660"/>
      <c r="F3" s="660"/>
      <c r="G3" s="660"/>
    </row>
    <row r="4" spans="1:7" ht="37.5" customHeight="1" x14ac:dyDescent="0.25">
      <c r="A4" s="676" t="s">
        <v>531</v>
      </c>
      <c r="B4" s="624"/>
      <c r="C4" s="624"/>
      <c r="D4" s="624"/>
      <c r="E4" s="624"/>
    </row>
    <row r="5" spans="1:7" ht="15" customHeight="1" x14ac:dyDescent="0.25">
      <c r="A5" t="s">
        <v>363</v>
      </c>
      <c r="B5" t="s">
        <v>750</v>
      </c>
      <c r="C5" s="939"/>
      <c r="D5" s="939"/>
      <c r="E5" s="939"/>
    </row>
    <row r="6" spans="1:7" ht="15" customHeight="1" x14ac:dyDescent="0.25">
      <c r="A6" t="s">
        <v>364</v>
      </c>
      <c r="B6" t="s">
        <v>366</v>
      </c>
      <c r="C6" s="939"/>
      <c r="D6" s="939"/>
      <c r="E6" s="939"/>
    </row>
    <row r="7" spans="1:7" ht="15" customHeight="1" x14ac:dyDescent="0.25">
      <c r="A7" t="s">
        <v>365</v>
      </c>
      <c r="B7" t="s">
        <v>367</v>
      </c>
      <c r="C7" s="939"/>
      <c r="D7" s="939"/>
      <c r="E7" s="939"/>
    </row>
    <row r="8" spans="1:7" ht="33.75" customHeight="1" x14ac:dyDescent="0.25">
      <c r="A8" s="102" t="s">
        <v>1</v>
      </c>
      <c r="B8" s="102" t="s">
        <v>218</v>
      </c>
      <c r="C8" s="97" t="s">
        <v>971</v>
      </c>
      <c r="D8" s="97" t="s">
        <v>972</v>
      </c>
      <c r="E8" s="97" t="s">
        <v>23</v>
      </c>
      <c r="F8" s="97" t="s">
        <v>26</v>
      </c>
    </row>
    <row r="9" spans="1:7" ht="22.5" customHeight="1" thickBot="1" x14ac:dyDescent="0.3">
      <c r="A9" s="98" t="str">
        <f>h4cde!D43</f>
        <v>2019-20</v>
      </c>
      <c r="B9" s="98" t="s">
        <v>517</v>
      </c>
      <c r="C9" s="110">
        <f>C44</f>
        <v>37</v>
      </c>
      <c r="D9" s="110">
        <f>D44</f>
        <v>41</v>
      </c>
      <c r="E9" s="110">
        <f>E44</f>
        <v>237</v>
      </c>
      <c r="F9" s="110">
        <f>F44</f>
        <v>315</v>
      </c>
    </row>
    <row r="10" spans="1:7" ht="15" customHeight="1" x14ac:dyDescent="0.25">
      <c r="B10" s="64"/>
      <c r="C10" s="54"/>
      <c r="D10" s="54"/>
      <c r="E10" s="54"/>
      <c r="F10" s="54"/>
    </row>
    <row r="11" spans="1:7" ht="15" customHeight="1" x14ac:dyDescent="0.25">
      <c r="A11" s="52" t="s">
        <v>515</v>
      </c>
      <c r="B11" s="52" t="s">
        <v>30</v>
      </c>
      <c r="C11" s="112"/>
      <c r="D11" s="112"/>
      <c r="E11" s="112"/>
      <c r="F11" s="113"/>
    </row>
    <row r="12" spans="1:7" ht="15" customHeight="1" x14ac:dyDescent="0.25">
      <c r="A12" s="572" t="s">
        <v>301</v>
      </c>
      <c r="B12" s="55" t="s">
        <v>31</v>
      </c>
      <c r="C12" s="114">
        <f>IFERROR(GETPIVOTDATA("Sum of Watch Manager",h4cde!$A$45,"ReportingLevel","1:LA","lvl",B12),0)</f>
        <v>0</v>
      </c>
      <c r="D12" s="114">
        <f>IFERROR(GETPIVOTDATA("Sum of Crew Manager",h4cde!$A$45,"ReportingLevel","1:LA","lvl",B12),0)</f>
        <v>0</v>
      </c>
      <c r="E12" s="114">
        <f>IFERROR(GETPIVOTDATA("Sum of Firefighter",h4cde!$A$45,"ReportingLevel","1:LA","lvl",B12),0)</f>
        <v>0</v>
      </c>
      <c r="F12" s="115">
        <f>SUM(C12:E12)</f>
        <v>0</v>
      </c>
    </row>
    <row r="13" spans="1:7" ht="15" customHeight="1" x14ac:dyDescent="0.25">
      <c r="A13" s="573" t="s">
        <v>302</v>
      </c>
      <c r="B13" s="58" t="s">
        <v>32</v>
      </c>
      <c r="C13" s="114">
        <f>IFERROR(GETPIVOTDATA("Sum of Watch Manager",h4cde!$A$45,"ReportingLevel","1:LA","lvl",B13),0)</f>
        <v>0</v>
      </c>
      <c r="D13" s="114">
        <f>IFERROR(GETPIVOTDATA("Sum of Crew Manager",h4cde!$A$45,"ReportingLevel","1:LA","lvl",B13),0)</f>
        <v>0</v>
      </c>
      <c r="E13" s="114">
        <f>IFERROR(GETPIVOTDATA("Sum of Firefighter",h4cde!$A$45,"ReportingLevel","1:LA","lvl",B13),0)</f>
        <v>0</v>
      </c>
      <c r="F13" s="115">
        <f>SUM(C13:E13)</f>
        <v>0</v>
      </c>
    </row>
    <row r="14" spans="1:7" ht="15" customHeight="1" x14ac:dyDescent="0.25">
      <c r="A14" s="573" t="s">
        <v>308</v>
      </c>
      <c r="B14" s="58" t="s">
        <v>33</v>
      </c>
      <c r="C14" s="114">
        <f>IFERROR(GETPIVOTDATA("Sum of Watch Manager",h4cde!$A$45,"ReportingLevel","1:LA","lvl",B14),0)</f>
        <v>0</v>
      </c>
      <c r="D14" s="114">
        <f>IFERROR(GETPIVOTDATA("Sum of Crew Manager",h4cde!$A$45,"ReportingLevel","1:LA","lvl",B14),0)</f>
        <v>0</v>
      </c>
      <c r="E14" s="114">
        <f>IFERROR(GETPIVOTDATA("Sum of Firefighter",h4cde!$A$45,"ReportingLevel","1:LA","lvl",B14),0)</f>
        <v>0</v>
      </c>
      <c r="F14" s="115">
        <f>SUM(C14:E14)</f>
        <v>0</v>
      </c>
    </row>
    <row r="15" spans="1:7" ht="15" customHeight="1" x14ac:dyDescent="0.25">
      <c r="A15" s="573" t="s">
        <v>303</v>
      </c>
      <c r="B15" s="58" t="s">
        <v>34</v>
      </c>
      <c r="C15" s="114">
        <f>IFERROR(GETPIVOTDATA("Sum of Watch Manager",h4cde!$A$45,"ReportingLevel","1:LA","lvl",B15),0)</f>
        <v>25</v>
      </c>
      <c r="D15" s="114">
        <f>IFERROR(GETPIVOTDATA("Sum of Crew Manager",h4cde!$A$45,"ReportingLevel","1:LA","lvl",B15),0)</f>
        <v>22</v>
      </c>
      <c r="E15" s="114">
        <f>IFERROR(GETPIVOTDATA("Sum of Firefighter",h4cde!$A$45,"ReportingLevel","1:LA","lvl",B15),0)</f>
        <v>165</v>
      </c>
      <c r="F15" s="115">
        <f t="shared" ref="F15:F43" si="0">SUM(C15:E15)</f>
        <v>212</v>
      </c>
    </row>
    <row r="16" spans="1:7" ht="15" customHeight="1" x14ac:dyDescent="0.25">
      <c r="A16" s="573" t="s">
        <v>304</v>
      </c>
      <c r="B16" s="58" t="s">
        <v>258</v>
      </c>
      <c r="C16" s="114">
        <f>IFERROR(GETPIVOTDATA("Sum of Watch Manager",h4cde!$A$45,"ReportingLevel","1:LA","lvl",B16),0)</f>
        <v>0</v>
      </c>
      <c r="D16" s="114">
        <f>IFERROR(GETPIVOTDATA("Sum of Crew Manager",h4cde!$A$45,"ReportingLevel","1:LA","lvl",B16),0)</f>
        <v>0</v>
      </c>
      <c r="E16" s="114">
        <f>IFERROR(GETPIVOTDATA("Sum of Firefighter",h4cde!$A$45,"ReportingLevel","1:LA","lvl",B16),0)</f>
        <v>0</v>
      </c>
      <c r="F16" s="115">
        <f t="shared" si="0"/>
        <v>0</v>
      </c>
    </row>
    <row r="17" spans="1:6" ht="15" customHeight="1" x14ac:dyDescent="0.25">
      <c r="A17" s="573" t="s">
        <v>282</v>
      </c>
      <c r="B17" s="58" t="s">
        <v>35</v>
      </c>
      <c r="C17" s="114">
        <f>IFERROR(GETPIVOTDATA("Sum of Watch Manager",h4cde!$A$45,"ReportingLevel","1:LA","lvl",B17),0)</f>
        <v>0</v>
      </c>
      <c r="D17" s="114">
        <f>IFERROR(GETPIVOTDATA("Sum of Crew Manager",h4cde!$A$45,"ReportingLevel","1:LA","lvl",B17),0)</f>
        <v>0</v>
      </c>
      <c r="E17" s="114">
        <f>IFERROR(GETPIVOTDATA("Sum of Firefighter",h4cde!$A$45,"ReportingLevel","1:LA","lvl",B17),0)</f>
        <v>0</v>
      </c>
      <c r="F17" s="115">
        <f t="shared" si="0"/>
        <v>0</v>
      </c>
    </row>
    <row r="18" spans="1:6" ht="15" customHeight="1" x14ac:dyDescent="0.25">
      <c r="A18" s="573" t="s">
        <v>283</v>
      </c>
      <c r="B18" s="58" t="s">
        <v>36</v>
      </c>
      <c r="C18" s="114">
        <f>IFERROR(GETPIVOTDATA("Sum of Watch Manager",h4cde!$A$45,"ReportingLevel","1:LA","lvl",B18),0)</f>
        <v>1</v>
      </c>
      <c r="D18" s="114">
        <f>IFERROR(GETPIVOTDATA("Sum of Crew Manager",h4cde!$A$45,"ReportingLevel","1:LA","lvl",B18),0)</f>
        <v>1</v>
      </c>
      <c r="E18" s="114">
        <f>IFERROR(GETPIVOTDATA("Sum of Firefighter",h4cde!$A$45,"ReportingLevel","1:LA","lvl",B18),0)</f>
        <v>3</v>
      </c>
      <c r="F18" s="115">
        <f t="shared" si="0"/>
        <v>5</v>
      </c>
    </row>
    <row r="19" spans="1:6" ht="15" customHeight="1" x14ac:dyDescent="0.25">
      <c r="A19" s="573" t="s">
        <v>309</v>
      </c>
      <c r="B19" s="58" t="s">
        <v>37</v>
      </c>
      <c r="C19" s="114">
        <f>IFERROR(GETPIVOTDATA("Sum of Watch Manager",h4cde!$A$45,"ReportingLevel","1:LA","lvl",B19),0)</f>
        <v>0</v>
      </c>
      <c r="D19" s="114">
        <f>IFERROR(GETPIVOTDATA("Sum of Crew Manager",h4cde!$A$45,"ReportingLevel","1:LA","lvl",B19),0)</f>
        <v>0</v>
      </c>
      <c r="E19" s="114">
        <f>IFERROR(GETPIVOTDATA("Sum of Firefighter",h4cde!$A$45,"ReportingLevel","1:LA","lvl",B19),0)</f>
        <v>0</v>
      </c>
      <c r="F19" s="115">
        <f t="shared" si="0"/>
        <v>0</v>
      </c>
    </row>
    <row r="20" spans="1:6" ht="15" customHeight="1" x14ac:dyDescent="0.25">
      <c r="A20" s="573" t="s">
        <v>284</v>
      </c>
      <c r="B20" s="58" t="s">
        <v>38</v>
      </c>
      <c r="C20" s="114">
        <f>IFERROR(GETPIVOTDATA("Sum of Watch Manager",h4cde!$A$45,"ReportingLevel","1:LA","lvl",B20),0)</f>
        <v>0</v>
      </c>
      <c r="D20" s="114">
        <f>IFERROR(GETPIVOTDATA("Sum of Crew Manager",h4cde!$A$45,"ReportingLevel","1:LA","lvl",B20),0)</f>
        <v>0</v>
      </c>
      <c r="E20" s="114">
        <f>IFERROR(GETPIVOTDATA("Sum of Firefighter",h4cde!$A$45,"ReportingLevel","1:LA","lvl",B20),0)</f>
        <v>0</v>
      </c>
      <c r="F20" s="115">
        <f t="shared" si="0"/>
        <v>0</v>
      </c>
    </row>
    <row r="21" spans="1:6" ht="15" customHeight="1" x14ac:dyDescent="0.25">
      <c r="A21" s="573" t="s">
        <v>311</v>
      </c>
      <c r="B21" s="58" t="s">
        <v>39</v>
      </c>
      <c r="C21" s="114">
        <f>IFERROR(GETPIVOTDATA("Sum of Watch Manager",h4cde!$A$45,"ReportingLevel","1:LA","lvl",B21),0)</f>
        <v>0</v>
      </c>
      <c r="D21" s="114">
        <f>IFERROR(GETPIVOTDATA("Sum of Crew Manager",h4cde!$A$45,"ReportingLevel","1:LA","lvl",B21),0)</f>
        <v>0</v>
      </c>
      <c r="E21" s="114">
        <f>IFERROR(GETPIVOTDATA("Sum of Firefighter",h4cde!$A$45,"ReportingLevel","1:LA","lvl",B21),0)</f>
        <v>0</v>
      </c>
      <c r="F21" s="115">
        <f t="shared" si="0"/>
        <v>0</v>
      </c>
    </row>
    <row r="22" spans="1:6" ht="15" customHeight="1" x14ac:dyDescent="0.25">
      <c r="A22" s="573" t="s">
        <v>285</v>
      </c>
      <c r="B22" s="58" t="s">
        <v>40</v>
      </c>
      <c r="C22" s="114">
        <f>IFERROR(GETPIVOTDATA("Sum of Watch Manager",h4cde!$A$45,"ReportingLevel","1:LA","lvl",B22),0)</f>
        <v>0</v>
      </c>
      <c r="D22" s="114">
        <f>IFERROR(GETPIVOTDATA("Sum of Crew Manager",h4cde!$A$45,"ReportingLevel","1:LA","lvl",B22),0)</f>
        <v>0</v>
      </c>
      <c r="E22" s="114">
        <f>IFERROR(GETPIVOTDATA("Sum of Firefighter",h4cde!$A$45,"ReportingLevel","1:LA","lvl",B22),0)</f>
        <v>0</v>
      </c>
      <c r="F22" s="115">
        <f t="shared" si="0"/>
        <v>0</v>
      </c>
    </row>
    <row r="23" spans="1:6" ht="15" customHeight="1" x14ac:dyDescent="0.25">
      <c r="A23" s="573" t="s">
        <v>286</v>
      </c>
      <c r="B23" s="58" t="s">
        <v>41</v>
      </c>
      <c r="C23" s="114">
        <f>IFERROR(GETPIVOTDATA("Sum of Watch Manager",h4cde!$A$45,"ReportingLevel","1:LA","lvl",B23),0)</f>
        <v>0</v>
      </c>
      <c r="D23" s="114">
        <f>IFERROR(GETPIVOTDATA("Sum of Crew Manager",h4cde!$A$45,"ReportingLevel","1:LA","lvl",B23),0)</f>
        <v>0</v>
      </c>
      <c r="E23" s="114">
        <f>IFERROR(GETPIVOTDATA("Sum of Firefighter",h4cde!$A$45,"ReportingLevel","1:LA","lvl",B23),0)</f>
        <v>0</v>
      </c>
      <c r="F23" s="115">
        <f t="shared" si="0"/>
        <v>0</v>
      </c>
    </row>
    <row r="24" spans="1:6" ht="15" customHeight="1" x14ac:dyDescent="0.25">
      <c r="A24" s="573" t="s">
        <v>288</v>
      </c>
      <c r="B24" s="58" t="s">
        <v>42</v>
      </c>
      <c r="C24" s="114">
        <f>IFERROR(GETPIVOTDATA("Sum of Watch Manager",h4cde!$A$45,"ReportingLevel","1:LA","lvl",B24),0)</f>
        <v>0</v>
      </c>
      <c r="D24" s="114">
        <f>IFERROR(GETPIVOTDATA("Sum of Crew Manager",h4cde!$A$45,"ReportingLevel","1:LA","lvl",B24),0)</f>
        <v>0</v>
      </c>
      <c r="E24" s="114">
        <f>IFERROR(GETPIVOTDATA("Sum of Firefighter",h4cde!$A$45,"ReportingLevel","1:LA","lvl",B24),0)</f>
        <v>0</v>
      </c>
      <c r="F24" s="115">
        <f t="shared" si="0"/>
        <v>0</v>
      </c>
    </row>
    <row r="25" spans="1:6" ht="15" customHeight="1" x14ac:dyDescent="0.25">
      <c r="A25" s="573" t="s">
        <v>313</v>
      </c>
      <c r="B25" s="58" t="s">
        <v>43</v>
      </c>
      <c r="C25" s="114">
        <f>IFERROR(GETPIVOTDATA("Sum of Watch Manager",h4cde!$A$45,"ReportingLevel","1:LA","lvl",B25),0)</f>
        <v>0</v>
      </c>
      <c r="D25" s="114">
        <f>IFERROR(GETPIVOTDATA("Sum of Crew Manager",h4cde!$A$45,"ReportingLevel","1:LA","lvl",B25),0)</f>
        <v>0</v>
      </c>
      <c r="E25" s="114">
        <f>IFERROR(GETPIVOTDATA("Sum of Firefighter",h4cde!$A$45,"ReportingLevel","1:LA","lvl",B25),0)</f>
        <v>0</v>
      </c>
      <c r="F25" s="115">
        <f t="shared" si="0"/>
        <v>0</v>
      </c>
    </row>
    <row r="26" spans="1:6" ht="15" customHeight="1" x14ac:dyDescent="0.25">
      <c r="A26" s="573" t="str">
        <f>IF(A9 = "2019-20","S12000049","S12000046")</f>
        <v>S12000049</v>
      </c>
      <c r="B26" s="58" t="s">
        <v>121</v>
      </c>
      <c r="C26" s="114">
        <f>IFERROR(GETPIVOTDATA("Sum of Watch Manager",h4cde!$A$45,"ReportingLevel","1:LA","lvl",B26),0)</f>
        <v>0</v>
      </c>
      <c r="D26" s="114">
        <f>IFERROR(GETPIVOTDATA("Sum of Crew Manager",h4cde!$A$45,"ReportingLevel","1:LA","lvl",B26),0)</f>
        <v>0</v>
      </c>
      <c r="E26" s="114">
        <f>IFERROR(GETPIVOTDATA("Sum of Firefighter",h4cde!$A$45,"ReportingLevel","1:LA","lvl",B26),0)</f>
        <v>0</v>
      </c>
      <c r="F26" s="115">
        <f t="shared" si="0"/>
        <v>0</v>
      </c>
    </row>
    <row r="27" spans="1:6" ht="15" customHeight="1" x14ac:dyDescent="0.25">
      <c r="A27" s="573" t="s">
        <v>289</v>
      </c>
      <c r="B27" s="58" t="s">
        <v>44</v>
      </c>
      <c r="C27" s="114">
        <f>IFERROR(GETPIVOTDATA("Sum of Watch Manager",h4cde!$A$45,"ReportingLevel","1:LA","lvl",B27),0)</f>
        <v>6</v>
      </c>
      <c r="D27" s="114">
        <f>IFERROR(GETPIVOTDATA("Sum of Crew Manager",h4cde!$A$45,"ReportingLevel","1:LA","lvl",B27),0)</f>
        <v>10</v>
      </c>
      <c r="E27" s="114">
        <f>IFERROR(GETPIVOTDATA("Sum of Firefighter",h4cde!$A$45,"ReportingLevel","1:LA","lvl",B27),0)</f>
        <v>33</v>
      </c>
      <c r="F27" s="115">
        <f t="shared" si="0"/>
        <v>49</v>
      </c>
    </row>
    <row r="28" spans="1:6" ht="15" customHeight="1" x14ac:dyDescent="0.25">
      <c r="A28" s="573" t="s">
        <v>290</v>
      </c>
      <c r="B28" s="58" t="s">
        <v>45</v>
      </c>
      <c r="C28" s="114">
        <f>IFERROR(GETPIVOTDATA("Sum of Watch Manager",h4cde!$A$45,"ReportingLevel","1:LA","lvl",B28),0)</f>
        <v>0</v>
      </c>
      <c r="D28" s="114">
        <f>IFERROR(GETPIVOTDATA("Sum of Crew Manager",h4cde!$A$45,"ReportingLevel","1:LA","lvl",B28),0)</f>
        <v>0</v>
      </c>
      <c r="E28" s="114">
        <f>IFERROR(GETPIVOTDATA("Sum of Firefighter",h4cde!$A$45,"ReportingLevel","1:LA","lvl",B28),0)</f>
        <v>0</v>
      </c>
      <c r="F28" s="115">
        <f t="shared" si="0"/>
        <v>0</v>
      </c>
    </row>
    <row r="29" spans="1:6" ht="15" customHeight="1" x14ac:dyDescent="0.25">
      <c r="A29" s="573" t="s">
        <v>291</v>
      </c>
      <c r="B29" s="58" t="s">
        <v>46</v>
      </c>
      <c r="C29" s="114">
        <f>IFERROR(GETPIVOTDATA("Sum of Watch Manager",h4cde!$A$45,"ReportingLevel","1:LA","lvl",B29),0)</f>
        <v>0</v>
      </c>
      <c r="D29" s="114">
        <f>IFERROR(GETPIVOTDATA("Sum of Crew Manager",h4cde!$A$45,"ReportingLevel","1:LA","lvl",B29),0)</f>
        <v>0</v>
      </c>
      <c r="E29" s="114">
        <f>IFERROR(GETPIVOTDATA("Sum of Firefighter",h4cde!$A$45,"ReportingLevel","1:LA","lvl",B29),0)</f>
        <v>0</v>
      </c>
      <c r="F29" s="115">
        <f t="shared" si="0"/>
        <v>0</v>
      </c>
    </row>
    <row r="30" spans="1:6" ht="15" customHeight="1" x14ac:dyDescent="0.25">
      <c r="A30" s="573" t="s">
        <v>292</v>
      </c>
      <c r="B30" s="58" t="s">
        <v>47</v>
      </c>
      <c r="C30" s="114">
        <f>IFERROR(GETPIVOTDATA("Sum of Watch Manager",h4cde!$A$45,"ReportingLevel","1:LA","lvl",B30),0)</f>
        <v>1</v>
      </c>
      <c r="D30" s="114">
        <f>IFERROR(GETPIVOTDATA("Sum of Crew Manager",h4cde!$A$45,"ReportingLevel","1:LA","lvl",B30),0)</f>
        <v>2</v>
      </c>
      <c r="E30" s="114">
        <f>IFERROR(GETPIVOTDATA("Sum of Firefighter",h4cde!$A$45,"ReportingLevel","1:LA","lvl",B30),0)</f>
        <v>1</v>
      </c>
      <c r="F30" s="85">
        <f t="shared" si="0"/>
        <v>4</v>
      </c>
    </row>
    <row r="31" spans="1:6" ht="15" customHeight="1" x14ac:dyDescent="0.25">
      <c r="A31" s="573" t="s">
        <v>287</v>
      </c>
      <c r="B31" s="58" t="s">
        <v>48</v>
      </c>
      <c r="C31" s="114">
        <f>IFERROR(GETPIVOTDATA("Sum of Watch Manager",h4cde!$A$45,"ReportingLevel","1:LA","lvl",B31),0)</f>
        <v>0</v>
      </c>
      <c r="D31" s="114">
        <f>IFERROR(GETPIVOTDATA("Sum of Crew Manager",h4cde!$A$45,"ReportingLevel","1:LA","lvl",B31),0)</f>
        <v>0</v>
      </c>
      <c r="E31" s="114">
        <f>IFERROR(GETPIVOTDATA("Sum of Firefighter",h4cde!$A$45,"ReportingLevel","1:LA","lvl",B31),0)</f>
        <v>0</v>
      </c>
      <c r="F31" s="115">
        <f t="shared" si="0"/>
        <v>0</v>
      </c>
    </row>
    <row r="32" spans="1:6" ht="15" customHeight="1" x14ac:dyDescent="0.25">
      <c r="A32" s="573" t="s">
        <v>293</v>
      </c>
      <c r="B32" s="58" t="s">
        <v>49</v>
      </c>
      <c r="C32" s="114">
        <f>IFERROR(GETPIVOTDATA("Sum of Watch Manager",h4cde!$A$45,"ReportingLevel","1:LA","lvl",B32),0)</f>
        <v>3</v>
      </c>
      <c r="D32" s="114">
        <f>IFERROR(GETPIVOTDATA("Sum of Crew Manager",h4cde!$A$45,"ReportingLevel","1:LA","lvl",B32),0)</f>
        <v>3</v>
      </c>
      <c r="E32" s="114">
        <f>IFERROR(GETPIVOTDATA("Sum of Firefighter",h4cde!$A$45,"ReportingLevel","1:LA","lvl",B32),0)</f>
        <v>16</v>
      </c>
      <c r="F32" s="115">
        <f t="shared" si="0"/>
        <v>22</v>
      </c>
    </row>
    <row r="33" spans="1:6" ht="15" customHeight="1" x14ac:dyDescent="0.25">
      <c r="A33" s="573" t="str">
        <f>IF(A9="2019-20","S12000050","S12000044")</f>
        <v>S12000050</v>
      </c>
      <c r="B33" s="58" t="s">
        <v>50</v>
      </c>
      <c r="C33" s="114">
        <f>IFERROR(GETPIVOTDATA("Sum of Watch Manager",h4cde!$A$45,"ReportingLevel","1:LA","lvl",B33),0)</f>
        <v>0</v>
      </c>
      <c r="D33" s="114">
        <f>IFERROR(GETPIVOTDATA("Sum of Crew Manager",h4cde!$A$45,"ReportingLevel","1:LA","lvl",B33),0)</f>
        <v>0</v>
      </c>
      <c r="E33" s="114">
        <f>IFERROR(GETPIVOTDATA("Sum of Firefighter",h4cde!$A$45,"ReportingLevel","1:LA","lvl",B33),0)</f>
        <v>0</v>
      </c>
      <c r="F33" s="85">
        <f t="shared" si="0"/>
        <v>0</v>
      </c>
    </row>
    <row r="34" spans="1:6" ht="15" customHeight="1" x14ac:dyDescent="0.25">
      <c r="A34" s="573" t="s">
        <v>294</v>
      </c>
      <c r="B34" s="58" t="s">
        <v>51</v>
      </c>
      <c r="C34" s="114">
        <f>IFERROR(GETPIVOTDATA("Sum of Watch Manager",h4cde!$A$45,"ReportingLevel","1:LA","lvl",B34),0)</f>
        <v>0</v>
      </c>
      <c r="D34" s="114">
        <f>IFERROR(GETPIVOTDATA("Sum of Crew Manager",h4cde!$A$45,"ReportingLevel","1:LA","lvl",B34),0)</f>
        <v>0</v>
      </c>
      <c r="E34" s="114">
        <f>IFERROR(GETPIVOTDATA("Sum of Firefighter",h4cde!$A$45,"ReportingLevel","1:LA","lvl",B34),0)</f>
        <v>0</v>
      </c>
      <c r="F34" s="115">
        <f t="shared" si="0"/>
        <v>0</v>
      </c>
    </row>
    <row r="35" spans="1:6" ht="15" customHeight="1" x14ac:dyDescent="0.25">
      <c r="A35" s="573" t="s">
        <v>295</v>
      </c>
      <c r="B35" s="58" t="s">
        <v>52</v>
      </c>
      <c r="C35" s="114">
        <f>IFERROR(GETPIVOTDATA("Sum of Watch Manager",h4cde!$A$45,"ReportingLevel","1:LA","lvl",B35),0)</f>
        <v>0</v>
      </c>
      <c r="D35" s="114">
        <f>IFERROR(GETPIVOTDATA("Sum of Crew Manager",h4cde!$A$45,"ReportingLevel","1:LA","lvl",B35),0)</f>
        <v>3</v>
      </c>
      <c r="E35" s="114">
        <f>IFERROR(GETPIVOTDATA("Sum of Firefighter",h4cde!$A$45,"ReportingLevel","1:LA","lvl",B35),0)</f>
        <v>18</v>
      </c>
      <c r="F35" s="115">
        <f t="shared" si="0"/>
        <v>21</v>
      </c>
    </row>
    <row r="36" spans="1:6" ht="15" customHeight="1" x14ac:dyDescent="0.25">
      <c r="A36" s="573" t="s">
        <v>305</v>
      </c>
      <c r="B36" s="58" t="s">
        <v>53</v>
      </c>
      <c r="C36" s="114">
        <f>IFERROR(GETPIVOTDATA("Sum of Watch Manager",h4cde!$A$45,"ReportingLevel","1:LA","lvl",B36),0)</f>
        <v>0</v>
      </c>
      <c r="D36" s="114">
        <f>IFERROR(GETPIVOTDATA("Sum of Crew Manager",h4cde!$A$45,"ReportingLevel","1:LA","lvl",B36),0)</f>
        <v>0</v>
      </c>
      <c r="E36" s="114">
        <f>IFERROR(GETPIVOTDATA("Sum of Firefighter",h4cde!$A$45,"ReportingLevel","1:LA","lvl",B36),0)</f>
        <v>0</v>
      </c>
      <c r="F36" s="115">
        <f t="shared" si="0"/>
        <v>0</v>
      </c>
    </row>
    <row r="37" spans="1:6" ht="15" customHeight="1" x14ac:dyDescent="0.25">
      <c r="A37" s="573" t="s">
        <v>296</v>
      </c>
      <c r="B37" s="58" t="s">
        <v>54</v>
      </c>
      <c r="C37" s="114">
        <f>IFERROR(GETPIVOTDATA("Sum of Watch Manager",h4cde!$A$45,"ReportingLevel","1:LA","lvl",B37),0)</f>
        <v>0</v>
      </c>
      <c r="D37" s="114">
        <f>IFERROR(GETPIVOTDATA("Sum of Crew Manager",h4cde!$A$45,"ReportingLevel","1:LA","lvl",B37),0)</f>
        <v>0</v>
      </c>
      <c r="E37" s="114">
        <f>IFERROR(GETPIVOTDATA("Sum of Firefighter",h4cde!$A$45,"ReportingLevel","1:LA","lvl",B37),0)</f>
        <v>0</v>
      </c>
      <c r="F37" s="85">
        <f t="shared" si="0"/>
        <v>0</v>
      </c>
    </row>
    <row r="38" spans="1:6" ht="15" customHeight="1" x14ac:dyDescent="0.25">
      <c r="A38" s="573" t="s">
        <v>297</v>
      </c>
      <c r="B38" s="58" t="s">
        <v>55</v>
      </c>
      <c r="C38" s="114">
        <f>IFERROR(GETPIVOTDATA("Sum of Watch Manager",h4cde!$A$45,"ReportingLevel","1:LA","lvl",B38),0)</f>
        <v>0</v>
      </c>
      <c r="D38" s="114">
        <f>IFERROR(GETPIVOTDATA("Sum of Crew Manager",h4cde!$A$45,"ReportingLevel","1:LA","lvl",B38),0)</f>
        <v>0</v>
      </c>
      <c r="E38" s="114">
        <f>IFERROR(GETPIVOTDATA("Sum of Firefighter",h4cde!$A$45,"ReportingLevel","1:LA","lvl",B38),0)</f>
        <v>0</v>
      </c>
      <c r="F38" s="115">
        <f t="shared" si="0"/>
        <v>0</v>
      </c>
    </row>
    <row r="39" spans="1:6" ht="15" customHeight="1" x14ac:dyDescent="0.25">
      <c r="A39" s="573" t="s">
        <v>298</v>
      </c>
      <c r="B39" s="58" t="s">
        <v>56</v>
      </c>
      <c r="C39" s="114">
        <f>IFERROR(GETPIVOTDATA("Sum of Watch Manager",h4cde!$A$45,"ReportingLevel","1:LA","lvl",B39),0)</f>
        <v>0</v>
      </c>
      <c r="D39" s="114">
        <f>IFERROR(GETPIVOTDATA("Sum of Crew Manager",h4cde!$A$45,"ReportingLevel","1:LA","lvl",B39),0)</f>
        <v>0</v>
      </c>
      <c r="E39" s="114">
        <f>IFERROR(GETPIVOTDATA("Sum of Firefighter",h4cde!$A$45,"ReportingLevel","1:LA","lvl",B39),0)</f>
        <v>0</v>
      </c>
      <c r="F39" s="115">
        <f t="shared" si="0"/>
        <v>0</v>
      </c>
    </row>
    <row r="40" spans="1:6" ht="15" customHeight="1" x14ac:dyDescent="0.25">
      <c r="A40" s="573" t="s">
        <v>299</v>
      </c>
      <c r="B40" s="58" t="s">
        <v>57</v>
      </c>
      <c r="C40" s="114">
        <f>IFERROR(GETPIVOTDATA("Sum of Watch Manager",h4cde!$A$45,"ReportingLevel","1:LA","lvl",B40),0)</f>
        <v>1</v>
      </c>
      <c r="D40" s="114">
        <f>IFERROR(GETPIVOTDATA("Sum of Crew Manager",h4cde!$A$45,"ReportingLevel","1:LA","lvl",B40),0)</f>
        <v>0</v>
      </c>
      <c r="E40" s="114">
        <f>IFERROR(GETPIVOTDATA("Sum of Firefighter",h4cde!$A$45,"ReportingLevel","1:LA","lvl",B40),0)</f>
        <v>1</v>
      </c>
      <c r="F40" s="115">
        <f t="shared" si="0"/>
        <v>2</v>
      </c>
    </row>
    <row r="41" spans="1:6" ht="15" customHeight="1" x14ac:dyDescent="0.25">
      <c r="A41" s="573" t="s">
        <v>300</v>
      </c>
      <c r="B41" s="58" t="s">
        <v>58</v>
      </c>
      <c r="C41" s="114">
        <f>IFERROR(GETPIVOTDATA("Sum of Watch Manager",h4cde!$A$45,"ReportingLevel","1:LA","lvl",B41),0)</f>
        <v>0</v>
      </c>
      <c r="D41" s="114">
        <f>IFERROR(GETPIVOTDATA("Sum of Crew Manager",h4cde!$A$45,"ReportingLevel","1:LA","lvl",B41),0)</f>
        <v>0</v>
      </c>
      <c r="E41" s="114">
        <f>IFERROR(GETPIVOTDATA("Sum of Firefighter",h4cde!$A$45,"ReportingLevel","1:LA","lvl",B41),0)</f>
        <v>0</v>
      </c>
      <c r="F41" s="115">
        <f t="shared" si="0"/>
        <v>0</v>
      </c>
    </row>
    <row r="42" spans="1:6" ht="15" customHeight="1" x14ac:dyDescent="0.25">
      <c r="A42" s="573" t="s">
        <v>306</v>
      </c>
      <c r="B42" s="58" t="s">
        <v>59</v>
      </c>
      <c r="C42" s="114">
        <f>IFERROR(GETPIVOTDATA("Sum of Watch Manager",h4cde!$A$45,"ReportingLevel","1:LA","lvl",B42),0)</f>
        <v>0</v>
      </c>
      <c r="D42" s="114">
        <f>IFERROR(GETPIVOTDATA("Sum of Crew Manager",h4cde!$A$45,"ReportingLevel","1:LA","lvl",B42),0)</f>
        <v>0</v>
      </c>
      <c r="E42" s="114">
        <f>IFERROR(GETPIVOTDATA("Sum of Firefighter",h4cde!$A$45,"ReportingLevel","1:LA","lvl",B42),0)</f>
        <v>0</v>
      </c>
      <c r="F42" s="115">
        <f>SUM(C42:E42)</f>
        <v>0</v>
      </c>
    </row>
    <row r="43" spans="1:6" ht="15" customHeight="1" x14ac:dyDescent="0.25">
      <c r="A43" s="573" t="s">
        <v>307</v>
      </c>
      <c r="B43" s="58" t="s">
        <v>60</v>
      </c>
      <c r="C43" s="114">
        <f>IFERROR(GETPIVOTDATA("Sum of Watch Manager",h4cde!$A$45,"ReportingLevel","1:LA","lvl",B43),0)</f>
        <v>0</v>
      </c>
      <c r="D43" s="114">
        <f>IFERROR(GETPIVOTDATA("Sum of Crew Manager",h4cde!$A$45,"ReportingLevel","1:LA","lvl",B43),0)</f>
        <v>0</v>
      </c>
      <c r="E43" s="114">
        <f>IFERROR(GETPIVOTDATA("Sum of Firefighter",h4cde!$A$45,"ReportingLevel","1:LA","lvl",B43),0)</f>
        <v>0</v>
      </c>
      <c r="F43" s="115">
        <f t="shared" si="0"/>
        <v>0</v>
      </c>
    </row>
    <row r="44" spans="1:6" ht="30" customHeight="1" thickBot="1" x14ac:dyDescent="0.3">
      <c r="A44" s="682"/>
      <c r="B44" s="89" t="s">
        <v>61</v>
      </c>
      <c r="C44" s="63">
        <f>SUM(C12:C43)</f>
        <v>37</v>
      </c>
      <c r="D44" s="63">
        <f>SUM(D12:D43)</f>
        <v>41</v>
      </c>
      <c r="E44" s="63">
        <f>SUM(E12:E43)</f>
        <v>237</v>
      </c>
      <c r="F44" s="63">
        <f>SUM(F12:F43)</f>
        <v>315</v>
      </c>
    </row>
    <row r="45" spans="1:6" ht="13.5" customHeight="1" x14ac:dyDescent="0.25">
      <c r="B45" s="116"/>
      <c r="C45" s="116"/>
      <c r="D45" s="116"/>
      <c r="E45" s="116"/>
      <c r="F45" s="116"/>
    </row>
    <row r="46" spans="1:6" ht="13.5" customHeight="1" x14ac:dyDescent="0.25">
      <c r="A46" s="511" t="s">
        <v>8</v>
      </c>
      <c r="B46" s="638"/>
      <c r="C46" s="638"/>
      <c r="D46" s="638"/>
      <c r="E46" s="638"/>
    </row>
    <row r="47" spans="1:6" ht="15" customHeight="1" x14ac:dyDescent="0.25">
      <c r="A47" s="673" t="s">
        <v>233</v>
      </c>
      <c r="B47" s="627"/>
      <c r="C47" s="627"/>
      <c r="D47" s="627"/>
      <c r="E47" s="627"/>
    </row>
    <row r="48" spans="1:6" ht="15" customHeight="1" x14ac:dyDescent="0.25">
      <c r="B48" s="483"/>
      <c r="C48" s="483"/>
      <c r="D48" s="483"/>
      <c r="E48" s="483"/>
      <c r="F48" s="483"/>
    </row>
    <row r="49" spans="2:6" x14ac:dyDescent="0.25">
      <c r="B49" s="483"/>
      <c r="C49" s="483"/>
      <c r="D49" s="483"/>
      <c r="E49" s="483"/>
      <c r="F49" s="483"/>
    </row>
  </sheetData>
  <sheetProtection algorithmName="SHA-512" hashValue="z443hi9ss/qSklQzS814omD8dGshW9h3citBl8uGRmONIbCQOOqK10Zmz6LA06xFJVtRzkPwrt1YRVZsO5Gq7g==" saltValue="BM5+hC50KbKAnvPWM7rkXw==" spinCount="100000" sheet="1" scenarios="1" formatCells="0" formatColumns="0" formatRows="0" sort="0" autoFilter="0" pivotTables="0"/>
  <mergeCells count="1">
    <mergeCell ref="A1:G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36"/>
  <sheetViews>
    <sheetView workbookViewId="0">
      <selection activeCell="F4" sqref="F4"/>
    </sheetView>
  </sheetViews>
  <sheetFormatPr defaultRowHeight="15" x14ac:dyDescent="0.25"/>
  <cols>
    <col min="1" max="1" width="13.140625" customWidth="1"/>
    <col min="2" max="2" width="10.5703125" bestFit="1" customWidth="1"/>
    <col min="3" max="3" width="11" bestFit="1" customWidth="1"/>
    <col min="4" max="4" width="14.28515625" bestFit="1" customWidth="1"/>
    <col min="5" max="5" width="14.7109375" bestFit="1" customWidth="1"/>
    <col min="6" max="6" width="10.5703125" bestFit="1" customWidth="1"/>
    <col min="7" max="7" width="12" bestFit="1" customWidth="1"/>
    <col min="8" max="8" width="17.28515625" customWidth="1"/>
    <col min="9" max="9" width="12" bestFit="1" customWidth="1"/>
    <col min="10" max="10" width="9.85546875" customWidth="1"/>
    <col min="11" max="11" width="16.5703125" customWidth="1"/>
    <col min="13" max="13" width="15.5703125" customWidth="1"/>
    <col min="14" max="14" width="18.140625" customWidth="1"/>
    <col min="15" max="15" width="16" customWidth="1"/>
    <col min="16" max="16" width="12.5703125" customWidth="1"/>
    <col min="17" max="17" width="17" customWidth="1"/>
    <col min="18" max="18" width="17.7109375" customWidth="1"/>
    <col min="19" max="19" width="17.140625" customWidth="1"/>
  </cols>
  <sheetData>
    <row r="1" spans="1:7" x14ac:dyDescent="0.25">
      <c r="A1" s="565" t="s">
        <v>245</v>
      </c>
      <c r="B1" t="s">
        <v>851</v>
      </c>
    </row>
    <row r="3" spans="1:7" x14ac:dyDescent="0.25">
      <c r="A3" s="565" t="s">
        <v>246</v>
      </c>
      <c r="B3" t="s">
        <v>253</v>
      </c>
      <c r="C3" t="s">
        <v>260</v>
      </c>
      <c r="D3" t="s">
        <v>261</v>
      </c>
      <c r="E3" t="s">
        <v>262</v>
      </c>
      <c r="F3" t="s">
        <v>263</v>
      </c>
      <c r="G3" t="s">
        <v>252</v>
      </c>
    </row>
    <row r="4" spans="1:7" x14ac:dyDescent="0.25">
      <c r="A4" s="1068" t="s">
        <v>247</v>
      </c>
      <c r="B4" s="567">
        <v>2966</v>
      </c>
      <c r="C4" s="567">
        <v>2937</v>
      </c>
      <c r="D4" s="567"/>
      <c r="E4" s="567"/>
      <c r="F4" s="567">
        <v>315</v>
      </c>
      <c r="G4" s="567">
        <v>6218</v>
      </c>
    </row>
    <row r="5" spans="1:7" x14ac:dyDescent="0.25">
      <c r="A5" s="1068" t="s">
        <v>248</v>
      </c>
      <c r="B5" s="567">
        <v>383</v>
      </c>
      <c r="C5" s="567"/>
      <c r="D5" s="567"/>
      <c r="E5" s="567"/>
      <c r="F5" s="567"/>
      <c r="G5" s="567">
        <v>419</v>
      </c>
    </row>
    <row r="6" spans="1:7" x14ac:dyDescent="0.25">
      <c r="A6" s="1068" t="s">
        <v>249</v>
      </c>
      <c r="B6" s="567">
        <v>197</v>
      </c>
      <c r="C6" s="567"/>
      <c r="D6" s="567"/>
      <c r="E6" s="567">
        <v>469</v>
      </c>
      <c r="F6" s="567"/>
      <c r="G6" s="567">
        <v>666</v>
      </c>
    </row>
    <row r="7" spans="1:7" x14ac:dyDescent="0.25">
      <c r="A7" s="1068" t="s">
        <v>250</v>
      </c>
      <c r="B7" s="567">
        <v>90</v>
      </c>
      <c r="C7" s="567"/>
      <c r="D7" s="567">
        <v>188</v>
      </c>
      <c r="E7" s="567">
        <v>349</v>
      </c>
      <c r="F7" s="567"/>
      <c r="G7" s="567">
        <v>627</v>
      </c>
    </row>
    <row r="8" spans="1:7" x14ac:dyDescent="0.25">
      <c r="A8" s="1068" t="s">
        <v>251</v>
      </c>
      <c r="B8" s="567">
        <v>3636</v>
      </c>
      <c r="C8" s="567">
        <v>2937</v>
      </c>
      <c r="D8" s="567">
        <v>188</v>
      </c>
      <c r="E8" s="567">
        <v>818</v>
      </c>
      <c r="F8" s="567">
        <v>315</v>
      </c>
      <c r="G8" s="567">
        <v>7930</v>
      </c>
    </row>
    <row r="18" spans="1:9" x14ac:dyDescent="0.25">
      <c r="A18" s="565" t="s">
        <v>245</v>
      </c>
      <c r="B18" t="s">
        <v>851</v>
      </c>
    </row>
    <row r="20" spans="1:9" x14ac:dyDescent="0.25">
      <c r="A20" s="565" t="s">
        <v>246</v>
      </c>
      <c r="B20" t="s">
        <v>264</v>
      </c>
      <c r="C20" t="s">
        <v>265</v>
      </c>
      <c r="D20" t="s">
        <v>266</v>
      </c>
      <c r="E20" t="s">
        <v>267</v>
      </c>
      <c r="F20" t="s">
        <v>256</v>
      </c>
      <c r="G20" t="s">
        <v>268</v>
      </c>
      <c r="H20" t="s">
        <v>269</v>
      </c>
      <c r="I20" t="s">
        <v>252</v>
      </c>
    </row>
    <row r="21" spans="1:9" x14ac:dyDescent="0.25">
      <c r="A21" s="1068" t="s">
        <v>247</v>
      </c>
      <c r="B21" s="567"/>
      <c r="C21" s="567"/>
      <c r="D21" s="567"/>
      <c r="E21" s="567"/>
      <c r="F21" s="567">
        <v>376</v>
      </c>
      <c r="G21" s="567">
        <v>597</v>
      </c>
      <c r="H21" s="567">
        <v>1993</v>
      </c>
      <c r="I21" s="567">
        <v>2966</v>
      </c>
    </row>
    <row r="22" spans="1:9" x14ac:dyDescent="0.25">
      <c r="A22" s="1068" t="s">
        <v>248</v>
      </c>
      <c r="B22" s="567"/>
      <c r="C22" s="567">
        <v>16</v>
      </c>
      <c r="D22" s="567">
        <v>50</v>
      </c>
      <c r="E22" s="567">
        <v>118</v>
      </c>
      <c r="F22" s="567">
        <v>113</v>
      </c>
      <c r="G22" s="567">
        <v>58</v>
      </c>
      <c r="H22" s="567">
        <v>28</v>
      </c>
      <c r="I22" s="567">
        <v>383</v>
      </c>
    </row>
    <row r="23" spans="1:9" x14ac:dyDescent="0.25">
      <c r="A23" s="1068" t="s">
        <v>249</v>
      </c>
      <c r="B23" s="567"/>
      <c r="C23" s="567">
        <v>6</v>
      </c>
      <c r="D23" s="567">
        <v>17</v>
      </c>
      <c r="E23" s="567">
        <v>29</v>
      </c>
      <c r="F23" s="567">
        <v>112</v>
      </c>
      <c r="G23" s="567">
        <v>33</v>
      </c>
      <c r="H23" s="567"/>
      <c r="I23" s="567">
        <v>197</v>
      </c>
    </row>
    <row r="24" spans="1:9" x14ac:dyDescent="0.25">
      <c r="A24" s="1068" t="s">
        <v>250</v>
      </c>
      <c r="B24" s="567">
        <v>6</v>
      </c>
      <c r="C24" s="567">
        <v>9</v>
      </c>
      <c r="D24" s="567">
        <v>13</v>
      </c>
      <c r="E24" s="567">
        <v>6</v>
      </c>
      <c r="F24" s="567">
        <v>7</v>
      </c>
      <c r="G24" s="567"/>
      <c r="H24" s="567">
        <v>49</v>
      </c>
      <c r="I24" s="567">
        <v>90</v>
      </c>
    </row>
    <row r="25" spans="1:9" x14ac:dyDescent="0.25">
      <c r="A25" s="1068" t="s">
        <v>251</v>
      </c>
      <c r="B25" s="567">
        <v>6</v>
      </c>
      <c r="C25" s="567">
        <v>31</v>
      </c>
      <c r="D25" s="567">
        <v>80</v>
      </c>
      <c r="E25" s="567">
        <v>153</v>
      </c>
      <c r="F25" s="567">
        <v>608</v>
      </c>
      <c r="G25" s="567">
        <v>688</v>
      </c>
      <c r="H25" s="567">
        <v>2070</v>
      </c>
      <c r="I25" s="567">
        <v>3636</v>
      </c>
    </row>
    <row r="28" spans="1:9" x14ac:dyDescent="0.25">
      <c r="A28" s="565" t="s">
        <v>245</v>
      </c>
      <c r="B28" t="s">
        <v>851</v>
      </c>
    </row>
    <row r="30" spans="1:9" x14ac:dyDescent="0.25">
      <c r="A30" s="565" t="s">
        <v>246</v>
      </c>
      <c r="B30" t="s">
        <v>264</v>
      </c>
      <c r="C30" t="s">
        <v>265</v>
      </c>
      <c r="D30" t="s">
        <v>266</v>
      </c>
      <c r="E30" t="s">
        <v>267</v>
      </c>
      <c r="F30" t="s">
        <v>256</v>
      </c>
      <c r="G30" t="s">
        <v>268</v>
      </c>
      <c r="H30" t="s">
        <v>269</v>
      </c>
      <c r="I30" t="s">
        <v>252</v>
      </c>
    </row>
    <row r="31" spans="1:9" x14ac:dyDescent="0.25">
      <c r="A31" s="1068" t="s">
        <v>2</v>
      </c>
      <c r="B31" s="567"/>
      <c r="C31" s="567">
        <v>1</v>
      </c>
      <c r="D31" s="567">
        <v>4</v>
      </c>
      <c r="E31" s="567">
        <v>8</v>
      </c>
      <c r="F31" s="567">
        <v>45</v>
      </c>
      <c r="G31" s="567">
        <v>26</v>
      </c>
      <c r="H31" s="567">
        <v>104</v>
      </c>
      <c r="I31" s="567">
        <v>188</v>
      </c>
    </row>
    <row r="32" spans="1:9" x14ac:dyDescent="0.25">
      <c r="A32" s="1068" t="s">
        <v>9</v>
      </c>
      <c r="B32" s="567"/>
      <c r="C32" s="567"/>
      <c r="D32" s="567"/>
      <c r="E32" s="567"/>
      <c r="F32" s="567">
        <v>262</v>
      </c>
      <c r="G32" s="567">
        <v>520</v>
      </c>
      <c r="H32" s="567">
        <v>2155</v>
      </c>
      <c r="I32" s="567">
        <v>2937</v>
      </c>
    </row>
    <row r="33" spans="1:9" x14ac:dyDescent="0.25">
      <c r="A33" s="1068" t="s">
        <v>316</v>
      </c>
      <c r="B33" s="567">
        <v>6</v>
      </c>
      <c r="C33" s="567">
        <v>31</v>
      </c>
      <c r="D33" s="567">
        <v>80</v>
      </c>
      <c r="E33" s="567">
        <v>153</v>
      </c>
      <c r="F33" s="567">
        <v>608</v>
      </c>
      <c r="G33" s="567">
        <v>688</v>
      </c>
      <c r="H33" s="567">
        <v>2070</v>
      </c>
      <c r="I33" s="567">
        <v>3636</v>
      </c>
    </row>
    <row r="34" spans="1:9" x14ac:dyDescent="0.25">
      <c r="A34" s="1068" t="s">
        <v>315</v>
      </c>
      <c r="B34" s="567"/>
      <c r="C34" s="567"/>
      <c r="D34" s="567"/>
      <c r="E34" s="567"/>
      <c r="F34" s="567">
        <v>37</v>
      </c>
      <c r="G34" s="567">
        <v>41</v>
      </c>
      <c r="H34" s="567">
        <v>237</v>
      </c>
      <c r="I34" s="567">
        <v>315</v>
      </c>
    </row>
    <row r="35" spans="1:9" x14ac:dyDescent="0.25">
      <c r="A35" s="1068" t="s">
        <v>852</v>
      </c>
      <c r="B35" s="567"/>
      <c r="C35" s="567"/>
      <c r="D35" s="567"/>
      <c r="E35" s="567"/>
      <c r="F35" s="567">
        <v>36</v>
      </c>
      <c r="G35" s="567"/>
      <c r="H35" s="567"/>
      <c r="I35" s="567">
        <v>36</v>
      </c>
    </row>
    <row r="36" spans="1:9" x14ac:dyDescent="0.25">
      <c r="A36" s="1068" t="s">
        <v>251</v>
      </c>
      <c r="B36" s="567">
        <v>6</v>
      </c>
      <c r="C36" s="567">
        <v>32</v>
      </c>
      <c r="D36" s="567">
        <v>84</v>
      </c>
      <c r="E36" s="567">
        <v>161</v>
      </c>
      <c r="F36" s="567">
        <v>988</v>
      </c>
      <c r="G36" s="567">
        <v>1275</v>
      </c>
      <c r="H36" s="567">
        <v>4566</v>
      </c>
      <c r="I36" s="567">
        <v>7112</v>
      </c>
    </row>
  </sheetData>
  <sheetProtection algorithmName="SHA-512" hashValue="Zy3j1M3i32Hd1O4jmZd5R1h4jbs6BwnKHvgZAOWnE23caVG7jyqGhRzcrfO/9pkNdGNB85BPJtv+KsmCXCC2BQ==" saltValue="KcCwfC9Zlu6F94DW+MqARg==" spinCount="100000" sheet="1" scenarios="1" formatCells="0" formatColumns="0" formatRows="0" sort="0" autoFilter="0" pivotTables="0"/>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workbookViewId="0">
      <selection activeCell="D6" sqref="D6"/>
    </sheetView>
  </sheetViews>
  <sheetFormatPr defaultRowHeight="15" x14ac:dyDescent="0.25"/>
  <cols>
    <col min="2" max="2" width="9.7109375" customWidth="1"/>
    <col min="3" max="3" width="9.85546875" customWidth="1"/>
    <col min="4" max="4" width="24.85546875" customWidth="1"/>
    <col min="5" max="5" width="10.5703125" customWidth="1"/>
    <col min="6" max="6" width="11" customWidth="1"/>
    <col min="7" max="7" width="22" customWidth="1"/>
    <col min="8" max="8" width="11.28515625" customWidth="1"/>
  </cols>
  <sheetData>
    <row r="1" spans="1:8" x14ac:dyDescent="0.25">
      <c r="A1" t="s">
        <v>329</v>
      </c>
      <c r="B1" t="s">
        <v>928</v>
      </c>
      <c r="C1" t="s">
        <v>929</v>
      </c>
      <c r="D1" t="s">
        <v>62</v>
      </c>
      <c r="E1" t="s">
        <v>930</v>
      </c>
      <c r="F1" t="s">
        <v>931</v>
      </c>
      <c r="G1" t="s">
        <v>15</v>
      </c>
      <c r="H1" t="s">
        <v>932</v>
      </c>
    </row>
    <row r="2" spans="1:8" hidden="1" x14ac:dyDescent="0.25">
      <c r="A2" t="str">
        <f>TRS!A5</f>
        <v>2018-19</v>
      </c>
      <c r="B2" t="str">
        <f>TRS!B5</f>
        <v>Aberdeen City</v>
      </c>
      <c r="C2" t="str">
        <f>TRS!C5</f>
        <v>S12000033</v>
      </c>
      <c r="D2" t="str">
        <f>TRS!D5</f>
        <v>Aberdeen City</v>
      </c>
      <c r="E2">
        <f>TRS!E5</f>
        <v>0</v>
      </c>
      <c r="F2" t="str">
        <f>TRS!F5</f>
        <v>S39000001</v>
      </c>
      <c r="G2" t="str">
        <f>TRS!G5</f>
        <v>North</v>
      </c>
      <c r="H2" t="str">
        <f>TRS!H5</f>
        <v>S40000005</v>
      </c>
    </row>
    <row r="3" spans="1:8" hidden="1" x14ac:dyDescent="0.25">
      <c r="A3" t="str">
        <f>TRS!A6</f>
        <v>2018-19</v>
      </c>
      <c r="B3" t="str">
        <f>TRS!B6</f>
        <v>Aberdeenshire</v>
      </c>
      <c r="C3" t="str">
        <f>TRS!C6</f>
        <v>S12000034</v>
      </c>
      <c r="D3" t="str">
        <f>TRS!D6</f>
        <v>Aberdeenshire and Moray</v>
      </c>
      <c r="E3">
        <f>TRS!E6</f>
        <v>0</v>
      </c>
      <c r="F3" t="str">
        <f>TRS!F6</f>
        <v>S39000002</v>
      </c>
      <c r="G3" t="str">
        <f>TRS!G6</f>
        <v>North</v>
      </c>
      <c r="H3" t="str">
        <f>TRS!H6</f>
        <v>S40000005</v>
      </c>
    </row>
    <row r="4" spans="1:8" hidden="1" x14ac:dyDescent="0.25">
      <c r="A4" t="str">
        <f>TRS!A7</f>
        <v>2018-19</v>
      </c>
      <c r="B4" t="str">
        <f>TRS!B7</f>
        <v>Angus</v>
      </c>
      <c r="C4" t="str">
        <f>TRS!C7</f>
        <v>S12000041</v>
      </c>
      <c r="D4" t="str">
        <f>TRS!D7</f>
        <v>Dundee, Angus, Perth and Kinross</v>
      </c>
      <c r="E4">
        <f>TRS!E7</f>
        <v>0</v>
      </c>
      <c r="F4" t="str">
        <f>TRS!F7</f>
        <v>S39000018</v>
      </c>
      <c r="G4" t="str">
        <f>TRS!G7</f>
        <v>North</v>
      </c>
      <c r="H4" t="str">
        <f>TRS!H7</f>
        <v>S40000005</v>
      </c>
    </row>
    <row r="5" spans="1:8" hidden="1" x14ac:dyDescent="0.25">
      <c r="A5" t="str">
        <f>TRS!A8</f>
        <v>2018-19</v>
      </c>
      <c r="B5" t="str">
        <f>TRS!B8</f>
        <v>Argyll and Bute</v>
      </c>
      <c r="C5" t="str">
        <f>TRS!C8</f>
        <v>S12000035</v>
      </c>
      <c r="D5" t="str">
        <f>TRS!D8</f>
        <v>Argyll and Bute, East Dunbartonshire and West Dunbartonshire</v>
      </c>
      <c r="E5">
        <f>TRS!E8</f>
        <v>0</v>
      </c>
      <c r="F5" t="str">
        <f>TRS!F8</f>
        <v>S39000003</v>
      </c>
      <c r="G5" t="str">
        <f>TRS!G8</f>
        <v>West</v>
      </c>
      <c r="H5" t="str">
        <f>TRS!H8</f>
        <v>S40000003</v>
      </c>
    </row>
    <row r="6" spans="1:8" hidden="1" x14ac:dyDescent="0.25">
      <c r="A6" t="str">
        <f>TRS!A9</f>
        <v>2018-19</v>
      </c>
      <c r="B6" t="str">
        <f>TRS!B9</f>
        <v>City of Edinburgh</v>
      </c>
      <c r="C6" t="str">
        <f>TRS!C9</f>
        <v>S12000036</v>
      </c>
      <c r="D6" t="str">
        <f>TRS!D9</f>
        <v>Edinburgh City</v>
      </c>
      <c r="E6">
        <f>TRS!E9</f>
        <v>0</v>
      </c>
      <c r="F6" t="str">
        <f>TRS!F9</f>
        <v>S39000009</v>
      </c>
      <c r="G6" t="str">
        <f>TRS!G9</f>
        <v>East</v>
      </c>
      <c r="H6" t="str">
        <f>TRS!H9</f>
        <v>S40000004</v>
      </c>
    </row>
    <row r="7" spans="1:8" hidden="1" x14ac:dyDescent="0.25">
      <c r="A7" t="str">
        <f>TRS!A10</f>
        <v>2018-19</v>
      </c>
      <c r="B7" t="str">
        <f>TRS!B10</f>
        <v>Clackmannanshire</v>
      </c>
      <c r="C7" t="str">
        <f>TRS!C10</f>
        <v>S12000005</v>
      </c>
      <c r="D7" t="str">
        <f>TRS!D10</f>
        <v>Stirling and Clackmannanshire</v>
      </c>
      <c r="E7">
        <f>TRS!E10</f>
        <v>0</v>
      </c>
      <c r="F7" t="str">
        <f>TRS!F10</f>
        <v>S39000016</v>
      </c>
      <c r="G7" t="str">
        <f>TRS!G10</f>
        <v>East</v>
      </c>
      <c r="H7" t="str">
        <f>TRS!H10</f>
        <v>S40000004</v>
      </c>
    </row>
    <row r="8" spans="1:8" hidden="1" x14ac:dyDescent="0.25">
      <c r="A8" t="str">
        <f>TRS!A11</f>
        <v>2018-19</v>
      </c>
      <c r="B8" t="str">
        <f>TRS!B11</f>
        <v>Dumfries and Galloway</v>
      </c>
      <c r="C8" t="str">
        <f>TRS!C11</f>
        <v>S12000006</v>
      </c>
      <c r="D8" t="str">
        <f>TRS!D11</f>
        <v>Dumfries and Galloway</v>
      </c>
      <c r="E8">
        <f>TRS!E11</f>
        <v>0</v>
      </c>
      <c r="F8" t="str">
        <f>TRS!F11</f>
        <v>S39000004</v>
      </c>
      <c r="G8" t="str">
        <f>TRS!G11</f>
        <v>West</v>
      </c>
      <c r="H8" t="str">
        <f>TRS!H11</f>
        <v>S40000003</v>
      </c>
    </row>
    <row r="9" spans="1:8" hidden="1" x14ac:dyDescent="0.25">
      <c r="A9" t="str">
        <f>TRS!A12</f>
        <v>2018-19</v>
      </c>
      <c r="B9" t="str">
        <f>TRS!B12</f>
        <v>Dundee City</v>
      </c>
      <c r="C9" t="str">
        <f>TRS!C12</f>
        <v>S12000042</v>
      </c>
      <c r="D9" t="str">
        <f>TRS!D12</f>
        <v>Dundee, Angus, Perth and Kinross</v>
      </c>
      <c r="E9">
        <f>TRS!E12</f>
        <v>0</v>
      </c>
      <c r="F9" t="str">
        <f>TRS!F12</f>
        <v>S39000018</v>
      </c>
      <c r="G9" t="str">
        <f>TRS!G12</f>
        <v>North</v>
      </c>
      <c r="H9" t="str">
        <f>TRS!H12</f>
        <v>S40000005</v>
      </c>
    </row>
    <row r="10" spans="1:8" hidden="1" x14ac:dyDescent="0.25">
      <c r="A10" t="str">
        <f>TRS!A13</f>
        <v>2018-19</v>
      </c>
      <c r="B10" t="str">
        <f>TRS!B13</f>
        <v>East Ayrshire</v>
      </c>
      <c r="C10" t="str">
        <f>TRS!C13</f>
        <v>S12000008</v>
      </c>
      <c r="D10" t="str">
        <f>TRS!D13</f>
        <v>East Ayrshire, North Ayrshire and South Ayrshire</v>
      </c>
      <c r="E10">
        <f>TRS!E13</f>
        <v>0</v>
      </c>
      <c r="F10" t="str">
        <f>TRS!F13</f>
        <v>S39000006</v>
      </c>
      <c r="G10" t="str">
        <f>TRS!G13</f>
        <v>West</v>
      </c>
      <c r="H10" t="str">
        <f>TRS!H13</f>
        <v>S40000003</v>
      </c>
    </row>
    <row r="11" spans="1:8" hidden="1" x14ac:dyDescent="0.25">
      <c r="A11" t="str">
        <f>TRS!A14</f>
        <v>2018-19</v>
      </c>
      <c r="B11" t="str">
        <f>TRS!B14</f>
        <v>East Dunbartonshire</v>
      </c>
      <c r="C11" t="str">
        <f>TRS!C14</f>
        <v>S12000045</v>
      </c>
      <c r="D11" t="str">
        <f>TRS!D14</f>
        <v>Argyll and Bute, East Dunbartonshire and West Dunbartonshire</v>
      </c>
      <c r="E11">
        <f>TRS!E14</f>
        <v>0</v>
      </c>
      <c r="F11" t="str">
        <f>TRS!F14</f>
        <v>S39000003</v>
      </c>
      <c r="G11" t="str">
        <f>TRS!G14</f>
        <v>West</v>
      </c>
      <c r="H11" t="str">
        <f>TRS!H14</f>
        <v>S40000003</v>
      </c>
    </row>
    <row r="12" spans="1:8" hidden="1" x14ac:dyDescent="0.25">
      <c r="A12" t="str">
        <f>TRS!A15</f>
        <v>2018-19</v>
      </c>
      <c r="B12" t="str">
        <f>TRS!B15</f>
        <v>East Lothian</v>
      </c>
      <c r="C12" t="str">
        <f>TRS!C15</f>
        <v>S12000010</v>
      </c>
      <c r="D12" t="str">
        <f>TRS!D15</f>
        <v>East Lothian, Midlothian and the Scottish Borders</v>
      </c>
      <c r="E12">
        <f>TRS!E15</f>
        <v>0</v>
      </c>
      <c r="F12" t="str">
        <f>TRS!F15</f>
        <v>S39000007</v>
      </c>
      <c r="G12" t="str">
        <f>TRS!G15</f>
        <v>East</v>
      </c>
      <c r="H12" t="str">
        <f>TRS!H15</f>
        <v>S40000004</v>
      </c>
    </row>
    <row r="13" spans="1:8" hidden="1" x14ac:dyDescent="0.25">
      <c r="A13" t="str">
        <f>TRS!A16</f>
        <v>2018-19</v>
      </c>
      <c r="B13" t="str">
        <f>TRS!B16</f>
        <v>East Renfrewshire</v>
      </c>
      <c r="C13" t="str">
        <f>TRS!C16</f>
        <v>S12000011</v>
      </c>
      <c r="D13" t="str">
        <f>TRS!D16</f>
        <v>East Renfrewshire, Renfrewshire and Inverclyde</v>
      </c>
      <c r="E13">
        <f>TRS!E16</f>
        <v>0</v>
      </c>
      <c r="F13" t="str">
        <f>TRS!F16</f>
        <v>S39000008</v>
      </c>
      <c r="G13" t="str">
        <f>TRS!G16</f>
        <v>West</v>
      </c>
      <c r="H13" t="str">
        <f>TRS!H16</f>
        <v>S40000003</v>
      </c>
    </row>
    <row r="14" spans="1:8" hidden="1" x14ac:dyDescent="0.25">
      <c r="A14" t="str">
        <f>TRS!A17</f>
        <v>2018-19</v>
      </c>
      <c r="B14" t="str">
        <f>TRS!B17</f>
        <v>Falkirk</v>
      </c>
      <c r="C14" t="str">
        <f>TRS!C17</f>
        <v>S12000014</v>
      </c>
      <c r="D14" t="str">
        <f>TRS!D17</f>
        <v>Falkirk and West Lothian</v>
      </c>
      <c r="E14">
        <f>TRS!E17</f>
        <v>0</v>
      </c>
      <c r="F14" t="str">
        <f>TRS!F17</f>
        <v>S39000010</v>
      </c>
      <c r="G14" t="str">
        <f>TRS!G17</f>
        <v>East</v>
      </c>
      <c r="H14" t="str">
        <f>TRS!H17</f>
        <v>S40000004</v>
      </c>
    </row>
    <row r="15" spans="1:8" hidden="1" x14ac:dyDescent="0.25">
      <c r="A15" t="str">
        <f>TRS!A18</f>
        <v>2018-19</v>
      </c>
      <c r="B15" t="str">
        <f>TRS!B18</f>
        <v>Fife</v>
      </c>
      <c r="C15" t="str">
        <f>TRS!C18</f>
        <v>S12000047</v>
      </c>
      <c r="D15" t="str">
        <f>TRS!D18</f>
        <v>Fife</v>
      </c>
      <c r="E15">
        <f>TRS!E18</f>
        <v>0</v>
      </c>
      <c r="F15" t="str">
        <f>TRS!F18</f>
        <v>S39000019</v>
      </c>
      <c r="G15" t="str">
        <f>TRS!G18</f>
        <v>East</v>
      </c>
      <c r="H15" t="str">
        <f>TRS!H18</f>
        <v>S40000004</v>
      </c>
    </row>
    <row r="16" spans="1:8" hidden="1" x14ac:dyDescent="0.25">
      <c r="A16" t="str">
        <f>TRS!A19</f>
        <v>2018-19</v>
      </c>
      <c r="B16" t="str">
        <f>TRS!B19</f>
        <v>Glasgow City</v>
      </c>
      <c r="C16" t="str">
        <f>TRS!C19</f>
        <v>S12000046</v>
      </c>
      <c r="D16" t="str">
        <f>TRS!D19</f>
        <v>Glasgow City</v>
      </c>
      <c r="E16">
        <f>TRS!E19</f>
        <v>0</v>
      </c>
      <c r="F16" t="str">
        <f>TRS!F19</f>
        <v>S39000012</v>
      </c>
      <c r="G16" t="str">
        <f>TRS!G19</f>
        <v>West</v>
      </c>
      <c r="H16" t="str">
        <f>TRS!H19</f>
        <v>S40000003</v>
      </c>
    </row>
    <row r="17" spans="1:8" hidden="1" x14ac:dyDescent="0.25">
      <c r="A17" t="str">
        <f>TRS!A20</f>
        <v>2018-19</v>
      </c>
      <c r="B17" t="str">
        <f>TRS!B20</f>
        <v>Highland</v>
      </c>
      <c r="C17" t="str">
        <f>TRS!C20</f>
        <v>S12000017</v>
      </c>
      <c r="D17" t="str">
        <f>TRS!D20</f>
        <v>Highlands</v>
      </c>
      <c r="E17">
        <f>TRS!E20</f>
        <v>0</v>
      </c>
      <c r="F17" t="str">
        <f>TRS!F20</f>
        <v>S39000013</v>
      </c>
      <c r="G17" t="str">
        <f>TRS!G20</f>
        <v>North</v>
      </c>
      <c r="H17" t="str">
        <f>TRS!H20</f>
        <v>S40000005</v>
      </c>
    </row>
    <row r="18" spans="1:8" hidden="1" x14ac:dyDescent="0.25">
      <c r="A18" t="str">
        <f>TRS!A21</f>
        <v>2018-19</v>
      </c>
      <c r="B18" t="str">
        <f>TRS!B21</f>
        <v>Inverclyde</v>
      </c>
      <c r="C18" t="str">
        <f>TRS!C21</f>
        <v>S12000018</v>
      </c>
      <c r="D18" t="str">
        <f>TRS!D21</f>
        <v>East Renfrewshire, Renfrewshire and Inverclyde</v>
      </c>
      <c r="E18">
        <f>TRS!E21</f>
        <v>0</v>
      </c>
      <c r="F18" t="str">
        <f>TRS!F21</f>
        <v>S39000008</v>
      </c>
      <c r="G18" t="str">
        <f>TRS!G21</f>
        <v>West</v>
      </c>
      <c r="H18" t="str">
        <f>TRS!H21</f>
        <v>S40000003</v>
      </c>
    </row>
    <row r="19" spans="1:8" hidden="1" x14ac:dyDescent="0.25">
      <c r="A19" t="str">
        <f>TRS!A22</f>
        <v>2018-19</v>
      </c>
      <c r="B19" t="str">
        <f>TRS!B22</f>
        <v>Midlothian</v>
      </c>
      <c r="C19" t="str">
        <f>TRS!C22</f>
        <v>S12000019</v>
      </c>
      <c r="D19" t="str">
        <f>TRS!D22</f>
        <v>East Lothian, Midlothian and the Scottish Borders</v>
      </c>
      <c r="E19">
        <f>TRS!E22</f>
        <v>0</v>
      </c>
      <c r="F19" t="str">
        <f>TRS!F22</f>
        <v>S39000007</v>
      </c>
      <c r="G19" t="str">
        <f>TRS!G22</f>
        <v>East</v>
      </c>
      <c r="H19" t="str">
        <f>TRS!H22</f>
        <v>S40000004</v>
      </c>
    </row>
    <row r="20" spans="1:8" hidden="1" x14ac:dyDescent="0.25">
      <c r="A20" t="str">
        <f>TRS!A23</f>
        <v>2018-19</v>
      </c>
      <c r="B20" t="str">
        <f>TRS!B23</f>
        <v>Moray</v>
      </c>
      <c r="C20" t="str">
        <f>TRS!C23</f>
        <v>S12000020</v>
      </c>
      <c r="D20" t="str">
        <f>TRS!D23</f>
        <v>Aberdeenshire and Moray</v>
      </c>
      <c r="E20">
        <f>TRS!E23</f>
        <v>0</v>
      </c>
      <c r="F20" t="str">
        <f>TRS!F23</f>
        <v>S39000002</v>
      </c>
      <c r="G20" t="str">
        <f>TRS!G23</f>
        <v>North</v>
      </c>
      <c r="H20" t="str">
        <f>TRS!H23</f>
        <v>S40000005</v>
      </c>
    </row>
    <row r="21" spans="1:8" hidden="1" x14ac:dyDescent="0.25">
      <c r="A21" t="str">
        <f>TRS!A24</f>
        <v>2018-19</v>
      </c>
      <c r="B21" t="str">
        <f>TRS!B24</f>
        <v>Na h-Eileanan Siar</v>
      </c>
      <c r="C21" t="str">
        <f>TRS!C24</f>
        <v>S12000013</v>
      </c>
      <c r="D21" t="str">
        <f>TRS!D24</f>
        <v>Western Isles, Orkney and Shetland Islands</v>
      </c>
      <c r="E21">
        <f>TRS!E24</f>
        <v>0</v>
      </c>
      <c r="F21" t="str">
        <f>TRS!F24</f>
        <v>S39000017</v>
      </c>
      <c r="G21" t="str">
        <f>TRS!G24</f>
        <v>North</v>
      </c>
      <c r="H21" t="str">
        <f>TRS!H24</f>
        <v>S40000005</v>
      </c>
    </row>
    <row r="22" spans="1:8" hidden="1" x14ac:dyDescent="0.25">
      <c r="A22" t="str">
        <f>TRS!A25</f>
        <v>2018-19</v>
      </c>
      <c r="B22" t="str">
        <f>TRS!B25</f>
        <v>North Ayrshire</v>
      </c>
      <c r="C22" t="str">
        <f>TRS!C25</f>
        <v>S12000021</v>
      </c>
      <c r="D22" t="str">
        <f>TRS!D25</f>
        <v>East Ayrshire, North Ayrshire and South Ayrshire</v>
      </c>
      <c r="E22">
        <f>TRS!E25</f>
        <v>0</v>
      </c>
      <c r="F22" t="str">
        <f>TRS!F25</f>
        <v>S39000006</v>
      </c>
      <c r="G22" t="str">
        <f>TRS!G25</f>
        <v>West</v>
      </c>
      <c r="H22" t="str">
        <f>TRS!H25</f>
        <v>S40000003</v>
      </c>
    </row>
    <row r="23" spans="1:8" hidden="1" x14ac:dyDescent="0.25">
      <c r="A23" t="str">
        <f>TRS!A26</f>
        <v>2018-19</v>
      </c>
      <c r="B23" t="str">
        <f>TRS!B26</f>
        <v>North Lanarkshire</v>
      </c>
      <c r="C23" t="str">
        <f>TRS!C26</f>
        <v>S12000044</v>
      </c>
      <c r="D23" t="str">
        <f>TRS!D26</f>
        <v>North Lanarkshire</v>
      </c>
      <c r="E23">
        <f>TRS!E26</f>
        <v>0</v>
      </c>
      <c r="F23" t="str">
        <f>TRS!F26</f>
        <v>S39000014</v>
      </c>
      <c r="G23" t="str">
        <f>TRS!G26</f>
        <v>West</v>
      </c>
      <c r="H23" t="str">
        <f>TRS!H26</f>
        <v>S40000003</v>
      </c>
    </row>
    <row r="24" spans="1:8" hidden="1" x14ac:dyDescent="0.25">
      <c r="A24" t="str">
        <f>TRS!A27</f>
        <v>2018-19</v>
      </c>
      <c r="B24" t="str">
        <f>TRS!B27</f>
        <v>Orkney Islands</v>
      </c>
      <c r="C24" t="str">
        <f>TRS!C27</f>
        <v>S12000023</v>
      </c>
      <c r="D24" t="str">
        <f>TRS!D27</f>
        <v>Western Isles, Orkney and Shetland Islands</v>
      </c>
      <c r="E24">
        <f>TRS!E27</f>
        <v>0</v>
      </c>
      <c r="F24" t="str">
        <f>TRS!F27</f>
        <v>S39000017</v>
      </c>
      <c r="G24" t="str">
        <f>TRS!G27</f>
        <v>North</v>
      </c>
      <c r="H24" t="str">
        <f>TRS!H27</f>
        <v>S40000005</v>
      </c>
    </row>
    <row r="25" spans="1:8" hidden="1" x14ac:dyDescent="0.25">
      <c r="A25" t="str">
        <f>TRS!A28</f>
        <v>2018-19</v>
      </c>
      <c r="B25" t="str">
        <f>TRS!B28</f>
        <v>Perth and Kinross</v>
      </c>
      <c r="C25" t="str">
        <f>TRS!C28</f>
        <v>S12000024</v>
      </c>
      <c r="D25" t="str">
        <f>TRS!D28</f>
        <v>Dundee, Angus, Perth and Kinross</v>
      </c>
      <c r="E25">
        <f>TRS!E28</f>
        <v>0</v>
      </c>
      <c r="F25" t="str">
        <f>TRS!F28</f>
        <v>S39000018</v>
      </c>
      <c r="G25" t="str">
        <f>TRS!G28</f>
        <v>North</v>
      </c>
      <c r="H25" t="str">
        <f>TRS!H28</f>
        <v>S40000005</v>
      </c>
    </row>
    <row r="26" spans="1:8" hidden="1" x14ac:dyDescent="0.25">
      <c r="A26" t="str">
        <f>TRS!A29</f>
        <v>2018-19</v>
      </c>
      <c r="B26" t="str">
        <f>TRS!B29</f>
        <v>Renfrewshire</v>
      </c>
      <c r="C26" t="str">
        <f>TRS!C29</f>
        <v>S12000038</v>
      </c>
      <c r="D26" t="str">
        <f>TRS!D29</f>
        <v>East Renfrewshire, Renfrewshire and Inverclyde</v>
      </c>
      <c r="E26">
        <f>TRS!E29</f>
        <v>0</v>
      </c>
      <c r="F26" t="str">
        <f>TRS!F29</f>
        <v>S39000008</v>
      </c>
      <c r="G26" t="str">
        <f>TRS!G29</f>
        <v>West</v>
      </c>
      <c r="H26" t="str">
        <f>TRS!H29</f>
        <v>S40000003</v>
      </c>
    </row>
    <row r="27" spans="1:8" hidden="1" x14ac:dyDescent="0.25">
      <c r="A27" t="str">
        <f>TRS!A30</f>
        <v>2018-19</v>
      </c>
      <c r="B27" t="str">
        <f>TRS!B30</f>
        <v>Scottish Borders</v>
      </c>
      <c r="C27" t="str">
        <f>TRS!C30</f>
        <v>S12000026</v>
      </c>
      <c r="D27" t="str">
        <f>TRS!D30</f>
        <v>East Lothian, Midlothian and the Scottish Borders</v>
      </c>
      <c r="E27">
        <f>TRS!E30</f>
        <v>0</v>
      </c>
      <c r="F27" t="str">
        <f>TRS!F30</f>
        <v>S39000007</v>
      </c>
      <c r="G27" t="str">
        <f>TRS!G30</f>
        <v>East</v>
      </c>
      <c r="H27" t="str">
        <f>TRS!H30</f>
        <v>S40000004</v>
      </c>
    </row>
    <row r="28" spans="1:8" hidden="1" x14ac:dyDescent="0.25">
      <c r="A28" t="str">
        <f>TRS!A31</f>
        <v>2018-19</v>
      </c>
      <c r="B28" t="str">
        <f>TRS!B31</f>
        <v>Shetland Islands</v>
      </c>
      <c r="C28" t="str">
        <f>TRS!C31</f>
        <v>S12000027</v>
      </c>
      <c r="D28" t="str">
        <f>TRS!D31</f>
        <v>Western Isles, Orkney and Shetland Islands</v>
      </c>
      <c r="E28">
        <f>TRS!E31</f>
        <v>0</v>
      </c>
      <c r="F28" t="str">
        <f>TRS!F31</f>
        <v>S39000017</v>
      </c>
      <c r="G28" t="str">
        <f>TRS!G31</f>
        <v>North</v>
      </c>
      <c r="H28" t="str">
        <f>TRS!H31</f>
        <v>S40000005</v>
      </c>
    </row>
    <row r="29" spans="1:8" hidden="1" x14ac:dyDescent="0.25">
      <c r="A29" t="str">
        <f>TRS!A32</f>
        <v>2018-19</v>
      </c>
      <c r="B29" t="str">
        <f>TRS!B32</f>
        <v>South Ayrshire</v>
      </c>
      <c r="C29" t="str">
        <f>TRS!C32</f>
        <v>S12000028</v>
      </c>
      <c r="D29" t="str">
        <f>TRS!D32</f>
        <v>East Ayrshire, North Ayrshire and South Ayrshire</v>
      </c>
      <c r="E29">
        <f>TRS!E32</f>
        <v>0</v>
      </c>
      <c r="F29" t="str">
        <f>TRS!F32</f>
        <v>S39000006</v>
      </c>
      <c r="G29" t="str">
        <f>TRS!G32</f>
        <v>West</v>
      </c>
      <c r="H29" t="str">
        <f>TRS!H32</f>
        <v>S40000003</v>
      </c>
    </row>
    <row r="30" spans="1:8" hidden="1" x14ac:dyDescent="0.25">
      <c r="A30" t="str">
        <f>TRS!A33</f>
        <v>2018-19</v>
      </c>
      <c r="B30" t="str">
        <f>TRS!B33</f>
        <v>South Lanarkshire</v>
      </c>
      <c r="C30" t="str">
        <f>TRS!C33</f>
        <v>S12000029</v>
      </c>
      <c r="D30" t="str">
        <f>TRS!D33</f>
        <v>South Lanarkshire</v>
      </c>
      <c r="E30">
        <f>TRS!E33</f>
        <v>0</v>
      </c>
      <c r="F30" t="str">
        <f>TRS!F33</f>
        <v>S39000015</v>
      </c>
      <c r="G30" t="str">
        <f>TRS!G33</f>
        <v>West</v>
      </c>
      <c r="H30" t="str">
        <f>TRS!H33</f>
        <v>S40000003</v>
      </c>
    </row>
    <row r="31" spans="1:8" hidden="1" x14ac:dyDescent="0.25">
      <c r="A31" t="str">
        <f>TRS!A34</f>
        <v>2018-19</v>
      </c>
      <c r="B31" t="str">
        <f>TRS!B34</f>
        <v>Stirling</v>
      </c>
      <c r="C31" t="str">
        <f>TRS!C34</f>
        <v>S12000030</v>
      </c>
      <c r="D31" t="str">
        <f>TRS!D34</f>
        <v>Stirling and Clackmannanshire</v>
      </c>
      <c r="E31">
        <f>TRS!E34</f>
        <v>0</v>
      </c>
      <c r="F31" t="str">
        <f>TRS!F34</f>
        <v>S39000016</v>
      </c>
      <c r="G31" t="str">
        <f>TRS!G34</f>
        <v>East</v>
      </c>
      <c r="H31" t="str">
        <f>TRS!H34</f>
        <v>S40000004</v>
      </c>
    </row>
    <row r="32" spans="1:8" hidden="1" x14ac:dyDescent="0.25">
      <c r="A32" t="str">
        <f>TRS!A35</f>
        <v>2018-19</v>
      </c>
      <c r="B32" t="str">
        <f>TRS!B35</f>
        <v>West Dunbartonshire</v>
      </c>
      <c r="C32" t="str">
        <f>TRS!C35</f>
        <v>S12000039</v>
      </c>
      <c r="D32" t="str">
        <f>TRS!D35</f>
        <v>Argyll and Bute, East Dunbartonshire and West Dunbartonshire</v>
      </c>
      <c r="E32">
        <f>TRS!E35</f>
        <v>0</v>
      </c>
      <c r="F32" t="str">
        <f>TRS!F35</f>
        <v>S39000003</v>
      </c>
      <c r="G32" t="str">
        <f>TRS!G35</f>
        <v>West</v>
      </c>
      <c r="H32" t="str">
        <f>TRS!H35</f>
        <v>S40000003</v>
      </c>
    </row>
    <row r="33" spans="1:8" hidden="1" x14ac:dyDescent="0.25">
      <c r="A33" t="str">
        <f>TRS!A36</f>
        <v>2018-19</v>
      </c>
      <c r="B33" t="str">
        <f>TRS!B36</f>
        <v>West Lothian</v>
      </c>
      <c r="C33" t="str">
        <f>TRS!C36</f>
        <v>S12000040</v>
      </c>
      <c r="D33" t="str">
        <f>TRS!D36</f>
        <v>Falkirk and West Lothian</v>
      </c>
      <c r="E33">
        <f>TRS!E36</f>
        <v>0</v>
      </c>
      <c r="F33" t="str">
        <f>TRS!F36</f>
        <v>S39000010</v>
      </c>
      <c r="G33" t="str">
        <f>TRS!G36</f>
        <v>East</v>
      </c>
      <c r="H33" t="str">
        <f>TRS!H36</f>
        <v>S40000004</v>
      </c>
    </row>
    <row r="34" spans="1:8" x14ac:dyDescent="0.25">
      <c r="A34" t="str">
        <f>TRS!A37</f>
        <v>2019-20</v>
      </c>
      <c r="B34" t="str">
        <f>TRS!B37</f>
        <v>Aberdeen City</v>
      </c>
      <c r="C34" t="str">
        <f>TRS!C37</f>
        <v>S12000033</v>
      </c>
      <c r="D34" t="str">
        <f>TRS!D37</f>
        <v>Aberdeen City</v>
      </c>
      <c r="E34" t="str">
        <f>TRS!E37</f>
        <v>Aberdeen City</v>
      </c>
      <c r="F34" t="str">
        <f>TRS!F37</f>
        <v>S39000001</v>
      </c>
      <c r="G34" t="str">
        <f>TRS!G37</f>
        <v>North</v>
      </c>
      <c r="H34" t="str">
        <f>TRS!H37</f>
        <v>S40000005</v>
      </c>
    </row>
    <row r="35" spans="1:8" x14ac:dyDescent="0.25">
      <c r="A35" t="str">
        <f>TRS!A38</f>
        <v>2019-20</v>
      </c>
      <c r="B35" t="str">
        <f>TRS!B38</f>
        <v>Aberdeenshire</v>
      </c>
      <c r="C35" t="str">
        <f>TRS!C38</f>
        <v>S12000034</v>
      </c>
      <c r="D35" t="str">
        <f>TRS!D38</f>
        <v>Aberdeenshire and Moray</v>
      </c>
      <c r="E35" t="str">
        <f>TRS!E38</f>
        <v>Aberdeenshire and Moray</v>
      </c>
      <c r="F35" t="str">
        <f>TRS!F38</f>
        <v>S39000002</v>
      </c>
      <c r="G35" t="str">
        <f>TRS!G38</f>
        <v>North</v>
      </c>
      <c r="H35" t="str">
        <f>TRS!H38</f>
        <v>S40000005</v>
      </c>
    </row>
    <row r="36" spans="1:8" x14ac:dyDescent="0.25">
      <c r="A36" t="str">
        <f>TRS!A39</f>
        <v>2019-20</v>
      </c>
      <c r="B36" t="str">
        <f>TRS!B39</f>
        <v>Angus</v>
      </c>
      <c r="C36" t="str">
        <f>TRS!C39</f>
        <v>S12000041</v>
      </c>
      <c r="D36" t="str">
        <f>TRS!D39</f>
        <v>Dundee, Angus, Perth and Kinross</v>
      </c>
      <c r="E36" t="str">
        <f>TRS!E39</f>
        <v>Dundee, Angus, Perth and Kinross</v>
      </c>
      <c r="F36" t="str">
        <f>TRS!F39</f>
        <v>S39000018</v>
      </c>
      <c r="G36" t="str">
        <f>TRS!G39</f>
        <v>North</v>
      </c>
      <c r="H36" t="str">
        <f>TRS!H39</f>
        <v>S40000005</v>
      </c>
    </row>
    <row r="37" spans="1:8" x14ac:dyDescent="0.25">
      <c r="A37" t="str">
        <f>TRS!A40</f>
        <v>2019-20</v>
      </c>
      <c r="B37" t="str">
        <f>TRS!B40</f>
        <v>Argyll and Bute</v>
      </c>
      <c r="C37" t="str">
        <f>TRS!C40</f>
        <v>S12000035</v>
      </c>
      <c r="D37" t="str">
        <f>TRS!D40</f>
        <v>Argyll and Bute, East Dunbartonshire and West Dunbartonshire</v>
      </c>
      <c r="E37" t="str">
        <f>TRS!E40</f>
        <v>Argyll and Bute, East Dunbartonshire and West Dunbartonshire</v>
      </c>
      <c r="F37" t="str">
        <f>TRS!F40</f>
        <v>S39000003</v>
      </c>
      <c r="G37" t="str">
        <f>TRS!G40</f>
        <v>West</v>
      </c>
      <c r="H37" t="str">
        <f>TRS!H40</f>
        <v>S40000003</v>
      </c>
    </row>
    <row r="38" spans="1:8" x14ac:dyDescent="0.25">
      <c r="A38" t="str">
        <f>TRS!A41</f>
        <v>2019-20</v>
      </c>
      <c r="B38" t="str">
        <f>TRS!B41</f>
        <v>City of Edinburgh</v>
      </c>
      <c r="C38" t="str">
        <f>TRS!C41</f>
        <v>S12000036</v>
      </c>
      <c r="D38" t="str">
        <f>TRS!D41</f>
        <v>Edinburgh City</v>
      </c>
      <c r="E38" t="str">
        <f>TRS!E41</f>
        <v>Edinburgh City</v>
      </c>
      <c r="F38" t="str">
        <f>TRS!F41</f>
        <v>S39000009</v>
      </c>
      <c r="G38" t="str">
        <f>TRS!G41</f>
        <v>East</v>
      </c>
      <c r="H38" t="str">
        <f>TRS!H41</f>
        <v>S40000004</v>
      </c>
    </row>
    <row r="39" spans="1:8" x14ac:dyDescent="0.25">
      <c r="A39" t="str">
        <f>TRS!A42</f>
        <v>2019-20</v>
      </c>
      <c r="B39" t="str">
        <f>TRS!B42</f>
        <v>Clackmannanshire</v>
      </c>
      <c r="C39" t="str">
        <f>TRS!C42</f>
        <v>S12000005</v>
      </c>
      <c r="D39" t="str">
        <f>TRS!D42</f>
        <v>Stirling and Clackmannanshire</v>
      </c>
      <c r="E39" t="str">
        <f>TRS!E42</f>
        <v>Stirling, Clackmannanshire and Fife</v>
      </c>
      <c r="F39" t="str">
        <f>TRS!F42</f>
        <v>S39000016</v>
      </c>
      <c r="G39" t="str">
        <f>TRS!G42</f>
        <v>East</v>
      </c>
      <c r="H39" t="str">
        <f>TRS!H42</f>
        <v>S40000004</v>
      </c>
    </row>
    <row r="40" spans="1:8" x14ac:dyDescent="0.25">
      <c r="A40" t="str">
        <f>TRS!A43</f>
        <v>2019-20</v>
      </c>
      <c r="B40" t="str">
        <f>TRS!B43</f>
        <v>Dumfries and Galloway</v>
      </c>
      <c r="C40" t="str">
        <f>TRS!C43</f>
        <v>S12000006</v>
      </c>
      <c r="D40" t="str">
        <f>TRS!D43</f>
        <v>Dumfries and Galloway</v>
      </c>
      <c r="E40" t="str">
        <f>TRS!E43</f>
        <v>Dumfries and Galloway</v>
      </c>
      <c r="F40" t="str">
        <f>TRS!F43</f>
        <v>S39000004</v>
      </c>
      <c r="G40" t="str">
        <f>TRS!G43</f>
        <v>West</v>
      </c>
      <c r="H40" t="str">
        <f>TRS!H43</f>
        <v>S40000003</v>
      </c>
    </row>
    <row r="41" spans="1:8" x14ac:dyDescent="0.25">
      <c r="A41" t="str">
        <f>TRS!A44</f>
        <v>2019-20</v>
      </c>
      <c r="B41" t="str">
        <f>TRS!B44</f>
        <v>Dundee City</v>
      </c>
      <c r="C41" t="str">
        <f>TRS!C44</f>
        <v>S12000042</v>
      </c>
      <c r="D41" t="str">
        <f>TRS!D44</f>
        <v>Dundee, Angus, Perth and Kinross</v>
      </c>
      <c r="E41" t="str">
        <f>TRS!E44</f>
        <v>Dundee, Angus, Perth and Kinross</v>
      </c>
      <c r="F41" t="str">
        <f>TRS!F44</f>
        <v>S39000018</v>
      </c>
      <c r="G41" t="str">
        <f>TRS!G44</f>
        <v>North</v>
      </c>
      <c r="H41" t="str">
        <f>TRS!H44</f>
        <v>S40000005</v>
      </c>
    </row>
    <row r="42" spans="1:8" x14ac:dyDescent="0.25">
      <c r="A42" t="str">
        <f>TRS!A45</f>
        <v>2019-20</v>
      </c>
      <c r="B42" t="str">
        <f>TRS!B45</f>
        <v>East Ayrshire</v>
      </c>
      <c r="C42" t="str">
        <f>TRS!C45</f>
        <v>S12000008</v>
      </c>
      <c r="D42" t="str">
        <f>TRS!D45</f>
        <v>East Ayrshire, North Ayrshire and South Ayrshire</v>
      </c>
      <c r="E42" t="str">
        <f>TRS!E45</f>
        <v>East Ayrshire, North Ayrshire and South Ayrshire</v>
      </c>
      <c r="F42" t="str">
        <f>TRS!F45</f>
        <v>S39000006</v>
      </c>
      <c r="G42" t="str">
        <f>TRS!G45</f>
        <v>West</v>
      </c>
      <c r="H42" t="str">
        <f>TRS!H45</f>
        <v>S40000003</v>
      </c>
    </row>
    <row r="43" spans="1:8" x14ac:dyDescent="0.25">
      <c r="A43" t="str">
        <f>TRS!A46</f>
        <v>2019-20</v>
      </c>
      <c r="B43" t="str">
        <f>TRS!B46</f>
        <v>East Dunbartonshire</v>
      </c>
      <c r="C43" t="str">
        <f>TRS!C46</f>
        <v>S12000045</v>
      </c>
      <c r="D43" t="str">
        <f>TRS!D46</f>
        <v>Argyll and Bute, East Dunbartonshire and West Dunbartonshire</v>
      </c>
      <c r="E43" t="str">
        <f>TRS!E46</f>
        <v>Argyll and Bute, East Dunbartonshire and West Dunbartonshire</v>
      </c>
      <c r="F43" t="str">
        <f>TRS!F46</f>
        <v>S39000003</v>
      </c>
      <c r="G43" t="str">
        <f>TRS!G46</f>
        <v>West</v>
      </c>
      <c r="H43" t="str">
        <f>TRS!H46</f>
        <v>S40000003</v>
      </c>
    </row>
    <row r="44" spans="1:8" x14ac:dyDescent="0.25">
      <c r="A44" t="str">
        <f>TRS!A47</f>
        <v>2019-20</v>
      </c>
      <c r="B44" t="str">
        <f>TRS!B47</f>
        <v>East Lothian</v>
      </c>
      <c r="C44" t="str">
        <f>TRS!C47</f>
        <v>S12000010</v>
      </c>
      <c r="D44" t="str">
        <f>TRS!D47</f>
        <v>East Lothian, Midlothian and the Scottish Borders</v>
      </c>
      <c r="E44" t="str">
        <f>TRS!E47</f>
        <v>East Lothian, Midlothian and the Scottish Borders</v>
      </c>
      <c r="F44" t="str">
        <f>TRS!F47</f>
        <v>S39000007</v>
      </c>
      <c r="G44" t="str">
        <f>TRS!G47</f>
        <v>East</v>
      </c>
      <c r="H44" t="str">
        <f>TRS!H47</f>
        <v>S40000004</v>
      </c>
    </row>
    <row r="45" spans="1:8" x14ac:dyDescent="0.25">
      <c r="A45" t="str">
        <f>TRS!A48</f>
        <v>2019-20</v>
      </c>
      <c r="B45" t="str">
        <f>TRS!B48</f>
        <v>East Renfrewshire</v>
      </c>
      <c r="C45" t="str">
        <f>TRS!C48</f>
        <v>S12000011</v>
      </c>
      <c r="D45" t="str">
        <f>TRS!D48</f>
        <v>East Renfrewshire, Renfrewshire and Inverclyde</v>
      </c>
      <c r="E45" t="str">
        <f>TRS!E48</f>
        <v>East Renfrewshire, Renfrewshire and Inverclyde</v>
      </c>
      <c r="F45" t="str">
        <f>TRS!F48</f>
        <v>S39000008</v>
      </c>
      <c r="G45" t="str">
        <f>TRS!G48</f>
        <v>West</v>
      </c>
      <c r="H45" t="str">
        <f>TRS!H48</f>
        <v>S40000003</v>
      </c>
    </row>
    <row r="46" spans="1:8" x14ac:dyDescent="0.25">
      <c r="A46" t="str">
        <f>TRS!A49</f>
        <v>2019-20</v>
      </c>
      <c r="B46" t="str">
        <f>TRS!B49</f>
        <v>Falkirk</v>
      </c>
      <c r="C46" t="str">
        <f>TRS!C49</f>
        <v>S12000014</v>
      </c>
      <c r="D46" t="str">
        <f>TRS!D49</f>
        <v>Falkirk and West Lothian</v>
      </c>
      <c r="E46" t="str">
        <f>TRS!E49</f>
        <v>Falkirk and West Lothian</v>
      </c>
      <c r="F46" t="str">
        <f>TRS!F49</f>
        <v>S39000010</v>
      </c>
      <c r="G46" t="str">
        <f>TRS!G49</f>
        <v>East</v>
      </c>
      <c r="H46" t="str">
        <f>TRS!H49</f>
        <v>S40000004</v>
      </c>
    </row>
    <row r="47" spans="1:8" x14ac:dyDescent="0.25">
      <c r="A47" t="str">
        <f>TRS!A50</f>
        <v>2019-20</v>
      </c>
      <c r="B47" t="str">
        <f>TRS!B50</f>
        <v>Fife</v>
      </c>
      <c r="C47" t="str">
        <f>TRS!C50</f>
        <v>S12000047</v>
      </c>
      <c r="D47" t="str">
        <f>TRS!D50</f>
        <v>Fife</v>
      </c>
      <c r="E47" t="str">
        <f>TRS!E50</f>
        <v>Stirling, Clackmannanshire and Fife</v>
      </c>
      <c r="F47" t="str">
        <f>TRS!F50</f>
        <v>S39000019</v>
      </c>
      <c r="G47" t="str">
        <f>TRS!G50</f>
        <v>East</v>
      </c>
      <c r="H47" t="str">
        <f>TRS!H50</f>
        <v>S40000004</v>
      </c>
    </row>
    <row r="48" spans="1:8" x14ac:dyDescent="0.25">
      <c r="A48" t="str">
        <f>TRS!A51</f>
        <v>2019-20</v>
      </c>
      <c r="B48" t="str">
        <f>TRS!B51</f>
        <v>Glasgow City</v>
      </c>
      <c r="C48" t="str">
        <f>TRS!C51</f>
        <v>S12000049</v>
      </c>
      <c r="D48" t="str">
        <f>TRS!D51</f>
        <v>Glasgow City</v>
      </c>
      <c r="E48" t="str">
        <f>TRS!E51</f>
        <v>Glasgow City</v>
      </c>
      <c r="F48" t="str">
        <f>TRS!F51</f>
        <v>S39000020</v>
      </c>
      <c r="G48" t="str">
        <f>TRS!G51</f>
        <v>West</v>
      </c>
      <c r="H48" t="str">
        <f>TRS!H51</f>
        <v>S40000003</v>
      </c>
    </row>
    <row r="49" spans="1:8" x14ac:dyDescent="0.25">
      <c r="A49" t="str">
        <f>TRS!A52</f>
        <v>2019-20</v>
      </c>
      <c r="B49" t="str">
        <f>TRS!B52</f>
        <v>Highland</v>
      </c>
      <c r="C49" t="str">
        <f>TRS!C52</f>
        <v>S12000017</v>
      </c>
      <c r="D49" t="str">
        <f>TRS!D52</f>
        <v>Highlands</v>
      </c>
      <c r="E49" t="str">
        <f>TRS!E52</f>
        <v>Highlands</v>
      </c>
      <c r="F49" t="str">
        <f>TRS!F52</f>
        <v>S39000013</v>
      </c>
      <c r="G49" t="str">
        <f>TRS!G52</f>
        <v>North</v>
      </c>
      <c r="H49" t="str">
        <f>TRS!H52</f>
        <v>S40000005</v>
      </c>
    </row>
    <row r="50" spans="1:8" x14ac:dyDescent="0.25">
      <c r="A50" t="str">
        <f>TRS!A53</f>
        <v>2019-20</v>
      </c>
      <c r="B50" t="str">
        <f>TRS!B53</f>
        <v>Inverclyde</v>
      </c>
      <c r="C50" t="str">
        <f>TRS!C53</f>
        <v>S12000018</v>
      </c>
      <c r="D50" t="str">
        <f>TRS!D53</f>
        <v>East Renfrewshire, Renfrewshire and Inverclyde</v>
      </c>
      <c r="E50" t="str">
        <f>TRS!E53</f>
        <v>East Renfrewshire, Renfrewshire and Inverclyde</v>
      </c>
      <c r="F50" t="str">
        <f>TRS!F53</f>
        <v>S39000008</v>
      </c>
      <c r="G50" t="str">
        <f>TRS!G53</f>
        <v>West</v>
      </c>
      <c r="H50" t="str">
        <f>TRS!H53</f>
        <v>S40000003</v>
      </c>
    </row>
    <row r="51" spans="1:8" x14ac:dyDescent="0.25">
      <c r="A51" t="str">
        <f>TRS!A54</f>
        <v>2019-20</v>
      </c>
      <c r="B51" t="str">
        <f>TRS!B54</f>
        <v>Midlothian</v>
      </c>
      <c r="C51" t="str">
        <f>TRS!C54</f>
        <v>S12000019</v>
      </c>
      <c r="D51" t="str">
        <f>TRS!D54</f>
        <v>East Lothian, Midlothian and the Scottish Borders</v>
      </c>
      <c r="E51" t="str">
        <f>TRS!E54</f>
        <v>East Lothian, Midlothian and the Scottish Borders</v>
      </c>
      <c r="F51" t="str">
        <f>TRS!F54</f>
        <v>S39000007</v>
      </c>
      <c r="G51" t="str">
        <f>TRS!G54</f>
        <v>East</v>
      </c>
      <c r="H51" t="str">
        <f>TRS!H54</f>
        <v>S40000004</v>
      </c>
    </row>
    <row r="52" spans="1:8" x14ac:dyDescent="0.25">
      <c r="A52" t="str">
        <f>TRS!A55</f>
        <v>2019-20</v>
      </c>
      <c r="B52" t="str">
        <f>TRS!B55</f>
        <v>Moray</v>
      </c>
      <c r="C52" t="str">
        <f>TRS!C55</f>
        <v>S12000020</v>
      </c>
      <c r="D52" t="str">
        <f>TRS!D55</f>
        <v>Aberdeenshire and Moray</v>
      </c>
      <c r="E52" t="str">
        <f>TRS!E55</f>
        <v>Aberdeenshire and Moray</v>
      </c>
      <c r="F52" t="str">
        <f>TRS!F55</f>
        <v>S39000002</v>
      </c>
      <c r="G52" t="str">
        <f>TRS!G55</f>
        <v>North</v>
      </c>
      <c r="H52" t="str">
        <f>TRS!H55</f>
        <v>S40000005</v>
      </c>
    </row>
    <row r="53" spans="1:8" x14ac:dyDescent="0.25">
      <c r="A53" t="str">
        <f>TRS!A56</f>
        <v>2019-20</v>
      </c>
      <c r="B53" t="str">
        <f>TRS!B56</f>
        <v>Na h-Eileanan Siar</v>
      </c>
      <c r="C53" t="str">
        <f>TRS!C56</f>
        <v>S12000013</v>
      </c>
      <c r="D53" t="str">
        <f>TRS!D56</f>
        <v>Western Isles, Orkney and Shetland Islands</v>
      </c>
      <c r="E53" t="str">
        <f>TRS!E56</f>
        <v>Western Isles, Orkney and Shetland Islands</v>
      </c>
      <c r="F53" t="str">
        <f>TRS!F56</f>
        <v>S39000017</v>
      </c>
      <c r="G53" t="str">
        <f>TRS!G56</f>
        <v>North</v>
      </c>
      <c r="H53" t="str">
        <f>TRS!H56</f>
        <v>S40000005</v>
      </c>
    </row>
    <row r="54" spans="1:8" x14ac:dyDescent="0.25">
      <c r="A54" t="str">
        <f>TRS!A57</f>
        <v>2019-20</v>
      </c>
      <c r="B54" t="str">
        <f>TRS!B57</f>
        <v>North Ayrshire</v>
      </c>
      <c r="C54" t="str">
        <f>TRS!C57</f>
        <v>S12000021</v>
      </c>
      <c r="D54" t="str">
        <f>TRS!D57</f>
        <v>East Ayrshire, North Ayrshire and South Ayrshire</v>
      </c>
      <c r="E54" t="str">
        <f>TRS!E57</f>
        <v>East Ayrshire, North Ayrshire and South Ayrshire</v>
      </c>
      <c r="F54" t="str">
        <f>TRS!F57</f>
        <v>S39000006</v>
      </c>
      <c r="G54" t="str">
        <f>TRS!G57</f>
        <v>West</v>
      </c>
      <c r="H54" t="str">
        <f>TRS!H57</f>
        <v>S40000003</v>
      </c>
    </row>
    <row r="55" spans="1:8" x14ac:dyDescent="0.25">
      <c r="A55" t="str">
        <f>TRS!A58</f>
        <v>2019-20</v>
      </c>
      <c r="B55" t="str">
        <f>TRS!B58</f>
        <v>North Lanarkshire</v>
      </c>
      <c r="C55" t="str">
        <f>TRS!C58</f>
        <v>S12000050</v>
      </c>
      <c r="D55" t="str">
        <f>TRS!D58</f>
        <v>North Lanarkshire</v>
      </c>
      <c r="E55" t="str">
        <f>TRS!E58</f>
        <v>North Lanarkshire</v>
      </c>
      <c r="F55" t="str">
        <f>TRS!F58</f>
        <v>S39000021</v>
      </c>
      <c r="G55" t="str">
        <f>TRS!G58</f>
        <v>West</v>
      </c>
      <c r="H55" t="str">
        <f>TRS!H58</f>
        <v>S40000003</v>
      </c>
    </row>
    <row r="56" spans="1:8" x14ac:dyDescent="0.25">
      <c r="A56" t="str">
        <f>TRS!A59</f>
        <v>2019-20</v>
      </c>
      <c r="B56" t="str">
        <f>TRS!B59</f>
        <v>Orkney Islands</v>
      </c>
      <c r="C56" t="str">
        <f>TRS!C59</f>
        <v>S12000023</v>
      </c>
      <c r="D56" t="str">
        <f>TRS!D59</f>
        <v>Western Isles, Orkney and Shetland Islands</v>
      </c>
      <c r="E56" t="str">
        <f>TRS!E59</f>
        <v>Western Isles, Orkney and Shetland Islands</v>
      </c>
      <c r="F56" t="str">
        <f>TRS!F59</f>
        <v>S39000017</v>
      </c>
      <c r="G56" t="str">
        <f>TRS!G59</f>
        <v>North</v>
      </c>
      <c r="H56" t="str">
        <f>TRS!H59</f>
        <v>S40000005</v>
      </c>
    </row>
    <row r="57" spans="1:8" x14ac:dyDescent="0.25">
      <c r="A57" t="str">
        <f>TRS!A60</f>
        <v>2019-20</v>
      </c>
      <c r="B57" t="str">
        <f>TRS!B60</f>
        <v>Perth and Kinross</v>
      </c>
      <c r="C57" t="str">
        <f>TRS!C60</f>
        <v>S12000024</v>
      </c>
      <c r="D57" t="str">
        <f>TRS!D60</f>
        <v>Dundee, Angus, Perth and Kinross</v>
      </c>
      <c r="E57" t="str">
        <f>TRS!E60</f>
        <v>Dundee, Angus, Perth and Kinross</v>
      </c>
      <c r="F57" t="str">
        <f>TRS!F60</f>
        <v>S39000018</v>
      </c>
      <c r="G57" t="str">
        <f>TRS!G60</f>
        <v>North</v>
      </c>
      <c r="H57" t="str">
        <f>TRS!H60</f>
        <v>S40000005</v>
      </c>
    </row>
    <row r="58" spans="1:8" x14ac:dyDescent="0.25">
      <c r="A58" t="str">
        <f>TRS!A61</f>
        <v>2019-20</v>
      </c>
      <c r="B58" t="str">
        <f>TRS!B61</f>
        <v>Renfrewshire</v>
      </c>
      <c r="C58" t="str">
        <f>TRS!C61</f>
        <v>S12000038</v>
      </c>
      <c r="D58" t="str">
        <f>TRS!D61</f>
        <v>East Renfrewshire, Renfrewshire and Inverclyde</v>
      </c>
      <c r="E58" t="str">
        <f>TRS!E61</f>
        <v>East Renfrewshire, Renfrewshire and Inverclyde</v>
      </c>
      <c r="F58" t="str">
        <f>TRS!F61</f>
        <v>S39000008</v>
      </c>
      <c r="G58" t="str">
        <f>TRS!G61</f>
        <v>West</v>
      </c>
      <c r="H58" t="str">
        <f>TRS!H61</f>
        <v>S40000003</v>
      </c>
    </row>
    <row r="59" spans="1:8" x14ac:dyDescent="0.25">
      <c r="A59" t="str">
        <f>TRS!A62</f>
        <v>2019-20</v>
      </c>
      <c r="B59" t="str">
        <f>TRS!B62</f>
        <v>Scottish Borders</v>
      </c>
      <c r="C59" t="str">
        <f>TRS!C62</f>
        <v>S12000026</v>
      </c>
      <c r="D59" t="str">
        <f>TRS!D62</f>
        <v>East Lothian, Midlothian and the Scottish Borders</v>
      </c>
      <c r="E59" t="str">
        <f>TRS!E62</f>
        <v>East Lothian, Midlothian and the Scottish Borders</v>
      </c>
      <c r="F59" t="str">
        <f>TRS!F62</f>
        <v>S39000007</v>
      </c>
      <c r="G59" t="str">
        <f>TRS!G62</f>
        <v>East</v>
      </c>
      <c r="H59" t="str">
        <f>TRS!H62</f>
        <v>S40000004</v>
      </c>
    </row>
    <row r="60" spans="1:8" x14ac:dyDescent="0.25">
      <c r="A60" t="str">
        <f>TRS!A63</f>
        <v>2019-20</v>
      </c>
      <c r="B60" t="str">
        <f>TRS!B63</f>
        <v>Shetland Islands</v>
      </c>
      <c r="C60" t="str">
        <f>TRS!C63</f>
        <v>S12000027</v>
      </c>
      <c r="D60" t="str">
        <f>TRS!D63</f>
        <v>Western Isles, Orkney and Shetland Islands</v>
      </c>
      <c r="E60" t="str">
        <f>TRS!E63</f>
        <v>Western Isles, Orkney and Shetland Islands</v>
      </c>
      <c r="F60" t="str">
        <f>TRS!F63</f>
        <v>S39000017</v>
      </c>
      <c r="G60" t="str">
        <f>TRS!G63</f>
        <v>North</v>
      </c>
      <c r="H60" t="str">
        <f>TRS!H63</f>
        <v>S40000005</v>
      </c>
    </row>
    <row r="61" spans="1:8" x14ac:dyDescent="0.25">
      <c r="A61" t="str">
        <f>TRS!A64</f>
        <v>2019-20</v>
      </c>
      <c r="B61" t="str">
        <f>TRS!B64</f>
        <v>South Ayrshire</v>
      </c>
      <c r="C61" t="str">
        <f>TRS!C64</f>
        <v>S12000028</v>
      </c>
      <c r="D61" t="str">
        <f>TRS!D64</f>
        <v>East Ayrshire, North Ayrshire and South Ayrshire</v>
      </c>
      <c r="E61" t="str">
        <f>TRS!E64</f>
        <v>East Ayrshire, North Ayrshire and South Ayrshire</v>
      </c>
      <c r="F61" t="str">
        <f>TRS!F64</f>
        <v>S39000006</v>
      </c>
      <c r="G61" t="str">
        <f>TRS!G64</f>
        <v>West</v>
      </c>
      <c r="H61" t="str">
        <f>TRS!H64</f>
        <v>S40000003</v>
      </c>
    </row>
    <row r="62" spans="1:8" x14ac:dyDescent="0.25">
      <c r="A62" t="str">
        <f>TRS!A65</f>
        <v>2019-20</v>
      </c>
      <c r="B62" t="str">
        <f>TRS!B65</f>
        <v>South Lanarkshire</v>
      </c>
      <c r="C62" t="str">
        <f>TRS!C65</f>
        <v>S12000029</v>
      </c>
      <c r="D62" t="str">
        <f>TRS!D65</f>
        <v>South Lanarkshire</v>
      </c>
      <c r="E62" t="str">
        <f>TRS!E65</f>
        <v>South Lanarkshire</v>
      </c>
      <c r="F62" t="str">
        <f>TRS!F65</f>
        <v>S39000015</v>
      </c>
      <c r="G62" t="str">
        <f>TRS!G65</f>
        <v>West</v>
      </c>
      <c r="H62" t="str">
        <f>TRS!H65</f>
        <v>S40000003</v>
      </c>
    </row>
    <row r="63" spans="1:8" x14ac:dyDescent="0.25">
      <c r="A63" t="str">
        <f>TRS!A66</f>
        <v>2019-20</v>
      </c>
      <c r="B63" t="str">
        <f>TRS!B66</f>
        <v>Stirling</v>
      </c>
      <c r="C63" t="str">
        <f>TRS!C66</f>
        <v>S12000030</v>
      </c>
      <c r="D63" t="str">
        <f>TRS!D66</f>
        <v>Stirling and Clackmannanshire</v>
      </c>
      <c r="E63" t="str">
        <f>TRS!E66</f>
        <v>Stirling, Clackmannanshire and Fife</v>
      </c>
      <c r="F63" t="str">
        <f>TRS!F66</f>
        <v>S39000016</v>
      </c>
      <c r="G63" t="str">
        <f>TRS!G66</f>
        <v>East</v>
      </c>
      <c r="H63" t="str">
        <f>TRS!H66</f>
        <v>S40000004</v>
      </c>
    </row>
    <row r="64" spans="1:8" x14ac:dyDescent="0.25">
      <c r="A64" t="str">
        <f>TRS!A67</f>
        <v>2019-20</v>
      </c>
      <c r="B64" t="str">
        <f>TRS!B67</f>
        <v>West Dunbartonshire</v>
      </c>
      <c r="C64" t="str">
        <f>TRS!C67</f>
        <v>S12000039</v>
      </c>
      <c r="D64" t="str">
        <f>TRS!D67</f>
        <v>Argyll and Bute, East Dunbartonshire and West Dunbartonshire</v>
      </c>
      <c r="E64" t="str">
        <f>TRS!E67</f>
        <v>Argyll and Bute, East Dunbartonshire and West Dunbartonshire</v>
      </c>
      <c r="F64" t="str">
        <f>TRS!F67</f>
        <v>S39000003</v>
      </c>
      <c r="G64" t="str">
        <f>TRS!G67</f>
        <v>West</v>
      </c>
      <c r="H64" t="str">
        <f>TRS!H67</f>
        <v>S40000003</v>
      </c>
    </row>
    <row r="65" spans="1:8" x14ac:dyDescent="0.25">
      <c r="A65" t="str">
        <f>TRS!A68</f>
        <v>2019-20</v>
      </c>
      <c r="B65" t="str">
        <f>TRS!B68</f>
        <v>West Lothian</v>
      </c>
      <c r="C65" t="str">
        <f>TRS!C68</f>
        <v>S12000040</v>
      </c>
      <c r="D65" t="str">
        <f>TRS!D68</f>
        <v>Falkirk and West Lothian</v>
      </c>
      <c r="E65" t="str">
        <f>TRS!E68</f>
        <v>Falkirk and West Lothian</v>
      </c>
      <c r="F65" t="str">
        <f>TRS!F68</f>
        <v>S39000010</v>
      </c>
      <c r="G65" t="str">
        <f>TRS!G68</f>
        <v>East</v>
      </c>
      <c r="H65" t="str">
        <f>TRS!H68</f>
        <v>S40000004</v>
      </c>
    </row>
  </sheetData>
  <sheetProtection algorithmName="SHA-512" hashValue="w9p3lG47pwEzNL1EjYUTOlUKQtGH8BlYC1l8eubVrjfz+dOg1W8y8x0QA9u6AqBWpnCBcDrDYqhK4tW4m6ypiA==" saltValue="2DnDpyqUQEE2uVvg0PHXzA==" spinCount="100000" sheet="1" scenarios="1" formatCells="0" formatColumns="0" formatRows="0" sort="0" autoFilter="0" pivotTables="0"/>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54"/>
  <sheetViews>
    <sheetView topLeftCell="A34" workbookViewId="0">
      <selection activeCell="D48" sqref="D48"/>
    </sheetView>
  </sheetViews>
  <sheetFormatPr defaultRowHeight="15" x14ac:dyDescent="0.25"/>
  <cols>
    <col min="1" max="1" width="25.5703125" bestFit="1" customWidth="1"/>
    <col min="2" max="2" width="22" bestFit="1" customWidth="1"/>
    <col min="3" max="3" width="20.7109375" bestFit="1" customWidth="1"/>
    <col min="4" max="4" width="17.28515625" bestFit="1" customWidth="1"/>
    <col min="5" max="5" width="22" bestFit="1" customWidth="1"/>
    <col min="6" max="6" width="20.7109375" bestFit="1" customWidth="1"/>
    <col min="7" max="7" width="23" bestFit="1" customWidth="1"/>
    <col min="8" max="8" width="21.140625" customWidth="1"/>
    <col min="9" max="9" width="12" customWidth="1"/>
  </cols>
  <sheetData>
    <row r="1" spans="1:7" x14ac:dyDescent="0.25">
      <c r="A1" s="565" t="s">
        <v>270</v>
      </c>
      <c r="B1" t="s">
        <v>851</v>
      </c>
      <c r="D1" t="str">
        <f>B1</f>
        <v>2019-20</v>
      </c>
    </row>
    <row r="3" spans="1:7" x14ac:dyDescent="0.25">
      <c r="A3" s="565" t="s">
        <v>246</v>
      </c>
      <c r="B3" t="s">
        <v>265</v>
      </c>
      <c r="C3" t="s">
        <v>266</v>
      </c>
      <c r="D3" t="s">
        <v>267</v>
      </c>
      <c r="E3" t="s">
        <v>256</v>
      </c>
      <c r="F3" t="s">
        <v>268</v>
      </c>
      <c r="G3" t="s">
        <v>272</v>
      </c>
    </row>
    <row r="4" spans="1:7" x14ac:dyDescent="0.25">
      <c r="A4" s="1068" t="s">
        <v>250</v>
      </c>
      <c r="B4" s="567">
        <v>1</v>
      </c>
      <c r="C4" s="567">
        <v>4</v>
      </c>
      <c r="D4" s="567">
        <v>8</v>
      </c>
      <c r="E4" s="567">
        <v>45</v>
      </c>
      <c r="F4" s="567">
        <v>26</v>
      </c>
      <c r="G4" s="567">
        <v>104</v>
      </c>
    </row>
    <row r="5" spans="1:7" x14ac:dyDescent="0.25">
      <c r="A5" s="568" t="s">
        <v>259</v>
      </c>
      <c r="B5" s="567">
        <v>1</v>
      </c>
      <c r="C5" s="567">
        <v>4</v>
      </c>
      <c r="D5" s="567">
        <v>8</v>
      </c>
      <c r="E5" s="567">
        <v>45</v>
      </c>
      <c r="F5" s="567">
        <v>26</v>
      </c>
      <c r="G5" s="567">
        <v>104</v>
      </c>
    </row>
    <row r="6" spans="1:7" x14ac:dyDescent="0.25">
      <c r="A6" s="1068" t="s">
        <v>251</v>
      </c>
      <c r="B6" s="567">
        <v>1</v>
      </c>
      <c r="C6" s="567">
        <v>4</v>
      </c>
      <c r="D6" s="567">
        <v>8</v>
      </c>
      <c r="E6" s="567">
        <v>45</v>
      </c>
      <c r="F6" s="567">
        <v>26</v>
      </c>
      <c r="G6" s="567">
        <v>104</v>
      </c>
    </row>
    <row r="22" spans="1:9" x14ac:dyDescent="0.25">
      <c r="A22" s="565" t="s">
        <v>270</v>
      </c>
      <c r="B22" t="s">
        <v>851</v>
      </c>
      <c r="D22" t="str">
        <f>B22</f>
        <v>2019-20</v>
      </c>
    </row>
    <row r="24" spans="1:9" x14ac:dyDescent="0.25">
      <c r="A24" s="565" t="s">
        <v>246</v>
      </c>
      <c r="B24" t="s">
        <v>274</v>
      </c>
      <c r="C24" t="s">
        <v>275</v>
      </c>
      <c r="D24" t="s">
        <v>276</v>
      </c>
      <c r="E24" t="s">
        <v>277</v>
      </c>
      <c r="F24" t="s">
        <v>278</v>
      </c>
      <c r="G24" t="s">
        <v>279</v>
      </c>
      <c r="H24" t="s">
        <v>280</v>
      </c>
      <c r="I24" t="s">
        <v>252</v>
      </c>
    </row>
    <row r="25" spans="1:9" x14ac:dyDescent="0.25">
      <c r="A25" s="1068" t="s">
        <v>249</v>
      </c>
      <c r="B25" s="567"/>
      <c r="C25" s="567">
        <v>6</v>
      </c>
      <c r="D25" s="567">
        <v>23</v>
      </c>
      <c r="E25" s="567">
        <v>19</v>
      </c>
      <c r="F25" s="567">
        <v>256</v>
      </c>
      <c r="G25" s="567">
        <v>62</v>
      </c>
      <c r="H25" s="567">
        <v>103</v>
      </c>
      <c r="I25" s="567">
        <v>469</v>
      </c>
    </row>
    <row r="26" spans="1:9" x14ac:dyDescent="0.25">
      <c r="A26" s="568" t="s">
        <v>174</v>
      </c>
      <c r="B26" s="567"/>
      <c r="C26" s="567">
        <v>2</v>
      </c>
      <c r="D26" s="567">
        <v>5</v>
      </c>
      <c r="E26" s="567">
        <v>6</v>
      </c>
      <c r="F26" s="567">
        <v>45</v>
      </c>
      <c r="G26" s="567">
        <v>18</v>
      </c>
      <c r="H26" s="567">
        <v>19</v>
      </c>
      <c r="I26" s="567">
        <v>95</v>
      </c>
    </row>
    <row r="27" spans="1:9" x14ac:dyDescent="0.25">
      <c r="A27" s="568" t="s">
        <v>172</v>
      </c>
      <c r="B27" s="567"/>
      <c r="C27" s="567">
        <v>2</v>
      </c>
      <c r="D27" s="567">
        <v>9</v>
      </c>
      <c r="E27" s="567">
        <v>5</v>
      </c>
      <c r="F27" s="567">
        <v>74</v>
      </c>
      <c r="G27" s="567">
        <v>16</v>
      </c>
      <c r="H27" s="567">
        <v>26</v>
      </c>
      <c r="I27" s="567">
        <v>132</v>
      </c>
    </row>
    <row r="28" spans="1:9" x14ac:dyDescent="0.25">
      <c r="A28" s="568" t="s">
        <v>173</v>
      </c>
      <c r="B28" s="567"/>
      <c r="C28" s="567">
        <v>2</v>
      </c>
      <c r="D28" s="567">
        <v>9</v>
      </c>
      <c r="E28" s="567">
        <v>8</v>
      </c>
      <c r="F28" s="567">
        <v>137</v>
      </c>
      <c r="G28" s="567">
        <v>28</v>
      </c>
      <c r="H28" s="567">
        <v>58</v>
      </c>
      <c r="I28" s="567">
        <v>242</v>
      </c>
    </row>
    <row r="29" spans="1:9" x14ac:dyDescent="0.25">
      <c r="A29" s="1068" t="s">
        <v>250</v>
      </c>
      <c r="B29" s="567">
        <v>3</v>
      </c>
      <c r="C29" s="567">
        <v>41</v>
      </c>
      <c r="D29" s="567">
        <v>9</v>
      </c>
      <c r="E29" s="567">
        <v>71</v>
      </c>
      <c r="F29" s="567">
        <v>144</v>
      </c>
      <c r="G29" s="567">
        <v>1</v>
      </c>
      <c r="H29" s="567">
        <v>80</v>
      </c>
      <c r="I29" s="567">
        <v>349</v>
      </c>
    </row>
    <row r="30" spans="1:9" x14ac:dyDescent="0.25">
      <c r="A30" s="568" t="s">
        <v>259</v>
      </c>
      <c r="B30" s="567">
        <v>3</v>
      </c>
      <c r="C30" s="567">
        <v>41</v>
      </c>
      <c r="D30" s="567">
        <v>9</v>
      </c>
      <c r="E30" s="567">
        <v>71</v>
      </c>
      <c r="F30" s="567">
        <v>144</v>
      </c>
      <c r="G30" s="567">
        <v>1</v>
      </c>
      <c r="H30" s="567">
        <v>80</v>
      </c>
      <c r="I30" s="567">
        <v>349</v>
      </c>
    </row>
    <row r="31" spans="1:9" x14ac:dyDescent="0.25">
      <c r="A31" s="1068" t="s">
        <v>251</v>
      </c>
      <c r="B31" s="567">
        <v>3</v>
      </c>
      <c r="C31" s="567">
        <v>47</v>
      </c>
      <c r="D31" s="567">
        <v>32</v>
      </c>
      <c r="E31" s="567">
        <v>90</v>
      </c>
      <c r="F31" s="567">
        <v>400</v>
      </c>
      <c r="G31" s="567">
        <v>63</v>
      </c>
      <c r="H31" s="567">
        <v>183</v>
      </c>
      <c r="I31" s="567">
        <v>818</v>
      </c>
    </row>
    <row r="43" spans="1:4" x14ac:dyDescent="0.25">
      <c r="A43" s="565" t="s">
        <v>270</v>
      </c>
      <c r="B43" t="s">
        <v>851</v>
      </c>
      <c r="D43" t="str">
        <f>B43</f>
        <v>2019-20</v>
      </c>
    </row>
    <row r="45" spans="1:4" x14ac:dyDescent="0.25">
      <c r="A45" s="565" t="s">
        <v>246</v>
      </c>
      <c r="B45" t="s">
        <v>256</v>
      </c>
      <c r="C45" t="s">
        <v>268</v>
      </c>
      <c r="D45" t="s">
        <v>269</v>
      </c>
    </row>
    <row r="46" spans="1:4" x14ac:dyDescent="0.25">
      <c r="A46" s="1068" t="s">
        <v>247</v>
      </c>
      <c r="B46" s="567">
        <v>37</v>
      </c>
      <c r="C46" s="567">
        <v>41</v>
      </c>
      <c r="D46" s="567">
        <v>237</v>
      </c>
    </row>
    <row r="47" spans="1:4" x14ac:dyDescent="0.25">
      <c r="A47" s="568" t="s">
        <v>34</v>
      </c>
      <c r="B47" s="567">
        <v>25</v>
      </c>
      <c r="C47" s="567">
        <v>22</v>
      </c>
      <c r="D47" s="567">
        <v>165</v>
      </c>
    </row>
    <row r="48" spans="1:4" x14ac:dyDescent="0.25">
      <c r="A48" s="568" t="s">
        <v>36</v>
      </c>
      <c r="B48" s="567">
        <v>1</v>
      </c>
      <c r="C48" s="567">
        <v>1</v>
      </c>
      <c r="D48" s="567">
        <v>3</v>
      </c>
    </row>
    <row r="49" spans="1:4" x14ac:dyDescent="0.25">
      <c r="A49" s="568" t="s">
        <v>44</v>
      </c>
      <c r="B49" s="567">
        <v>6</v>
      </c>
      <c r="C49" s="567">
        <v>10</v>
      </c>
      <c r="D49" s="567">
        <v>33</v>
      </c>
    </row>
    <row r="50" spans="1:4" x14ac:dyDescent="0.25">
      <c r="A50" s="568" t="s">
        <v>47</v>
      </c>
      <c r="B50" s="567">
        <v>1</v>
      </c>
      <c r="C50" s="567">
        <v>2</v>
      </c>
      <c r="D50" s="567">
        <v>1</v>
      </c>
    </row>
    <row r="51" spans="1:4" x14ac:dyDescent="0.25">
      <c r="A51" s="568" t="s">
        <v>49</v>
      </c>
      <c r="B51" s="567">
        <v>3</v>
      </c>
      <c r="C51" s="567">
        <v>3</v>
      </c>
      <c r="D51" s="567">
        <v>16</v>
      </c>
    </row>
    <row r="52" spans="1:4" x14ac:dyDescent="0.25">
      <c r="A52" s="568" t="s">
        <v>52</v>
      </c>
      <c r="B52" s="567"/>
      <c r="C52" s="567">
        <v>3</v>
      </c>
      <c r="D52" s="567">
        <v>18</v>
      </c>
    </row>
    <row r="53" spans="1:4" x14ac:dyDescent="0.25">
      <c r="A53" s="568" t="s">
        <v>57</v>
      </c>
      <c r="B53" s="567">
        <v>1</v>
      </c>
      <c r="C53" s="567"/>
      <c r="D53" s="567">
        <v>1</v>
      </c>
    </row>
    <row r="54" spans="1:4" x14ac:dyDescent="0.25">
      <c r="A54" s="1068" t="s">
        <v>251</v>
      </c>
      <c r="B54" s="567">
        <v>37</v>
      </c>
      <c r="C54" s="567">
        <v>41</v>
      </c>
      <c r="D54" s="567">
        <v>237</v>
      </c>
    </row>
  </sheetData>
  <sheetProtection algorithmName="SHA-512" hashValue="dHFeHLlm5uyB0jj8wBzKkI8fb5X07zLKwdvQBYCOVufH1dtf76f0x/p7ItzcH/3kTKo2Lesgozp40ifbQmyuMw==" saltValue="g4zbaPxxwzQvYm+52YEXNg==" spinCount="100000" sheet="1" scenarios="1" formatCells="0" formatColumns="0" formatRows="0" sort="0" autoFilter="0" pivotTables="0"/>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pageSetUpPr fitToPage="1"/>
  </sheetPr>
  <dimension ref="A1:K84"/>
  <sheetViews>
    <sheetView showGridLines="0" workbookViewId="0">
      <pane ySplit="2" topLeftCell="A6" activePane="bottomLeft" state="frozen"/>
      <selection pane="bottomLeft" sqref="A1:G1"/>
    </sheetView>
  </sheetViews>
  <sheetFormatPr defaultRowHeight="15" x14ac:dyDescent="0.25"/>
  <cols>
    <col min="1" max="1" width="17" customWidth="1"/>
    <col min="2" max="2" width="58.140625" customWidth="1"/>
    <col min="3" max="9" width="12" customWidth="1"/>
    <col min="10" max="10" width="13" customWidth="1"/>
  </cols>
  <sheetData>
    <row r="1" spans="1:10" ht="15.75" x14ac:dyDescent="0.25">
      <c r="A1" s="1077" t="s">
        <v>505</v>
      </c>
      <c r="B1" s="1077"/>
      <c r="C1" s="1077"/>
      <c r="D1" s="1077"/>
      <c r="E1" s="1077"/>
      <c r="F1" s="1077"/>
      <c r="G1" s="1077"/>
    </row>
    <row r="2" spans="1:10" ht="15.75" x14ac:dyDescent="0.25">
      <c r="A2" s="772" t="s">
        <v>578</v>
      </c>
      <c r="C2" s="660"/>
      <c r="D2" s="660"/>
      <c r="E2" s="660"/>
      <c r="F2" s="660"/>
      <c r="G2" s="660"/>
    </row>
    <row r="3" spans="1:10" ht="15.75" x14ac:dyDescent="0.25">
      <c r="C3" s="660"/>
      <c r="D3" s="660"/>
      <c r="E3" s="660"/>
      <c r="F3" s="660"/>
      <c r="G3" s="660"/>
    </row>
    <row r="4" spans="1:10" ht="37.5" customHeight="1" x14ac:dyDescent="0.25">
      <c r="A4" s="676" t="s">
        <v>530</v>
      </c>
      <c r="B4" s="676"/>
      <c r="C4" s="676"/>
      <c r="D4" s="676"/>
      <c r="E4" s="676"/>
      <c r="F4" s="676"/>
      <c r="G4" s="676"/>
      <c r="H4" s="676"/>
      <c r="I4" s="676"/>
    </row>
    <row r="5" spans="1:10" ht="15" customHeight="1" x14ac:dyDescent="0.25">
      <c r="A5" t="s">
        <v>363</v>
      </c>
      <c r="B5" t="s">
        <v>751</v>
      </c>
      <c r="C5" s="676"/>
      <c r="D5" s="676"/>
      <c r="E5" s="676"/>
      <c r="F5" s="676"/>
      <c r="G5" s="676"/>
      <c r="H5" s="676"/>
      <c r="I5" s="676"/>
    </row>
    <row r="6" spans="1:10" ht="15" customHeight="1" x14ac:dyDescent="0.25">
      <c r="A6" t="s">
        <v>364</v>
      </c>
      <c r="B6" t="s">
        <v>366</v>
      </c>
      <c r="C6" s="676"/>
      <c r="D6" s="676"/>
      <c r="E6" s="676"/>
      <c r="F6" s="676"/>
      <c r="G6" s="676"/>
      <c r="H6" s="676"/>
      <c r="I6" s="676"/>
    </row>
    <row r="7" spans="1:10" ht="15" customHeight="1" x14ac:dyDescent="0.25">
      <c r="A7" t="s">
        <v>365</v>
      </c>
      <c r="B7" t="s">
        <v>367</v>
      </c>
      <c r="C7" s="676"/>
      <c r="D7" s="676"/>
      <c r="E7" s="676"/>
      <c r="F7" s="676"/>
      <c r="G7" s="676"/>
      <c r="H7" s="676"/>
      <c r="I7" s="676"/>
    </row>
    <row r="8" spans="1:10" ht="33.75" customHeight="1" x14ac:dyDescent="0.25">
      <c r="A8" s="46" t="s">
        <v>1</v>
      </c>
      <c r="B8" s="46" t="s">
        <v>218</v>
      </c>
      <c r="C8" s="4" t="s">
        <v>967</v>
      </c>
      <c r="D8" s="53" t="s">
        <v>968</v>
      </c>
      <c r="E8" s="53" t="s">
        <v>969</v>
      </c>
      <c r="F8" s="53" t="s">
        <v>970</v>
      </c>
      <c r="G8" s="53" t="s">
        <v>971</v>
      </c>
      <c r="H8" s="53" t="s">
        <v>972</v>
      </c>
      <c r="I8" s="53" t="s">
        <v>23</v>
      </c>
      <c r="J8" s="53" t="s">
        <v>26</v>
      </c>
    </row>
    <row r="9" spans="1:10" ht="22.5" customHeight="1" thickBot="1" x14ac:dyDescent="0.3">
      <c r="A9" s="48" t="str">
        <f>h5a!D1</f>
        <v>2019-20</v>
      </c>
      <c r="B9" s="48" t="s">
        <v>79</v>
      </c>
      <c r="C9" s="461">
        <f>GETPIVOTDATA("Sum of Brigade Manager",h5a!$A$3,"ReportingLevel","Total","lvl","Scotland")</f>
        <v>6</v>
      </c>
      <c r="D9" s="461">
        <f>GETPIVOTDATA("Sum of Area Manager",h5a!$A$3,"ReportingLevel","Total","lvl","Scotland")</f>
        <v>31</v>
      </c>
      <c r="E9" s="461">
        <f>GETPIVOTDATA("Sum of Group Manager",h5a!$A$3,"ReportingLevel","Total","lvl","Scotland")</f>
        <v>80</v>
      </c>
      <c r="F9" s="461">
        <f>GETPIVOTDATA("Sum of Station Manager",h5a!$A$3,"ReportingLevel","Total","lvl","Scotland")</f>
        <v>153</v>
      </c>
      <c r="G9" s="461">
        <f>GETPIVOTDATA("Sum of Watch Manager",h5a!$A$3,"ReportingLevel","Total","lvl","Scotland")</f>
        <v>608</v>
      </c>
      <c r="H9" s="461">
        <f>GETPIVOTDATA("Sum of Crew Manager",h5a!$A$3,"ReportingLevel","Total","lvl","Scotland")</f>
        <v>688</v>
      </c>
      <c r="I9" s="461">
        <f>GETPIVOTDATA("Sum of Firefighter",h5a!$A$3,"ReportingLevel","Total","lvl","Scotland")</f>
        <v>2068</v>
      </c>
      <c r="J9" s="461">
        <f>J44+J64+J70+J72</f>
        <v>3635</v>
      </c>
    </row>
    <row r="10" spans="1:10" ht="21" customHeight="1" x14ac:dyDescent="0.25">
      <c r="B10" s="49"/>
      <c r="C10" s="117"/>
      <c r="D10" s="117"/>
      <c r="E10" s="117"/>
      <c r="F10" s="117"/>
      <c r="G10" s="117"/>
      <c r="H10" s="117"/>
      <c r="I10" s="117"/>
      <c r="J10" s="117"/>
    </row>
    <row r="11" spans="1:10" ht="13.5" customHeight="1" x14ac:dyDescent="0.25">
      <c r="A11" s="52" t="s">
        <v>515</v>
      </c>
      <c r="B11" s="52" t="s">
        <v>30</v>
      </c>
      <c r="C11" s="54"/>
      <c r="D11" s="54"/>
      <c r="E11" s="54"/>
      <c r="F11" s="54"/>
      <c r="G11" s="54"/>
      <c r="H11" s="54"/>
      <c r="I11" s="54"/>
      <c r="J11" s="92"/>
    </row>
    <row r="12" spans="1:10" ht="23.25" customHeight="1" x14ac:dyDescent="0.25">
      <c r="A12" s="572" t="s">
        <v>301</v>
      </c>
      <c r="B12" s="55" t="s">
        <v>31</v>
      </c>
      <c r="C12" s="652">
        <f>IFERROR(GETPIVOTDATA("Sum of Brigade Manager",h5a!$A$3,"ReportingLevel","1:LA","lvl",$B12),0)</f>
        <v>0</v>
      </c>
      <c r="D12" s="652">
        <f>IFERROR(GETPIVOTDATA("Sum of Area Manager",h5a!$A$3,"ReportingLevel","1:LA","lvl",$B12),0)</f>
        <v>0</v>
      </c>
      <c r="E12" s="652">
        <f>IFERROR(GETPIVOTDATA("Sum of Group Manager",h5a!$A$3,"ReportingLevel","1:LA","lvl",$B12),0)</f>
        <v>0</v>
      </c>
      <c r="F12" s="652">
        <f>IFERROR(GETPIVOTDATA("Sum of Station Manager",h5a!$A$3,"ReportingLevel","1:LA","lvl",$B12),0)</f>
        <v>0</v>
      </c>
      <c r="G12" s="415">
        <f>IFERROR(GETPIVOTDATA("Sum of Watch Manager",h5a!$A$3,"ReportingLevel","1:LA","lvl",$B12),0)</f>
        <v>15</v>
      </c>
      <c r="H12" s="415">
        <f>IFERROR(GETPIVOTDATA("Sum of Crew Manager",h5a!$A$3,"ReportingLevel","1:LA","lvl",$B12),0)</f>
        <v>35</v>
      </c>
      <c r="I12" s="415">
        <f>IFERROR(GETPIVOTDATA("Sum of Firefighter",h5a!$A$3,"ReportingLevel","1:LA","lvl",$B12),0)</f>
        <v>105</v>
      </c>
      <c r="J12" s="108">
        <f t="shared" ref="J12:J43" si="0">SUM(C12:I12)</f>
        <v>155</v>
      </c>
    </row>
    <row r="13" spans="1:10" ht="15" customHeight="1" x14ac:dyDescent="0.25">
      <c r="A13" s="573" t="s">
        <v>302</v>
      </c>
      <c r="B13" s="58" t="s">
        <v>32</v>
      </c>
      <c r="C13" s="653">
        <f>IFERROR(GETPIVOTDATA("Sum of Brigade Manager",h5a!$A$3,"ReportingLevel","1:LA","lvl",$B13),0)</f>
        <v>0</v>
      </c>
      <c r="D13" s="653">
        <f>IFERROR(GETPIVOTDATA("Sum of Area Manager",h5a!$A$3,"ReportingLevel","1:LA","lvl",$B13),0)</f>
        <v>0</v>
      </c>
      <c r="E13" s="653">
        <f>IFERROR(GETPIVOTDATA("Sum of Group Manager",h5a!$A$3,"ReportingLevel","1:LA","lvl",$B13),0)</f>
        <v>0</v>
      </c>
      <c r="F13" s="653">
        <f>IFERROR(GETPIVOTDATA("Sum of Station Manager",h5a!$A$3,"ReportingLevel","1:LA","lvl",$B13),0)</f>
        <v>0</v>
      </c>
      <c r="G13" s="82">
        <f>IFERROR(GETPIVOTDATA("Sum of Watch Manager",h5a!$A$3,"ReportingLevel","1:LA","lvl",$B13),0)</f>
        <v>6</v>
      </c>
      <c r="H13" s="82">
        <f>IFERROR(GETPIVOTDATA("Sum of Crew Manager",h5a!$A$3,"ReportingLevel","1:LA","lvl",$B13),0)</f>
        <v>4</v>
      </c>
      <c r="I13" s="82">
        <f>IFERROR(GETPIVOTDATA("Sum of Firefighter",h5a!$A$3,"ReportingLevel","1:LA","lvl",$B13),0)</f>
        <v>22</v>
      </c>
      <c r="J13" s="108">
        <f t="shared" si="0"/>
        <v>32</v>
      </c>
    </row>
    <row r="14" spans="1:10" ht="15" customHeight="1" x14ac:dyDescent="0.25">
      <c r="A14" s="573" t="s">
        <v>308</v>
      </c>
      <c r="B14" s="58" t="s">
        <v>33</v>
      </c>
      <c r="C14" s="653">
        <f>IFERROR(GETPIVOTDATA("Sum of Brigade Manager",h5a!$A$3,"ReportingLevel","1:LA","lvl",$B14),0)</f>
        <v>0</v>
      </c>
      <c r="D14" s="653">
        <f>IFERROR(GETPIVOTDATA("Sum of Area Manager",h5a!$A$3,"ReportingLevel","1:LA","lvl",$B14),0)</f>
        <v>0</v>
      </c>
      <c r="E14" s="653">
        <f>IFERROR(GETPIVOTDATA("Sum of Group Manager",h5a!$A$3,"ReportingLevel","1:LA","lvl",$B14),0)</f>
        <v>0</v>
      </c>
      <c r="F14" s="653">
        <f>IFERROR(GETPIVOTDATA("Sum of Station Manager",h5a!$A$3,"ReportingLevel","1:LA","lvl",$B14),0)</f>
        <v>0</v>
      </c>
      <c r="G14" s="82">
        <f>IFERROR(GETPIVOTDATA("Sum of Watch Manager",h5a!$A$3,"ReportingLevel","1:LA","lvl",$B14),0)</f>
        <v>5</v>
      </c>
      <c r="H14" s="82">
        <f>IFERROR(GETPIVOTDATA("Sum of Crew Manager",h5a!$A$3,"ReportingLevel","1:LA","lvl",$B14),0)</f>
        <v>5</v>
      </c>
      <c r="I14" s="82">
        <f>IFERROR(GETPIVOTDATA("Sum of Firefighter",h5a!$A$3,"ReportingLevel","1:LA","lvl",$B14),0)</f>
        <v>17</v>
      </c>
      <c r="J14" s="108">
        <f t="shared" si="0"/>
        <v>27</v>
      </c>
    </row>
    <row r="15" spans="1:10" ht="15" customHeight="1" x14ac:dyDescent="0.25">
      <c r="A15" s="573" t="s">
        <v>303</v>
      </c>
      <c r="B15" s="58" t="s">
        <v>34</v>
      </c>
      <c r="C15" s="653">
        <f>IFERROR(GETPIVOTDATA("Sum of Brigade Manager",h5a!$A$3,"ReportingLevel","1:LA","lvl",$B15),0)</f>
        <v>0</v>
      </c>
      <c r="D15" s="653">
        <f>IFERROR(GETPIVOTDATA("Sum of Area Manager",h5a!$A$3,"ReportingLevel","1:LA","lvl",$B15),0)</f>
        <v>0</v>
      </c>
      <c r="E15" s="653">
        <f>IFERROR(GETPIVOTDATA("Sum of Group Manager",h5a!$A$3,"ReportingLevel","1:LA","lvl",$B15),0)</f>
        <v>0</v>
      </c>
      <c r="F15" s="653">
        <f>IFERROR(GETPIVOTDATA("Sum of Station Manager",h5a!$A$3,"ReportingLevel","1:LA","lvl",$B15),0)</f>
        <v>0</v>
      </c>
      <c r="G15" s="82">
        <f>IFERROR(GETPIVOTDATA("Sum of Watch Manager",h5a!$A$3,"ReportingLevel","1:LA","lvl",$B15),0)</f>
        <v>10</v>
      </c>
      <c r="H15" s="82">
        <f>IFERROR(GETPIVOTDATA("Sum of Crew Manager",h5a!$A$3,"ReportingLevel","1:LA","lvl",$B15),0)</f>
        <v>10</v>
      </c>
      <c r="I15" s="82">
        <f>IFERROR(GETPIVOTDATA("Sum of Firefighter",h5a!$A$3,"ReportingLevel","1:LA","lvl",$B15),0)</f>
        <v>33</v>
      </c>
      <c r="J15" s="108">
        <f t="shared" si="0"/>
        <v>53</v>
      </c>
    </row>
    <row r="16" spans="1:10" ht="15" customHeight="1" x14ac:dyDescent="0.25">
      <c r="A16" s="573" t="s">
        <v>304</v>
      </c>
      <c r="B16" s="58" t="s">
        <v>258</v>
      </c>
      <c r="C16" s="653">
        <f>IFERROR(GETPIVOTDATA("Sum of Brigade Manager",h5a!$A$3,"ReportingLevel","1:LA","lvl",$B16),0)</f>
        <v>0</v>
      </c>
      <c r="D16" s="653">
        <f>IFERROR(GETPIVOTDATA("Sum of Area Manager",h5a!$A$3,"ReportingLevel","1:LA","lvl",$B16),0)</f>
        <v>0</v>
      </c>
      <c r="E16" s="653">
        <f>IFERROR(GETPIVOTDATA("Sum of Group Manager",h5a!$A$3,"ReportingLevel","1:LA","lvl",$B16),0)</f>
        <v>0</v>
      </c>
      <c r="F16" s="653">
        <f>IFERROR(GETPIVOTDATA("Sum of Station Manager",h5a!$A$3,"ReportingLevel","1:LA","lvl",$B16),0)</f>
        <v>0</v>
      </c>
      <c r="G16" s="82">
        <f>IFERROR(GETPIVOTDATA("Sum of Watch Manager",h5a!$A$3,"ReportingLevel","1:LA","lvl",$B16),0)</f>
        <v>36</v>
      </c>
      <c r="H16" s="82">
        <f>IFERROR(GETPIVOTDATA("Sum of Crew Manager",h5a!$A$3,"ReportingLevel","1:LA","lvl",$B16),0)</f>
        <v>56</v>
      </c>
      <c r="I16" s="82">
        <f>IFERROR(GETPIVOTDATA("Sum of Firefighter",h5a!$A$3,"ReportingLevel","1:LA","lvl",$B16),0)</f>
        <v>214</v>
      </c>
      <c r="J16" s="108">
        <f t="shared" si="0"/>
        <v>306</v>
      </c>
    </row>
    <row r="17" spans="1:10" ht="15" customHeight="1" x14ac:dyDescent="0.25">
      <c r="A17" s="573" t="s">
        <v>282</v>
      </c>
      <c r="B17" s="58" t="s">
        <v>35</v>
      </c>
      <c r="C17" s="653">
        <f>IFERROR(GETPIVOTDATA("Sum of Brigade Manager",h5a!$A$3,"ReportingLevel","1:LA","lvl",$B17),0)</f>
        <v>0</v>
      </c>
      <c r="D17" s="653">
        <f>IFERROR(GETPIVOTDATA("Sum of Area Manager",h5a!$A$3,"ReportingLevel","1:LA","lvl",$B17),0)</f>
        <v>0</v>
      </c>
      <c r="E17" s="653">
        <f>IFERROR(GETPIVOTDATA("Sum of Group Manager",h5a!$A$3,"ReportingLevel","1:LA","lvl",$B17),0)</f>
        <v>0</v>
      </c>
      <c r="F17" s="653">
        <f>IFERROR(GETPIVOTDATA("Sum of Station Manager",h5a!$A$3,"ReportingLevel","1:LA","lvl",$B17),0)</f>
        <v>0</v>
      </c>
      <c r="G17" s="82">
        <f>IFERROR(GETPIVOTDATA("Sum of Watch Manager",h5a!$A$3,"ReportingLevel","1:LA","lvl",$B17),0)</f>
        <v>5</v>
      </c>
      <c r="H17" s="82">
        <f>IFERROR(GETPIVOTDATA("Sum of Crew Manager",h5a!$A$3,"ReportingLevel","1:LA","lvl",$B17),0)</f>
        <v>5</v>
      </c>
      <c r="I17" s="82">
        <f>IFERROR(GETPIVOTDATA("Sum of Firefighter",h5a!$A$3,"ReportingLevel","1:LA","lvl",$B17),0)</f>
        <v>15</v>
      </c>
      <c r="J17" s="108">
        <f t="shared" si="0"/>
        <v>25</v>
      </c>
    </row>
    <row r="18" spans="1:10" ht="15" customHeight="1" x14ac:dyDescent="0.25">
      <c r="A18" s="573" t="s">
        <v>283</v>
      </c>
      <c r="B18" s="58" t="s">
        <v>36</v>
      </c>
      <c r="C18" s="653">
        <f>IFERROR(GETPIVOTDATA("Sum of Brigade Manager",h5a!$A$3,"ReportingLevel","1:LA","lvl",$B18),0)</f>
        <v>0</v>
      </c>
      <c r="D18" s="653">
        <f>IFERROR(GETPIVOTDATA("Sum of Area Manager",h5a!$A$3,"ReportingLevel","1:LA","lvl",$B18),0)</f>
        <v>0</v>
      </c>
      <c r="E18" s="653">
        <f>IFERROR(GETPIVOTDATA("Sum of Group Manager",h5a!$A$3,"ReportingLevel","1:LA","lvl",$B18),0)</f>
        <v>0</v>
      </c>
      <c r="F18" s="653">
        <f>IFERROR(GETPIVOTDATA("Sum of Station Manager",h5a!$A$3,"ReportingLevel","1:LA","lvl",$B18),0)</f>
        <v>0</v>
      </c>
      <c r="G18" s="82">
        <f>IFERROR(GETPIVOTDATA("Sum of Watch Manager",h5a!$A$3,"ReportingLevel","1:LA","lvl",$B18),0)</f>
        <v>5</v>
      </c>
      <c r="H18" s="82">
        <f>IFERROR(GETPIVOTDATA("Sum of Crew Manager",h5a!$A$3,"ReportingLevel","1:LA","lvl",$B18),0)</f>
        <v>10</v>
      </c>
      <c r="I18" s="82">
        <f>IFERROR(GETPIVOTDATA("Sum of Firefighter",h5a!$A$3,"ReportingLevel","1:LA","lvl",$B18),0)</f>
        <v>37</v>
      </c>
      <c r="J18" s="108">
        <f t="shared" si="0"/>
        <v>52</v>
      </c>
    </row>
    <row r="19" spans="1:10" ht="15" customHeight="1" x14ac:dyDescent="0.25">
      <c r="A19" s="573" t="s">
        <v>309</v>
      </c>
      <c r="B19" s="58" t="s">
        <v>37</v>
      </c>
      <c r="C19" s="653">
        <f>IFERROR(GETPIVOTDATA("Sum of Brigade Manager",h5a!$A$3,"ReportingLevel","1:LA","lvl",$B19),0)</f>
        <v>0</v>
      </c>
      <c r="D19" s="653">
        <f>IFERROR(GETPIVOTDATA("Sum of Area Manager",h5a!$A$3,"ReportingLevel","1:LA","lvl",$B19),0)</f>
        <v>0</v>
      </c>
      <c r="E19" s="653">
        <f>IFERROR(GETPIVOTDATA("Sum of Group Manager",h5a!$A$3,"ReportingLevel","1:LA","lvl",$B19),0)</f>
        <v>0</v>
      </c>
      <c r="F19" s="653">
        <f>IFERROR(GETPIVOTDATA("Sum of Station Manager",h5a!$A$3,"ReportingLevel","1:LA","lvl",$B19),0)</f>
        <v>0</v>
      </c>
      <c r="G19" s="82">
        <f>IFERROR(GETPIVOTDATA("Sum of Watch Manager",h5a!$A$3,"ReportingLevel","1:LA","lvl",$B19),0)</f>
        <v>20</v>
      </c>
      <c r="H19" s="82">
        <f>IFERROR(GETPIVOTDATA("Sum of Crew Manager",h5a!$A$3,"ReportingLevel","1:LA","lvl",$B19),0)</f>
        <v>36</v>
      </c>
      <c r="I19" s="82">
        <f>IFERROR(GETPIVOTDATA("Sum of Firefighter",h5a!$A$3,"ReportingLevel","1:LA","lvl",$B19),0)</f>
        <v>126</v>
      </c>
      <c r="J19" s="108">
        <f t="shared" si="0"/>
        <v>182</v>
      </c>
    </row>
    <row r="20" spans="1:10" ht="15" customHeight="1" x14ac:dyDescent="0.25">
      <c r="A20" s="573" t="s">
        <v>284</v>
      </c>
      <c r="B20" s="58" t="s">
        <v>38</v>
      </c>
      <c r="C20" s="653">
        <f>IFERROR(GETPIVOTDATA("Sum of Brigade Manager",h5a!$A$3,"ReportingLevel","1:LA","lvl",$B20),0)</f>
        <v>0</v>
      </c>
      <c r="D20" s="653">
        <f>IFERROR(GETPIVOTDATA("Sum of Area Manager",h5a!$A$3,"ReportingLevel","1:LA","lvl",$B20),0)</f>
        <v>0</v>
      </c>
      <c r="E20" s="653">
        <f>IFERROR(GETPIVOTDATA("Sum of Group Manager",h5a!$A$3,"ReportingLevel","1:LA","lvl",$B20),0)</f>
        <v>0</v>
      </c>
      <c r="F20" s="653">
        <f>IFERROR(GETPIVOTDATA("Sum of Station Manager",h5a!$A$3,"ReportingLevel","1:LA","lvl",$B20),0)</f>
        <v>0</v>
      </c>
      <c r="G20" s="82">
        <f>IFERROR(GETPIVOTDATA("Sum of Watch Manager",h5a!$A$3,"ReportingLevel","1:LA","lvl",$B20),0)</f>
        <v>5</v>
      </c>
      <c r="H20" s="82">
        <f>IFERROR(GETPIVOTDATA("Sum of Crew Manager",h5a!$A$3,"ReportingLevel","1:LA","lvl",$B20),0)</f>
        <v>10</v>
      </c>
      <c r="I20" s="82">
        <f>IFERROR(GETPIVOTDATA("Sum of Firefighter",h5a!$A$3,"ReportingLevel","1:LA","lvl",$B20),0)</f>
        <v>34</v>
      </c>
      <c r="J20" s="108">
        <f t="shared" si="0"/>
        <v>49</v>
      </c>
    </row>
    <row r="21" spans="1:10" ht="15" customHeight="1" x14ac:dyDescent="0.25">
      <c r="A21" s="573" t="s">
        <v>311</v>
      </c>
      <c r="B21" s="58" t="s">
        <v>39</v>
      </c>
      <c r="C21" s="653">
        <f>IFERROR(GETPIVOTDATA("Sum of Brigade Manager",h5a!$A$3,"ReportingLevel","1:LA","lvl",$B21),0)</f>
        <v>0</v>
      </c>
      <c r="D21" s="653">
        <f>IFERROR(GETPIVOTDATA("Sum of Area Manager",h5a!$A$3,"ReportingLevel","1:LA","lvl",$B21),0)</f>
        <v>0</v>
      </c>
      <c r="E21" s="653">
        <f>IFERROR(GETPIVOTDATA("Sum of Group Manager",h5a!$A$3,"ReportingLevel","1:LA","lvl",$B21),0)</f>
        <v>0</v>
      </c>
      <c r="F21" s="653">
        <f>IFERROR(GETPIVOTDATA("Sum of Station Manager",h5a!$A$3,"ReportingLevel","1:LA","lvl",$B21),0)</f>
        <v>0</v>
      </c>
      <c r="G21" s="82">
        <f>IFERROR(GETPIVOTDATA("Sum of Watch Manager",h5a!$A$3,"ReportingLevel","1:LA","lvl",$B21),0)</f>
        <v>15</v>
      </c>
      <c r="H21" s="82">
        <f>IFERROR(GETPIVOTDATA("Sum of Crew Manager",h5a!$A$3,"ReportingLevel","1:LA","lvl",$B21),0)</f>
        <v>15</v>
      </c>
      <c r="I21" s="82">
        <f>IFERROR(GETPIVOTDATA("Sum of Firefighter",h5a!$A$3,"ReportingLevel","1:LA","lvl",$B21),0)</f>
        <v>49</v>
      </c>
      <c r="J21" s="108">
        <f t="shared" si="0"/>
        <v>79</v>
      </c>
    </row>
    <row r="22" spans="1:10" ht="15" customHeight="1" x14ac:dyDescent="0.25">
      <c r="A22" s="573" t="s">
        <v>285</v>
      </c>
      <c r="B22" s="58" t="s">
        <v>40</v>
      </c>
      <c r="C22" s="653">
        <f>IFERROR(GETPIVOTDATA("Sum of Brigade Manager",h5a!$A$3,"ReportingLevel","1:LA","lvl",$B22),0)</f>
        <v>0</v>
      </c>
      <c r="D22" s="653">
        <f>IFERROR(GETPIVOTDATA("Sum of Area Manager",h5a!$A$3,"ReportingLevel","1:LA","lvl",$B22),0)</f>
        <v>0</v>
      </c>
      <c r="E22" s="653">
        <f>IFERROR(GETPIVOTDATA("Sum of Group Manager",h5a!$A$3,"ReportingLevel","1:LA","lvl",$B22),0)</f>
        <v>0</v>
      </c>
      <c r="F22" s="653">
        <f>IFERROR(GETPIVOTDATA("Sum of Station Manager",h5a!$A$3,"ReportingLevel","1:LA","lvl",$B22),0)</f>
        <v>0</v>
      </c>
      <c r="G22" s="82">
        <f>IFERROR(GETPIVOTDATA("Sum of Watch Manager",h5a!$A$3,"ReportingLevel","1:LA","lvl",$B22),0)</f>
        <v>5</v>
      </c>
      <c r="H22" s="82">
        <f>IFERROR(GETPIVOTDATA("Sum of Crew Manager",h5a!$A$3,"ReportingLevel","1:LA","lvl",$B22),0)</f>
        <v>5</v>
      </c>
      <c r="I22" s="82">
        <f>IFERROR(GETPIVOTDATA("Sum of Firefighter",h5a!$A$3,"ReportingLevel","1:LA","lvl",$B22),0)</f>
        <v>15</v>
      </c>
      <c r="J22" s="108">
        <f t="shared" si="0"/>
        <v>25</v>
      </c>
    </row>
    <row r="23" spans="1:10" ht="15" customHeight="1" x14ac:dyDescent="0.25">
      <c r="A23" s="573" t="s">
        <v>286</v>
      </c>
      <c r="B23" s="58" t="s">
        <v>41</v>
      </c>
      <c r="C23" s="653">
        <f>IFERROR(GETPIVOTDATA("Sum of Brigade Manager",h5a!$A$3,"ReportingLevel","1:LA","lvl",$B23),0)</f>
        <v>0</v>
      </c>
      <c r="D23" s="653">
        <f>IFERROR(GETPIVOTDATA("Sum of Area Manager",h5a!$A$3,"ReportingLevel","1:LA","lvl",$B23),0)</f>
        <v>0</v>
      </c>
      <c r="E23" s="653">
        <f>IFERROR(GETPIVOTDATA("Sum of Group Manager",h5a!$A$3,"ReportingLevel","1:LA","lvl",$B23),0)</f>
        <v>0</v>
      </c>
      <c r="F23" s="653">
        <f>IFERROR(GETPIVOTDATA("Sum of Station Manager",h5a!$A$3,"ReportingLevel","1:LA","lvl",$B23),0)</f>
        <v>0</v>
      </c>
      <c r="G23" s="82">
        <f>IFERROR(GETPIVOTDATA("Sum of Watch Manager",h5a!$A$3,"ReportingLevel","1:LA","lvl",$B23),0)</f>
        <v>10</v>
      </c>
      <c r="H23" s="82">
        <f>IFERROR(GETPIVOTDATA("Sum of Crew Manager",h5a!$A$3,"ReportingLevel","1:LA","lvl",$B23),0)</f>
        <v>10</v>
      </c>
      <c r="I23" s="82">
        <f>IFERROR(GETPIVOTDATA("Sum of Firefighter",h5a!$A$3,"ReportingLevel","1:LA","lvl",$B23),0)</f>
        <v>30</v>
      </c>
      <c r="J23" s="108">
        <f t="shared" si="0"/>
        <v>50</v>
      </c>
    </row>
    <row r="24" spans="1:10" ht="15" customHeight="1" x14ac:dyDescent="0.25">
      <c r="A24" s="573" t="s">
        <v>288</v>
      </c>
      <c r="B24" s="58" t="s">
        <v>42</v>
      </c>
      <c r="C24" s="653">
        <f>IFERROR(GETPIVOTDATA("Sum of Brigade Manager",h5a!$A$3,"ReportingLevel","1:LA","lvl",$B24),0)</f>
        <v>0</v>
      </c>
      <c r="D24" s="653">
        <f>IFERROR(GETPIVOTDATA("Sum of Area Manager",h5a!$A$3,"ReportingLevel","1:LA","lvl",$B24),0)</f>
        <v>0</v>
      </c>
      <c r="E24" s="653">
        <f>IFERROR(GETPIVOTDATA("Sum of Group Manager",h5a!$A$3,"ReportingLevel","1:LA","lvl",$B24),0)</f>
        <v>0</v>
      </c>
      <c r="F24" s="653">
        <f>IFERROR(GETPIVOTDATA("Sum of Station Manager",h5a!$A$3,"ReportingLevel","1:LA","lvl",$B24),0)</f>
        <v>0</v>
      </c>
      <c r="G24" s="82">
        <f>IFERROR(GETPIVOTDATA("Sum of Watch Manager",h5a!$A$3,"ReportingLevel","1:LA","lvl",$B24),0)</f>
        <v>15</v>
      </c>
      <c r="H24" s="82">
        <f>IFERROR(GETPIVOTDATA("Sum of Crew Manager",h5a!$A$3,"ReportingLevel","1:LA","lvl",$B24),0)</f>
        <v>19</v>
      </c>
      <c r="I24" s="82">
        <f>IFERROR(GETPIVOTDATA("Sum of Firefighter",h5a!$A$3,"ReportingLevel","1:LA","lvl",$B24),0)</f>
        <v>54</v>
      </c>
      <c r="J24" s="108">
        <f t="shared" si="0"/>
        <v>88</v>
      </c>
    </row>
    <row r="25" spans="1:10" ht="15" customHeight="1" x14ac:dyDescent="0.25">
      <c r="A25" s="573" t="s">
        <v>313</v>
      </c>
      <c r="B25" s="58" t="s">
        <v>43</v>
      </c>
      <c r="C25" s="653">
        <f>IFERROR(GETPIVOTDATA("Sum of Brigade Manager",h5a!$A$3,"ReportingLevel","1:LA","lvl",$B25),0)</f>
        <v>0</v>
      </c>
      <c r="D25" s="653">
        <f>IFERROR(GETPIVOTDATA("Sum of Area Manager",h5a!$A$3,"ReportingLevel","1:LA","lvl",$B25),0)</f>
        <v>0</v>
      </c>
      <c r="E25" s="653">
        <f>IFERROR(GETPIVOTDATA("Sum of Group Manager",h5a!$A$3,"ReportingLevel","1:LA","lvl",$B25),0)</f>
        <v>0</v>
      </c>
      <c r="F25" s="653">
        <f>IFERROR(GETPIVOTDATA("Sum of Station Manager",h5a!$A$3,"ReportingLevel","1:LA","lvl",$B25),0)</f>
        <v>0</v>
      </c>
      <c r="G25" s="82">
        <f>IFERROR(GETPIVOTDATA("Sum of Watch Manager",h5a!$A$3,"ReportingLevel","1:LA","lvl",$B25),0)</f>
        <v>26</v>
      </c>
      <c r="H25" s="82">
        <f>IFERROR(GETPIVOTDATA("Sum of Crew Manager",h5a!$A$3,"ReportingLevel","1:LA","lvl",$B25),0)</f>
        <v>51</v>
      </c>
      <c r="I25" s="82">
        <f>IFERROR(GETPIVOTDATA("Sum of Firefighter",h5a!$A$3,"ReportingLevel","1:LA","lvl",$B25),0)</f>
        <v>192</v>
      </c>
      <c r="J25" s="108">
        <f t="shared" si="0"/>
        <v>269</v>
      </c>
    </row>
    <row r="26" spans="1:10" ht="15" customHeight="1" x14ac:dyDescent="0.25">
      <c r="A26" s="573" t="str">
        <f>IF(A9 = "2019-20","S12000049","S12000046")</f>
        <v>S12000049</v>
      </c>
      <c r="B26" s="58" t="s">
        <v>121</v>
      </c>
      <c r="C26" s="653">
        <f>IFERROR(GETPIVOTDATA("Sum of Brigade Manager",h5a!$A$3,"ReportingLevel","1:LA","lvl",$B26),0)</f>
        <v>0</v>
      </c>
      <c r="D26" s="653">
        <f>IFERROR(GETPIVOTDATA("Sum of Area Manager",h5a!$A$3,"ReportingLevel","1:LA","lvl",$B26),0)</f>
        <v>0</v>
      </c>
      <c r="E26" s="653">
        <f>IFERROR(GETPIVOTDATA("Sum of Group Manager",h5a!$A$3,"ReportingLevel","1:LA","lvl",$B26),0)</f>
        <v>0</v>
      </c>
      <c r="F26" s="653">
        <f>IFERROR(GETPIVOTDATA("Sum of Station Manager",h5a!$A$3,"ReportingLevel","1:LA","lvl",$B26),0)</f>
        <v>0</v>
      </c>
      <c r="G26" s="82">
        <f>IFERROR(GETPIVOTDATA("Sum of Watch Manager",h5a!$A$3,"ReportingLevel","1:LA","lvl",$B26),0)</f>
        <v>57</v>
      </c>
      <c r="H26" s="82">
        <f>IFERROR(GETPIVOTDATA("Sum of Crew Manager",h5a!$A$3,"ReportingLevel","1:LA","lvl",$B26),0)</f>
        <v>114</v>
      </c>
      <c r="I26" s="82">
        <f>IFERROR(GETPIVOTDATA("Sum of Firefighter",h5a!$A$3,"ReportingLevel","1:LA","lvl",$B26),0)</f>
        <v>346</v>
      </c>
      <c r="J26" s="108">
        <f t="shared" si="0"/>
        <v>517</v>
      </c>
    </row>
    <row r="27" spans="1:10" ht="15" customHeight="1" x14ac:dyDescent="0.25">
      <c r="A27" s="573" t="s">
        <v>289</v>
      </c>
      <c r="B27" s="58" t="s">
        <v>44</v>
      </c>
      <c r="C27" s="653">
        <f>IFERROR(GETPIVOTDATA("Sum of Brigade Manager",h5a!$A$3,"ReportingLevel","1:LA","lvl",$B27),0)</f>
        <v>0</v>
      </c>
      <c r="D27" s="653">
        <f>IFERROR(GETPIVOTDATA("Sum of Area Manager",h5a!$A$3,"ReportingLevel","1:LA","lvl",$B27),0)</f>
        <v>0</v>
      </c>
      <c r="E27" s="653">
        <f>IFERROR(GETPIVOTDATA("Sum of Group Manager",h5a!$A$3,"ReportingLevel","1:LA","lvl",$B27),0)</f>
        <v>0</v>
      </c>
      <c r="F27" s="653">
        <f>IFERROR(GETPIVOTDATA("Sum of Station Manager",h5a!$A$3,"ReportingLevel","1:LA","lvl",$B27),0)</f>
        <v>0</v>
      </c>
      <c r="G27" s="82">
        <f>IFERROR(GETPIVOTDATA("Sum of Watch Manager",h5a!$A$3,"ReportingLevel","1:LA","lvl",$B27),0)</f>
        <v>5</v>
      </c>
      <c r="H27" s="82">
        <f>IFERROR(GETPIVOTDATA("Sum of Crew Manager",h5a!$A$3,"ReportingLevel","1:LA","lvl",$B27),0)</f>
        <v>14</v>
      </c>
      <c r="I27" s="82">
        <f>IFERROR(GETPIVOTDATA("Sum of Firefighter",h5a!$A$3,"ReportingLevel","1:LA","lvl",$B27),0)</f>
        <v>52</v>
      </c>
      <c r="J27" s="108">
        <f t="shared" si="0"/>
        <v>71</v>
      </c>
    </row>
    <row r="28" spans="1:10" ht="15" customHeight="1" x14ac:dyDescent="0.25">
      <c r="A28" s="573" t="s">
        <v>290</v>
      </c>
      <c r="B28" s="58" t="s">
        <v>45</v>
      </c>
      <c r="C28" s="653">
        <f>IFERROR(GETPIVOTDATA("Sum of Brigade Manager",h5a!$A$3,"ReportingLevel","1:LA","lvl",$B28),0)</f>
        <v>0</v>
      </c>
      <c r="D28" s="653">
        <f>IFERROR(GETPIVOTDATA("Sum of Area Manager",h5a!$A$3,"ReportingLevel","1:LA","lvl",$B28),0)</f>
        <v>0</v>
      </c>
      <c r="E28" s="653">
        <f>IFERROR(GETPIVOTDATA("Sum of Group Manager",h5a!$A$3,"ReportingLevel","1:LA","lvl",$B28),0)</f>
        <v>0</v>
      </c>
      <c r="F28" s="653">
        <f>IFERROR(GETPIVOTDATA("Sum of Station Manager",h5a!$A$3,"ReportingLevel","1:LA","lvl",$B28),0)</f>
        <v>0</v>
      </c>
      <c r="G28" s="82">
        <f>IFERROR(GETPIVOTDATA("Sum of Watch Manager",h5a!$A$3,"ReportingLevel","1:LA","lvl",$B28),0)</f>
        <v>10</v>
      </c>
      <c r="H28" s="82">
        <f>IFERROR(GETPIVOTDATA("Sum of Crew Manager",h5a!$A$3,"ReportingLevel","1:LA","lvl",$B28),0)</f>
        <v>15</v>
      </c>
      <c r="I28" s="82">
        <f>IFERROR(GETPIVOTDATA("Sum of Firefighter",h5a!$A$3,"ReportingLevel","1:LA","lvl",$B28),0)</f>
        <v>45</v>
      </c>
      <c r="J28" s="108">
        <f t="shared" si="0"/>
        <v>70</v>
      </c>
    </row>
    <row r="29" spans="1:10" ht="15" customHeight="1" x14ac:dyDescent="0.25">
      <c r="A29" s="573" t="s">
        <v>291</v>
      </c>
      <c r="B29" s="58" t="s">
        <v>46</v>
      </c>
      <c r="C29" s="653">
        <f>IFERROR(GETPIVOTDATA("Sum of Brigade Manager",h5a!$A$3,"ReportingLevel","1:LA","lvl",$B29),0)</f>
        <v>0</v>
      </c>
      <c r="D29" s="653">
        <f>IFERROR(GETPIVOTDATA("Sum of Area Manager",h5a!$A$3,"ReportingLevel","1:LA","lvl",$B29),0)</f>
        <v>0</v>
      </c>
      <c r="E29" s="653">
        <f>IFERROR(GETPIVOTDATA("Sum of Group Manager",h5a!$A$3,"ReportingLevel","1:LA","lvl",$B29),0)</f>
        <v>0</v>
      </c>
      <c r="F29" s="653">
        <f>IFERROR(GETPIVOTDATA("Sum of Station Manager",h5a!$A$3,"ReportingLevel","1:LA","lvl",$B29),0)</f>
        <v>0</v>
      </c>
      <c r="G29" s="82">
        <f>IFERROR(GETPIVOTDATA("Sum of Watch Manager",h5a!$A$3,"ReportingLevel","1:LA","lvl",$B29),0)</f>
        <v>5</v>
      </c>
      <c r="H29" s="82">
        <f>IFERROR(GETPIVOTDATA("Sum of Crew Manager",h5a!$A$3,"ReportingLevel","1:LA","lvl",$B29),0)</f>
        <v>4</v>
      </c>
      <c r="I29" s="82">
        <f>IFERROR(GETPIVOTDATA("Sum of Firefighter",h5a!$A$3,"ReportingLevel","1:LA","lvl",$B29),0)</f>
        <v>17</v>
      </c>
      <c r="J29" s="108">
        <f t="shared" si="0"/>
        <v>26</v>
      </c>
    </row>
    <row r="30" spans="1:10" ht="15" customHeight="1" x14ac:dyDescent="0.25">
      <c r="A30" s="573" t="s">
        <v>292</v>
      </c>
      <c r="B30" s="58" t="s">
        <v>47</v>
      </c>
      <c r="C30" s="653">
        <f>IFERROR(GETPIVOTDATA("Sum of Brigade Manager",h5a!$A$3,"ReportingLevel","1:LA","lvl",$B30),0)</f>
        <v>0</v>
      </c>
      <c r="D30" s="653">
        <f>IFERROR(GETPIVOTDATA("Sum of Area Manager",h5a!$A$3,"ReportingLevel","1:LA","lvl",$B30),0)</f>
        <v>0</v>
      </c>
      <c r="E30" s="653">
        <f>IFERROR(GETPIVOTDATA("Sum of Group Manager",h5a!$A$3,"ReportingLevel","1:LA","lvl",$B30),0)</f>
        <v>0</v>
      </c>
      <c r="F30" s="653">
        <f>IFERROR(GETPIVOTDATA("Sum of Station Manager",h5a!$A$3,"ReportingLevel","1:LA","lvl",$B30),0)</f>
        <v>0</v>
      </c>
      <c r="G30" s="82">
        <f>IFERROR(GETPIVOTDATA("Sum of Watch Manager",h5a!$A$3,"ReportingLevel","1:LA","lvl",$B30),0)</f>
        <v>5</v>
      </c>
      <c r="H30" s="82">
        <f>IFERROR(GETPIVOTDATA("Sum of Crew Manager",h5a!$A$3,"ReportingLevel","1:LA","lvl",$B30),0)</f>
        <v>5</v>
      </c>
      <c r="I30" s="82">
        <f>IFERROR(GETPIVOTDATA("Sum of Firefighter",h5a!$A$3,"ReportingLevel","1:LA","lvl",$B30),0)</f>
        <v>20</v>
      </c>
      <c r="J30" s="108">
        <f t="shared" si="0"/>
        <v>30</v>
      </c>
    </row>
    <row r="31" spans="1:10" ht="15" customHeight="1" x14ac:dyDescent="0.25">
      <c r="A31" s="573" t="s">
        <v>287</v>
      </c>
      <c r="B31" s="58" t="s">
        <v>48</v>
      </c>
      <c r="C31" s="653">
        <f>IFERROR(GETPIVOTDATA("Sum of Brigade Manager",h5a!$A$3,"ReportingLevel","1:LA","lvl",$B31),0)</f>
        <v>0</v>
      </c>
      <c r="D31" s="653">
        <f>IFERROR(GETPIVOTDATA("Sum of Area Manager",h5a!$A$3,"ReportingLevel","1:LA","lvl",$B31),0)</f>
        <v>0</v>
      </c>
      <c r="E31" s="653">
        <f>IFERROR(GETPIVOTDATA("Sum of Group Manager",h5a!$A$3,"ReportingLevel","1:LA","lvl",$B31),0)</f>
        <v>0</v>
      </c>
      <c r="F31" s="653">
        <f>IFERROR(GETPIVOTDATA("Sum of Station Manager",h5a!$A$3,"ReportingLevel","1:LA","lvl",$B31),0)</f>
        <v>0</v>
      </c>
      <c r="G31" s="82">
        <f>IFERROR(GETPIVOTDATA("Sum of Watch Manager",h5a!$A$3,"ReportingLevel","1:LA","lvl",$B31),0)</f>
        <v>0</v>
      </c>
      <c r="H31" s="82">
        <f>IFERROR(GETPIVOTDATA("Sum of Crew Manager",h5a!$A$3,"ReportingLevel","1:LA","lvl",$B31),0)</f>
        <v>0</v>
      </c>
      <c r="I31" s="82">
        <f>IFERROR(GETPIVOTDATA("Sum of Firefighter",h5a!$A$3,"ReportingLevel","1:LA","lvl",$B31),0)</f>
        <v>0</v>
      </c>
      <c r="J31" s="108">
        <f t="shared" si="0"/>
        <v>0</v>
      </c>
    </row>
    <row r="32" spans="1:10" ht="15" customHeight="1" x14ac:dyDescent="0.25">
      <c r="A32" s="573" t="s">
        <v>293</v>
      </c>
      <c r="B32" s="58" t="s">
        <v>49</v>
      </c>
      <c r="C32" s="653">
        <f>IFERROR(GETPIVOTDATA("Sum of Brigade Manager",h5a!$A$3,"ReportingLevel","1:LA","lvl",$B32),0)</f>
        <v>0</v>
      </c>
      <c r="D32" s="653">
        <f>IFERROR(GETPIVOTDATA("Sum of Area Manager",h5a!$A$3,"ReportingLevel","1:LA","lvl",$B32),0)</f>
        <v>0</v>
      </c>
      <c r="E32" s="653">
        <f>IFERROR(GETPIVOTDATA("Sum of Group Manager",h5a!$A$3,"ReportingLevel","1:LA","lvl",$B32),0)</f>
        <v>0</v>
      </c>
      <c r="F32" s="653">
        <f>IFERROR(GETPIVOTDATA("Sum of Station Manager",h5a!$A$3,"ReportingLevel","1:LA","lvl",$B32),0)</f>
        <v>0</v>
      </c>
      <c r="G32" s="82">
        <f>IFERROR(GETPIVOTDATA("Sum of Watch Manager",h5a!$A$3,"ReportingLevel","1:LA","lvl",$B32),0)</f>
        <v>15</v>
      </c>
      <c r="H32" s="82">
        <f>IFERROR(GETPIVOTDATA("Sum of Crew Manager",h5a!$A$3,"ReportingLevel","1:LA","lvl",$B32),0)</f>
        <v>15</v>
      </c>
      <c r="I32" s="82">
        <f>IFERROR(GETPIVOTDATA("Sum of Firefighter",h5a!$A$3,"ReportingLevel","1:LA","lvl",$B32),0)</f>
        <v>45</v>
      </c>
      <c r="J32" s="108">
        <f t="shared" si="0"/>
        <v>75</v>
      </c>
    </row>
    <row r="33" spans="1:11" ht="15" customHeight="1" x14ac:dyDescent="0.25">
      <c r="A33" s="573" t="str">
        <f>IF(A9="2019-20","S12000050","S12000044")</f>
        <v>S12000050</v>
      </c>
      <c r="B33" s="58" t="s">
        <v>50</v>
      </c>
      <c r="C33" s="653">
        <f>IFERROR(GETPIVOTDATA("Sum of Brigade Manager",h5a!$A$3,"ReportingLevel","1:LA","lvl",$B33),0)</f>
        <v>0</v>
      </c>
      <c r="D33" s="653">
        <f>IFERROR(GETPIVOTDATA("Sum of Area Manager",h5a!$A$3,"ReportingLevel","1:LA","lvl",$B33),0)</f>
        <v>0</v>
      </c>
      <c r="E33" s="653">
        <f>IFERROR(GETPIVOTDATA("Sum of Group Manager",h5a!$A$3,"ReportingLevel","1:LA","lvl",$B33),0)</f>
        <v>0</v>
      </c>
      <c r="F33" s="653">
        <f>IFERROR(GETPIVOTDATA("Sum of Station Manager",h5a!$A$3,"ReportingLevel","1:LA","lvl",$B33),0)</f>
        <v>0</v>
      </c>
      <c r="G33" s="82">
        <f>IFERROR(GETPIVOTDATA("Sum of Watch Manager",h5a!$A$3,"ReportingLevel","1:LA","lvl",$B33),0)</f>
        <v>21</v>
      </c>
      <c r="H33" s="82">
        <f>IFERROR(GETPIVOTDATA("Sum of Crew Manager",h5a!$A$3,"ReportingLevel","1:LA","lvl",$B33),0)</f>
        <v>37</v>
      </c>
      <c r="I33" s="82">
        <f>IFERROR(GETPIVOTDATA("Sum of Firefighter",h5a!$A$3,"ReportingLevel","1:LA","lvl",$B33),0)</f>
        <v>105</v>
      </c>
      <c r="J33" s="108">
        <f t="shared" si="0"/>
        <v>163</v>
      </c>
    </row>
    <row r="34" spans="1:11" ht="15" customHeight="1" x14ac:dyDescent="0.25">
      <c r="A34" s="573" t="s">
        <v>294</v>
      </c>
      <c r="B34" s="58" t="s">
        <v>51</v>
      </c>
      <c r="C34" s="653">
        <f>IFERROR(GETPIVOTDATA("Sum of Brigade Manager",h5a!$A$3,"ReportingLevel","1:LA","lvl",$B34),0)</f>
        <v>0</v>
      </c>
      <c r="D34" s="653">
        <f>IFERROR(GETPIVOTDATA("Sum of Area Manager",h5a!$A$3,"ReportingLevel","1:LA","lvl",$B34),0)</f>
        <v>0</v>
      </c>
      <c r="E34" s="653">
        <f>IFERROR(GETPIVOTDATA("Sum of Group Manager",h5a!$A$3,"ReportingLevel","1:LA","lvl",$B34),0)</f>
        <v>0</v>
      </c>
      <c r="F34" s="653">
        <f>IFERROR(GETPIVOTDATA("Sum of Station Manager",h5a!$A$3,"ReportingLevel","1:LA","lvl",$B34),0)</f>
        <v>0</v>
      </c>
      <c r="G34" s="82">
        <f>IFERROR(GETPIVOTDATA("Sum of Watch Manager",h5a!$A$3,"ReportingLevel","1:LA","lvl",$B34),0)</f>
        <v>0</v>
      </c>
      <c r="H34" s="82">
        <f>IFERROR(GETPIVOTDATA("Sum of Crew Manager",h5a!$A$3,"ReportingLevel","1:LA","lvl",$B34),0)</f>
        <v>0</v>
      </c>
      <c r="I34" s="82">
        <f>IFERROR(GETPIVOTDATA("Sum of Firefighter",h5a!$A$3,"ReportingLevel","1:LA","lvl",$B34),0)</f>
        <v>0</v>
      </c>
      <c r="J34" s="108">
        <f t="shared" si="0"/>
        <v>0</v>
      </c>
    </row>
    <row r="35" spans="1:11" ht="15" customHeight="1" x14ac:dyDescent="0.25">
      <c r="A35" s="573" t="s">
        <v>295</v>
      </c>
      <c r="B35" s="58" t="s">
        <v>52</v>
      </c>
      <c r="C35" s="653">
        <f>IFERROR(GETPIVOTDATA("Sum of Brigade Manager",h5a!$A$3,"ReportingLevel","1:LA","lvl",$B35),0)</f>
        <v>0</v>
      </c>
      <c r="D35" s="653">
        <f>IFERROR(GETPIVOTDATA("Sum of Area Manager",h5a!$A$3,"ReportingLevel","1:LA","lvl",$B35),0)</f>
        <v>0</v>
      </c>
      <c r="E35" s="653">
        <f>IFERROR(GETPIVOTDATA("Sum of Group Manager",h5a!$A$3,"ReportingLevel","1:LA","lvl",$B35),0)</f>
        <v>0</v>
      </c>
      <c r="F35" s="653">
        <f>IFERROR(GETPIVOTDATA("Sum of Station Manager",h5a!$A$3,"ReportingLevel","1:LA","lvl",$B35),0)</f>
        <v>0</v>
      </c>
      <c r="G35" s="82">
        <f>IFERROR(GETPIVOTDATA("Sum of Watch Manager",h5a!$A$3,"ReportingLevel","1:LA","lvl",$B35),0)</f>
        <v>5</v>
      </c>
      <c r="H35" s="82">
        <f>IFERROR(GETPIVOTDATA("Sum of Crew Manager",h5a!$A$3,"ReportingLevel","1:LA","lvl",$B35),0)</f>
        <v>10</v>
      </c>
      <c r="I35" s="82">
        <f>IFERROR(GETPIVOTDATA("Sum of Firefighter",h5a!$A$3,"ReportingLevel","1:LA","lvl",$B35),0)</f>
        <v>52</v>
      </c>
      <c r="J35" s="108">
        <f t="shared" si="0"/>
        <v>67</v>
      </c>
    </row>
    <row r="36" spans="1:11" ht="15" customHeight="1" x14ac:dyDescent="0.25">
      <c r="A36" s="573" t="s">
        <v>305</v>
      </c>
      <c r="B36" s="58" t="s">
        <v>53</v>
      </c>
      <c r="C36" s="653">
        <f>IFERROR(GETPIVOTDATA("Sum of Brigade Manager",h5a!$A$3,"ReportingLevel","1:LA","lvl",$B36),0)</f>
        <v>0</v>
      </c>
      <c r="D36" s="653">
        <f>IFERROR(GETPIVOTDATA("Sum of Area Manager",h5a!$A$3,"ReportingLevel","1:LA","lvl",$B36),0)</f>
        <v>0</v>
      </c>
      <c r="E36" s="653">
        <f>IFERROR(GETPIVOTDATA("Sum of Group Manager",h5a!$A$3,"ReportingLevel","1:LA","lvl",$B36),0)</f>
        <v>0</v>
      </c>
      <c r="F36" s="653">
        <f>IFERROR(GETPIVOTDATA("Sum of Station Manager",h5a!$A$3,"ReportingLevel","1:LA","lvl",$B36),0)</f>
        <v>0</v>
      </c>
      <c r="G36" s="82">
        <f>IFERROR(GETPIVOTDATA("Sum of Watch Manager",h5a!$A$3,"ReportingLevel","1:LA","lvl",$B36),0)</f>
        <v>15</v>
      </c>
      <c r="H36" s="82">
        <f>IFERROR(GETPIVOTDATA("Sum of Crew Manager",h5a!$A$3,"ReportingLevel","1:LA","lvl",$B36),0)</f>
        <v>21</v>
      </c>
      <c r="I36" s="82">
        <f>IFERROR(GETPIVOTDATA("Sum of Firefighter",h5a!$A$3,"ReportingLevel","1:LA","lvl",$B36),0)</f>
        <v>66</v>
      </c>
      <c r="J36" s="108">
        <f t="shared" si="0"/>
        <v>102</v>
      </c>
    </row>
    <row r="37" spans="1:11" ht="15" customHeight="1" x14ac:dyDescent="0.25">
      <c r="A37" s="573" t="s">
        <v>296</v>
      </c>
      <c r="B37" s="58" t="s">
        <v>54</v>
      </c>
      <c r="C37" s="653">
        <f>IFERROR(GETPIVOTDATA("Sum of Brigade Manager",h5a!$A$3,"ReportingLevel","1:LA","lvl",$B37),0)</f>
        <v>0</v>
      </c>
      <c r="D37" s="653">
        <f>IFERROR(GETPIVOTDATA("Sum of Area Manager",h5a!$A$3,"ReportingLevel","1:LA","lvl",$B37),0)</f>
        <v>0</v>
      </c>
      <c r="E37" s="653">
        <f>IFERROR(GETPIVOTDATA("Sum of Group Manager",h5a!$A$3,"ReportingLevel","1:LA","lvl",$B37),0)</f>
        <v>0</v>
      </c>
      <c r="F37" s="653">
        <f>IFERROR(GETPIVOTDATA("Sum of Station Manager",h5a!$A$3,"ReportingLevel","1:LA","lvl",$B37),0)</f>
        <v>0</v>
      </c>
      <c r="G37" s="82">
        <f>IFERROR(GETPIVOTDATA("Sum of Watch Manager",h5a!$A$3,"ReportingLevel","1:LA","lvl",$B37),0)</f>
        <v>10</v>
      </c>
      <c r="H37" s="82">
        <f>IFERROR(GETPIVOTDATA("Sum of Crew Manager",h5a!$A$3,"ReportingLevel","1:LA","lvl",$B37),0)</f>
        <v>10</v>
      </c>
      <c r="I37" s="82">
        <f>IFERROR(GETPIVOTDATA("Sum of Firefighter",h5a!$A$3,"ReportingLevel","1:LA","lvl",$B37),0)</f>
        <v>33</v>
      </c>
      <c r="J37" s="108">
        <f t="shared" si="0"/>
        <v>53</v>
      </c>
    </row>
    <row r="38" spans="1:11" ht="15" customHeight="1" x14ac:dyDescent="0.25">
      <c r="A38" s="573" t="s">
        <v>297</v>
      </c>
      <c r="B38" s="58" t="s">
        <v>55</v>
      </c>
      <c r="C38" s="653">
        <f>IFERROR(GETPIVOTDATA("Sum of Brigade Manager",h5a!$A$3,"ReportingLevel","1:LA","lvl",$B38),0)</f>
        <v>0</v>
      </c>
      <c r="D38" s="653">
        <f>IFERROR(GETPIVOTDATA("Sum of Area Manager",h5a!$A$3,"ReportingLevel","1:LA","lvl",$B38),0)</f>
        <v>0</v>
      </c>
      <c r="E38" s="653">
        <f>IFERROR(GETPIVOTDATA("Sum of Group Manager",h5a!$A$3,"ReportingLevel","1:LA","lvl",$B38),0)</f>
        <v>0</v>
      </c>
      <c r="F38" s="653">
        <f>IFERROR(GETPIVOTDATA("Sum of Station Manager",h5a!$A$3,"ReportingLevel","1:LA","lvl",$B38),0)</f>
        <v>0</v>
      </c>
      <c r="G38" s="82">
        <f>IFERROR(GETPIVOTDATA("Sum of Watch Manager",h5a!$A$3,"ReportingLevel","1:LA","lvl",$B38),0)</f>
        <v>0</v>
      </c>
      <c r="H38" s="82">
        <f>IFERROR(GETPIVOTDATA("Sum of Crew Manager",h5a!$A$3,"ReportingLevel","1:LA","lvl",$B38),0)</f>
        <v>0</v>
      </c>
      <c r="I38" s="82">
        <f>IFERROR(GETPIVOTDATA("Sum of Firefighter",h5a!$A$3,"ReportingLevel","1:LA","lvl",$B38),0)</f>
        <v>0</v>
      </c>
      <c r="J38" s="108">
        <f t="shared" si="0"/>
        <v>0</v>
      </c>
    </row>
    <row r="39" spans="1:11" ht="15" customHeight="1" x14ac:dyDescent="0.25">
      <c r="A39" s="573" t="s">
        <v>298</v>
      </c>
      <c r="B39" s="58" t="s">
        <v>56</v>
      </c>
      <c r="C39" s="653">
        <f>IFERROR(GETPIVOTDATA("Sum of Brigade Manager",h5a!$A$3,"ReportingLevel","1:LA","lvl",$B39),0)</f>
        <v>0</v>
      </c>
      <c r="D39" s="653">
        <f>IFERROR(GETPIVOTDATA("Sum of Area Manager",h5a!$A$3,"ReportingLevel","1:LA","lvl",$B39),0)</f>
        <v>0</v>
      </c>
      <c r="E39" s="653">
        <f>IFERROR(GETPIVOTDATA("Sum of Group Manager",h5a!$A$3,"ReportingLevel","1:LA","lvl",$B39),0)</f>
        <v>0</v>
      </c>
      <c r="F39" s="653">
        <f>IFERROR(GETPIVOTDATA("Sum of Station Manager",h5a!$A$3,"ReportingLevel","1:LA","lvl",$B39),0)</f>
        <v>0</v>
      </c>
      <c r="G39" s="82">
        <f>IFERROR(GETPIVOTDATA("Sum of Watch Manager",h5a!$A$3,"ReportingLevel","1:LA","lvl",$B39),0)</f>
        <v>5</v>
      </c>
      <c r="H39" s="82">
        <f>IFERROR(GETPIVOTDATA("Sum of Crew Manager",h5a!$A$3,"ReportingLevel","1:LA","lvl",$B39),0)</f>
        <v>9</v>
      </c>
      <c r="I39" s="82">
        <f>IFERROR(GETPIVOTDATA("Sum of Firefighter",h5a!$A$3,"ReportingLevel","1:LA","lvl",$B39),0)</f>
        <v>36</v>
      </c>
      <c r="J39" s="108">
        <f t="shared" si="0"/>
        <v>50</v>
      </c>
    </row>
    <row r="40" spans="1:11" ht="15" customHeight="1" x14ac:dyDescent="0.25">
      <c r="A40" s="573" t="s">
        <v>299</v>
      </c>
      <c r="B40" s="58" t="s">
        <v>57</v>
      </c>
      <c r="C40" s="653">
        <f>IFERROR(GETPIVOTDATA("Sum of Brigade Manager",h5a!$A$3,"ReportingLevel","1:LA","lvl",$B40),0)</f>
        <v>0</v>
      </c>
      <c r="D40" s="653">
        <f>IFERROR(GETPIVOTDATA("Sum of Area Manager",h5a!$A$3,"ReportingLevel","1:LA","lvl",$B40),0)</f>
        <v>0</v>
      </c>
      <c r="E40" s="653">
        <f>IFERROR(GETPIVOTDATA("Sum of Group Manager",h5a!$A$3,"ReportingLevel","1:LA","lvl",$B40),0)</f>
        <v>0</v>
      </c>
      <c r="F40" s="653">
        <f>IFERROR(GETPIVOTDATA("Sum of Station Manager",h5a!$A$3,"ReportingLevel","1:LA","lvl",$B40),0)</f>
        <v>0</v>
      </c>
      <c r="G40" s="82">
        <f>IFERROR(GETPIVOTDATA("Sum of Watch Manager",h5a!$A$3,"ReportingLevel","1:LA","lvl",$B40),0)</f>
        <v>20</v>
      </c>
      <c r="H40" s="82">
        <f>IFERROR(GETPIVOTDATA("Sum of Crew Manager",h5a!$A$3,"ReportingLevel","1:LA","lvl",$B40),0)</f>
        <v>37</v>
      </c>
      <c r="I40" s="82">
        <f>IFERROR(GETPIVOTDATA("Sum of Firefighter",h5a!$A$3,"ReportingLevel","1:LA","lvl",$B40),0)</f>
        <v>111</v>
      </c>
      <c r="J40" s="108">
        <f t="shared" si="0"/>
        <v>168</v>
      </c>
    </row>
    <row r="41" spans="1:11" ht="15" customHeight="1" x14ac:dyDescent="0.25">
      <c r="A41" s="573" t="s">
        <v>300</v>
      </c>
      <c r="B41" s="58" t="s">
        <v>58</v>
      </c>
      <c r="C41" s="653">
        <f>IFERROR(GETPIVOTDATA("Sum of Brigade Manager",h5a!$A$3,"ReportingLevel","1:LA","lvl",$B41),0)</f>
        <v>0</v>
      </c>
      <c r="D41" s="653">
        <f>IFERROR(GETPIVOTDATA("Sum of Area Manager",h5a!$A$3,"ReportingLevel","1:LA","lvl",$B41),0)</f>
        <v>0</v>
      </c>
      <c r="E41" s="653">
        <f>IFERROR(GETPIVOTDATA("Sum of Group Manager",h5a!$A$3,"ReportingLevel","1:LA","lvl",$B41),0)</f>
        <v>0</v>
      </c>
      <c r="F41" s="653">
        <f>IFERROR(GETPIVOTDATA("Sum of Station Manager",h5a!$A$3,"ReportingLevel","1:LA","lvl",$B41),0)</f>
        <v>0</v>
      </c>
      <c r="G41" s="82">
        <f>IFERROR(GETPIVOTDATA("Sum of Watch Manager",h5a!$A$3,"ReportingLevel","1:LA","lvl",$B41),0)</f>
        <v>5</v>
      </c>
      <c r="H41" s="82">
        <f>IFERROR(GETPIVOTDATA("Sum of Crew Manager",h5a!$A$3,"ReportingLevel","1:LA","lvl",$B41),0)</f>
        <v>10</v>
      </c>
      <c r="I41" s="82">
        <f>IFERROR(GETPIVOTDATA("Sum of Firefighter",h5a!$A$3,"ReportingLevel","1:LA","lvl",$B41),0)</f>
        <v>36</v>
      </c>
      <c r="J41" s="108">
        <f t="shared" si="0"/>
        <v>51</v>
      </c>
    </row>
    <row r="42" spans="1:11" ht="15" customHeight="1" x14ac:dyDescent="0.25">
      <c r="A42" s="573" t="s">
        <v>306</v>
      </c>
      <c r="B42" s="58" t="s">
        <v>59</v>
      </c>
      <c r="C42" s="653">
        <f>IFERROR(GETPIVOTDATA("Sum of Brigade Manager",h5a!$A$3,"ReportingLevel","1:LA","lvl",$B42),0)</f>
        <v>0</v>
      </c>
      <c r="D42" s="653">
        <f>IFERROR(GETPIVOTDATA("Sum of Area Manager",h5a!$A$3,"ReportingLevel","1:LA","lvl",$B42),0)</f>
        <v>0</v>
      </c>
      <c r="E42" s="653">
        <f>IFERROR(GETPIVOTDATA("Sum of Group Manager",h5a!$A$3,"ReportingLevel","1:LA","lvl",$B42),0)</f>
        <v>0</v>
      </c>
      <c r="F42" s="653">
        <f>IFERROR(GETPIVOTDATA("Sum of Station Manager",h5a!$A$3,"ReportingLevel","1:LA","lvl",$B42),0)</f>
        <v>0</v>
      </c>
      <c r="G42" s="82">
        <f>IFERROR(GETPIVOTDATA("Sum of Watch Manager",h5a!$A$3,"ReportingLevel","1:LA","lvl",$B42),0)</f>
        <v>10</v>
      </c>
      <c r="H42" s="82">
        <f>IFERROR(GETPIVOTDATA("Sum of Crew Manager",h5a!$A$3,"ReportingLevel","1:LA","lvl",$B42),0)</f>
        <v>15</v>
      </c>
      <c r="I42" s="82">
        <f>IFERROR(GETPIVOTDATA("Sum of Firefighter",h5a!$A$3,"ReportingLevel","1:LA","lvl",$B42),0)</f>
        <v>48</v>
      </c>
      <c r="J42" s="108">
        <f t="shared" si="0"/>
        <v>73</v>
      </c>
    </row>
    <row r="43" spans="1:11" ht="15" customHeight="1" x14ac:dyDescent="0.25">
      <c r="A43" s="573" t="s">
        <v>307</v>
      </c>
      <c r="B43" s="58" t="s">
        <v>60</v>
      </c>
      <c r="C43" s="653">
        <f>IFERROR(GETPIVOTDATA("Sum of Brigade Manager",h5a!$A$3,"ReportingLevel","1:LA","lvl",$B43),0)</f>
        <v>0</v>
      </c>
      <c r="D43" s="653">
        <f>IFERROR(GETPIVOTDATA("Sum of Area Manager",h5a!$A$3,"ReportingLevel","1:LA","lvl",$B43),0)</f>
        <v>0</v>
      </c>
      <c r="E43" s="653">
        <f>IFERROR(GETPIVOTDATA("Sum of Group Manager",h5a!$A$3,"ReportingLevel","1:LA","lvl",$B43),0)</f>
        <v>0</v>
      </c>
      <c r="F43" s="653">
        <f>IFERROR(GETPIVOTDATA("Sum of Station Manager",h5a!$A$3,"ReportingLevel","1:LA","lvl",$B43),0)</f>
        <v>0</v>
      </c>
      <c r="G43" s="82">
        <f>IFERROR(GETPIVOTDATA("Sum of Watch Manager",h5a!$A$3,"ReportingLevel","1:LA","lvl",$B43),0)</f>
        <v>10</v>
      </c>
      <c r="H43" s="82">
        <f>IFERROR(GETPIVOTDATA("Sum of Crew Manager",h5a!$A$3,"ReportingLevel","1:LA","lvl",$B43),0)</f>
        <v>10</v>
      </c>
      <c r="I43" s="82">
        <f>IFERROR(GETPIVOTDATA("Sum of Firefighter",h5a!$A$3,"ReportingLevel","1:LA","lvl",$B43),0)</f>
        <v>37</v>
      </c>
      <c r="J43" s="108">
        <f t="shared" si="0"/>
        <v>57</v>
      </c>
    </row>
    <row r="44" spans="1:11" ht="30" customHeight="1" thickBot="1" x14ac:dyDescent="0.3">
      <c r="A44" s="62"/>
      <c r="B44" s="62" t="s">
        <v>61</v>
      </c>
      <c r="C44" s="654">
        <f t="shared" ref="C44:J44" si="1">SUM(C12:C43)</f>
        <v>0</v>
      </c>
      <c r="D44" s="654">
        <f t="shared" si="1"/>
        <v>0</v>
      </c>
      <c r="E44" s="654">
        <f t="shared" si="1"/>
        <v>0</v>
      </c>
      <c r="F44" s="654">
        <f t="shared" si="1"/>
        <v>0</v>
      </c>
      <c r="G44" s="86">
        <f>GETPIVOTDATA("Sum of Watch Manager",h5a!$A$3,"ReportingLevel","1:LA","lvl","ALL")</f>
        <v>376</v>
      </c>
      <c r="H44" s="86">
        <f>GETPIVOTDATA("Sum of Crew Manager",h5a!$A$3,"ReportingLevel","1:LA","lvl","ALL")</f>
        <v>597</v>
      </c>
      <c r="I44" s="86">
        <f>GETPIVOTDATA("Sum of Firefighter",h5a!$A$3,"ReportingLevel","1:LA","lvl","ALL")</f>
        <v>1992</v>
      </c>
      <c r="J44" s="462">
        <f t="shared" si="1"/>
        <v>2965</v>
      </c>
      <c r="K44" s="366"/>
    </row>
    <row r="45" spans="1:11" ht="13.5" customHeight="1" x14ac:dyDescent="0.25">
      <c r="A45" s="685"/>
      <c r="B45" s="685"/>
      <c r="J45" s="686"/>
      <c r="K45" s="366"/>
    </row>
    <row r="46" spans="1:11" ht="30" customHeight="1" x14ac:dyDescent="0.25">
      <c r="A46" s="65" t="s">
        <v>516</v>
      </c>
      <c r="B46" s="65" t="s">
        <v>62</v>
      </c>
      <c r="C46" s="53"/>
      <c r="D46" s="53"/>
      <c r="E46" s="53"/>
      <c r="F46" s="53"/>
      <c r="G46" s="53"/>
      <c r="H46" s="53"/>
      <c r="I46" s="53"/>
      <c r="J46" s="92"/>
    </row>
    <row r="47" spans="1:11" ht="22.5" customHeight="1" x14ac:dyDescent="0.25">
      <c r="A47" s="574" t="s">
        <v>369</v>
      </c>
      <c r="B47" s="67" t="s">
        <v>31</v>
      </c>
      <c r="C47" s="652">
        <f>IFERROR(GETPIVOTDATA("Sum of Brigade Manager",h5a!$A$3,"ReportingLevel","2:LSO","lvl",$B47),0)</f>
        <v>0</v>
      </c>
      <c r="D47" s="415">
        <f>IFERROR(GETPIVOTDATA("Sum of Area Manager",h5a!$A$3,"ReportingLevel","2:LSO","lvl",$B47),0)</f>
        <v>1</v>
      </c>
      <c r="E47" s="415">
        <f>IFERROR(GETPIVOTDATA("Sum of Group Manager",h5a!$A$3,"ReportingLevel","2:LSO","lvl",$B47),0)</f>
        <v>2</v>
      </c>
      <c r="F47" s="415">
        <f>IFERROR(GETPIVOTDATA("Sum of Station Manager",h5a!$A$3,"ReportingLevel","2:LSO","lvl",$B47),0)</f>
        <v>3</v>
      </c>
      <c r="G47" s="415">
        <f>IFERROR(GETPIVOTDATA("Sum of Watch Manager",h5a!$A$3,"ReportingLevel","2:LSO","lvl",$B47),0)</f>
        <v>4</v>
      </c>
      <c r="H47" s="415">
        <f>IFERROR(GETPIVOTDATA("Sum of Crew Manager",h5a!$A$3,"ReportingLevel","2:LSO","lvl",$B47),0)</f>
        <v>2</v>
      </c>
      <c r="I47" s="415">
        <f>IFERROR(GETPIVOTDATA("Sum of Firefighter",h5a!$A$3,"ReportingLevel","2:LSO","lvl",$B47),0)</f>
        <v>1</v>
      </c>
      <c r="J47" s="108">
        <f t="shared" ref="J47:J63" si="2">SUM(C47:I47)</f>
        <v>13</v>
      </c>
    </row>
    <row r="48" spans="1:11" ht="13.5" customHeight="1" x14ac:dyDescent="0.25">
      <c r="A48" s="575" t="s">
        <v>370</v>
      </c>
      <c r="B48" s="69" t="s">
        <v>63</v>
      </c>
      <c r="C48" s="653">
        <f>IFERROR(GETPIVOTDATA("Sum of Brigade Manager",h5a!$A$3,"ReportingLevel","2:LSO","lvl",$B48),0)</f>
        <v>0</v>
      </c>
      <c r="D48" s="82">
        <f>IFERROR(GETPIVOTDATA("Sum of Area Manager",h5a!$A$3,"ReportingLevel","2:LSO","lvl",$B48),0)</f>
        <v>1</v>
      </c>
      <c r="E48" s="82">
        <f>IFERROR(GETPIVOTDATA("Sum of Group Manager",h5a!$A$3,"ReportingLevel","2:LSO","lvl",$B48),0)</f>
        <v>3</v>
      </c>
      <c r="F48" s="82">
        <f>IFERROR(GETPIVOTDATA("Sum of Station Manager",h5a!$A$3,"ReportingLevel","2:LSO","lvl",$B48),0)</f>
        <v>9</v>
      </c>
      <c r="G48" s="82">
        <f>IFERROR(GETPIVOTDATA("Sum of Watch Manager",h5a!$A$3,"ReportingLevel","2:LSO","lvl",$B48),0)</f>
        <v>7</v>
      </c>
      <c r="H48" s="82">
        <f>IFERROR(GETPIVOTDATA("Sum of Crew Manager",h5a!$A$3,"ReportingLevel","2:LSO","lvl",$B48),0)</f>
        <v>4</v>
      </c>
      <c r="I48" s="82">
        <f>IFERROR(GETPIVOTDATA("Sum of Firefighter",h5a!$A$3,"ReportingLevel","2:LSO","lvl",$B48),0)</f>
        <v>1</v>
      </c>
      <c r="J48" s="108">
        <f t="shared" si="2"/>
        <v>25</v>
      </c>
    </row>
    <row r="49" spans="1:10" ht="13.5" customHeight="1" x14ac:dyDescent="0.25">
      <c r="A49" s="575" t="s">
        <v>372</v>
      </c>
      <c r="B49" s="69" t="s">
        <v>64</v>
      </c>
      <c r="C49" s="653">
        <f>IFERROR(GETPIVOTDATA("Sum of Brigade Manager",h5a!$A$3,"ReportingLevel","2:LSO","lvl",$B49),0)</f>
        <v>0</v>
      </c>
      <c r="D49" s="82">
        <f>IFERROR(GETPIVOTDATA("Sum of Area Manager",h5a!$A$3,"ReportingLevel","2:LSO","lvl",$B49),0)</f>
        <v>1</v>
      </c>
      <c r="E49" s="82">
        <f>IFERROR(GETPIVOTDATA("Sum of Group Manager",h5a!$A$3,"ReportingLevel","2:LSO","lvl",$B49),0)</f>
        <v>3</v>
      </c>
      <c r="F49" s="82">
        <f>IFERROR(GETPIVOTDATA("Sum of Station Manager",h5a!$A$3,"ReportingLevel","2:LSO","lvl",$B49),0)</f>
        <v>8</v>
      </c>
      <c r="G49" s="82">
        <f>IFERROR(GETPIVOTDATA("Sum of Watch Manager",h5a!$A$3,"ReportingLevel","2:LSO","lvl",$B49),0)</f>
        <v>7</v>
      </c>
      <c r="H49" s="82">
        <f>IFERROR(GETPIVOTDATA("Sum of Crew Manager",h5a!$A$3,"ReportingLevel","2:LSO","lvl",$B49),0)</f>
        <v>7</v>
      </c>
      <c r="I49" s="82">
        <f>IFERROR(GETPIVOTDATA("Sum of Firefighter",h5a!$A$3,"ReportingLevel","2:LSO","lvl",$B49),0)</f>
        <v>2</v>
      </c>
      <c r="J49" s="108">
        <f t="shared" si="2"/>
        <v>28</v>
      </c>
    </row>
    <row r="50" spans="1:10" ht="13.5" customHeight="1" x14ac:dyDescent="0.25">
      <c r="A50" s="575" t="s">
        <v>373</v>
      </c>
      <c r="B50" s="69" t="s">
        <v>36</v>
      </c>
      <c r="C50" s="653">
        <f>IFERROR(GETPIVOTDATA("Sum of Brigade Manager",h5a!$A$3,"ReportingLevel","2:LSO","lvl",$B50),0)</f>
        <v>0</v>
      </c>
      <c r="D50" s="82">
        <f>IFERROR(GETPIVOTDATA("Sum of Area Manager",h5a!$A$3,"ReportingLevel","2:LSO","lvl",$B50),0)</f>
        <v>1</v>
      </c>
      <c r="E50" s="82">
        <f>IFERROR(GETPIVOTDATA("Sum of Group Manager",h5a!$A$3,"ReportingLevel","2:LSO","lvl",$B50),0)</f>
        <v>2</v>
      </c>
      <c r="F50" s="82">
        <f>IFERROR(GETPIVOTDATA("Sum of Station Manager",h5a!$A$3,"ReportingLevel","2:LSO","lvl",$B50),0)</f>
        <v>6</v>
      </c>
      <c r="G50" s="82">
        <f>IFERROR(GETPIVOTDATA("Sum of Watch Manager",h5a!$A$3,"ReportingLevel","2:LSO","lvl",$B50),0)</f>
        <v>8</v>
      </c>
      <c r="H50" s="82">
        <f>IFERROR(GETPIVOTDATA("Sum of Crew Manager",h5a!$A$3,"ReportingLevel","2:LSO","lvl",$B50),0)</f>
        <v>3</v>
      </c>
      <c r="I50" s="82">
        <f>IFERROR(GETPIVOTDATA("Sum of Firefighter",h5a!$A$3,"ReportingLevel","2:LSO","lvl",$B50),0)</f>
        <v>2</v>
      </c>
      <c r="J50" s="108">
        <f t="shared" si="2"/>
        <v>22</v>
      </c>
    </row>
    <row r="51" spans="1:10" ht="13.5" customHeight="1" x14ac:dyDescent="0.25">
      <c r="A51" s="575" t="s">
        <v>371</v>
      </c>
      <c r="B51" s="69" t="s">
        <v>65</v>
      </c>
      <c r="C51" s="653">
        <f>IFERROR(GETPIVOTDATA("Sum of Brigade Manager",h5a!$A$3,"ReportingLevel","2:LSO","lvl",$B51),0)</f>
        <v>0</v>
      </c>
      <c r="D51" s="82">
        <f>IFERROR(GETPIVOTDATA("Sum of Area Manager",h5a!$A$3,"ReportingLevel","2:LSO","lvl",$B51),0)</f>
        <v>1</v>
      </c>
      <c r="E51" s="82">
        <f>IFERROR(GETPIVOTDATA("Sum of Group Manager",h5a!$A$3,"ReportingLevel","2:LSO","lvl",$B51),0)</f>
        <v>4</v>
      </c>
      <c r="F51" s="82">
        <f>IFERROR(GETPIVOTDATA("Sum of Station Manager",h5a!$A$3,"ReportingLevel","2:LSO","lvl",$B51),0)</f>
        <v>9</v>
      </c>
      <c r="G51" s="82">
        <f>IFERROR(GETPIVOTDATA("Sum of Watch Manager",h5a!$A$3,"ReportingLevel","2:LSO","lvl",$B51),0)</f>
        <v>11</v>
      </c>
      <c r="H51" s="82">
        <f>IFERROR(GETPIVOTDATA("Sum of Crew Manager",h5a!$A$3,"ReportingLevel","2:LSO","lvl",$B51),0)</f>
        <v>4</v>
      </c>
      <c r="I51" s="82">
        <f>IFERROR(GETPIVOTDATA("Sum of Firefighter",h5a!$A$3,"ReportingLevel","2:LSO","lvl",$B51),0)</f>
        <v>2</v>
      </c>
      <c r="J51" s="108">
        <f t="shared" si="2"/>
        <v>31</v>
      </c>
    </row>
    <row r="52" spans="1:10" ht="13.5" customHeight="1" x14ac:dyDescent="0.25">
      <c r="A52" s="575" t="s">
        <v>374</v>
      </c>
      <c r="B52" s="69" t="s">
        <v>66</v>
      </c>
      <c r="C52" s="653">
        <f>IFERROR(GETPIVOTDATA("Sum of Brigade Manager",h5a!$A$3,"ReportingLevel","2:LSO","lvl",$B52),0)</f>
        <v>0</v>
      </c>
      <c r="D52" s="82">
        <f>IFERROR(GETPIVOTDATA("Sum of Area Manager",h5a!$A$3,"ReportingLevel","2:LSO","lvl",$B52),0)</f>
        <v>1</v>
      </c>
      <c r="E52" s="82">
        <f>IFERROR(GETPIVOTDATA("Sum of Group Manager",h5a!$A$3,"ReportingLevel","2:LSO","lvl",$B52),0)</f>
        <v>3</v>
      </c>
      <c r="F52" s="82">
        <f>IFERROR(GETPIVOTDATA("Sum of Station Manager",h5a!$A$3,"ReportingLevel","2:LSO","lvl",$B52),0)</f>
        <v>10</v>
      </c>
      <c r="G52" s="82">
        <f>IFERROR(GETPIVOTDATA("Sum of Watch Manager",h5a!$A$3,"ReportingLevel","2:LSO","lvl",$B52),0)</f>
        <v>8</v>
      </c>
      <c r="H52" s="82">
        <f>IFERROR(GETPIVOTDATA("Sum of Crew Manager",h5a!$A$3,"ReportingLevel","2:LSO","lvl",$B52),0)</f>
        <v>5</v>
      </c>
      <c r="I52" s="82">
        <f>IFERROR(GETPIVOTDATA("Sum of Firefighter",h5a!$A$3,"ReportingLevel","2:LSO","lvl",$B52),0)</f>
        <v>1</v>
      </c>
      <c r="J52" s="108">
        <f t="shared" si="2"/>
        <v>28</v>
      </c>
    </row>
    <row r="53" spans="1:10" ht="13.5" customHeight="1" x14ac:dyDescent="0.25">
      <c r="A53" s="575" t="s">
        <v>375</v>
      </c>
      <c r="B53" s="69" t="s">
        <v>67</v>
      </c>
      <c r="C53" s="653">
        <f>IFERROR(GETPIVOTDATA("Sum of Brigade Manager",h5a!$A$3,"ReportingLevel","2:LSO","lvl",$B53),0)</f>
        <v>0</v>
      </c>
      <c r="D53" s="82">
        <f>IFERROR(GETPIVOTDATA("Sum of Area Manager",h5a!$A$3,"ReportingLevel","2:LSO","lvl",$B53),0)</f>
        <v>1</v>
      </c>
      <c r="E53" s="82">
        <f>IFERROR(GETPIVOTDATA("Sum of Group Manager",h5a!$A$3,"ReportingLevel","2:LSO","lvl",$B53),0)</f>
        <v>3</v>
      </c>
      <c r="F53" s="82">
        <f>IFERROR(GETPIVOTDATA("Sum of Station Manager",h5a!$A$3,"ReportingLevel","2:LSO","lvl",$B53),0)</f>
        <v>7</v>
      </c>
      <c r="G53" s="82">
        <f>IFERROR(GETPIVOTDATA("Sum of Watch Manager",h5a!$A$3,"ReportingLevel","2:LSO","lvl",$B53),0)</f>
        <v>9</v>
      </c>
      <c r="H53" s="82">
        <f>IFERROR(GETPIVOTDATA("Sum of Crew Manager",h5a!$A$3,"ReportingLevel","2:LSO","lvl",$B53),0)</f>
        <v>5</v>
      </c>
      <c r="I53" s="82">
        <f>IFERROR(GETPIVOTDATA("Sum of Firefighter",h5a!$A$3,"ReportingLevel","2:LSO","lvl",$B53),0)</f>
        <v>4</v>
      </c>
      <c r="J53" s="108">
        <f t="shared" si="2"/>
        <v>29</v>
      </c>
    </row>
    <row r="54" spans="1:10" ht="13.5" customHeight="1" x14ac:dyDescent="0.25">
      <c r="A54" s="522" t="s">
        <v>376</v>
      </c>
      <c r="B54" s="69" t="s">
        <v>68</v>
      </c>
      <c r="C54" s="653">
        <f>IFERROR(GETPIVOTDATA("Sum of Brigade Manager",h5a!$A$3,"ReportingLevel","2:LSO","lvl",$B54),0)</f>
        <v>0</v>
      </c>
      <c r="D54" s="82">
        <f>IFERROR(GETPIVOTDATA("Sum of Area Manager",h5a!$A$3,"ReportingLevel","2:LSO","lvl",$B54),0)</f>
        <v>1</v>
      </c>
      <c r="E54" s="82">
        <f>IFERROR(GETPIVOTDATA("Sum of Group Manager",h5a!$A$3,"ReportingLevel","2:LSO","lvl",$B54),0)</f>
        <v>4</v>
      </c>
      <c r="F54" s="82">
        <f>IFERROR(GETPIVOTDATA("Sum of Station Manager",h5a!$A$3,"ReportingLevel","2:LSO","lvl",$B54),0)</f>
        <v>4</v>
      </c>
      <c r="G54" s="82">
        <f>IFERROR(GETPIVOTDATA("Sum of Watch Manager",h5a!$A$3,"ReportingLevel","2:LSO","lvl",$B54),0)</f>
        <v>3</v>
      </c>
      <c r="H54" s="82">
        <f>IFERROR(GETPIVOTDATA("Sum of Crew Manager",h5a!$A$3,"ReportingLevel","2:LSO","lvl",$B54),0)</f>
        <v>0</v>
      </c>
      <c r="I54" s="82">
        <f>IFERROR(GETPIVOTDATA("Sum of Firefighter",h5a!$A$3,"ReportingLevel","2:LSO","lvl",$B54),0)</f>
        <v>1</v>
      </c>
      <c r="J54" s="108">
        <f t="shared" si="2"/>
        <v>13</v>
      </c>
    </row>
    <row r="55" spans="1:10" ht="13.5" customHeight="1" x14ac:dyDescent="0.25">
      <c r="A55" s="575" t="s">
        <v>377</v>
      </c>
      <c r="B55" s="69" t="s">
        <v>175</v>
      </c>
      <c r="C55" s="653">
        <f>IFERROR(GETPIVOTDATA("Sum of Brigade Manager",h5a!$A$3,"ReportingLevel","2:LSO","lvl",$B55),0)</f>
        <v>0</v>
      </c>
      <c r="D55" s="82">
        <f>IFERROR(GETPIVOTDATA("Sum of Area Manager",h5a!$A$3,"ReportingLevel","2:LSO","lvl",$B55),0)</f>
        <v>1</v>
      </c>
      <c r="E55" s="82">
        <f>IFERROR(GETPIVOTDATA("Sum of Group Manager",h5a!$A$3,"ReportingLevel","2:LSO","lvl",$B55),0)</f>
        <v>4</v>
      </c>
      <c r="F55" s="82">
        <f>IFERROR(GETPIVOTDATA("Sum of Station Manager",h5a!$A$3,"ReportingLevel","2:LSO","lvl",$B55),0)</f>
        <v>5</v>
      </c>
      <c r="G55" s="82">
        <f>IFERROR(GETPIVOTDATA("Sum of Watch Manager",h5a!$A$3,"ReportingLevel","2:LSO","lvl",$B55),0)</f>
        <v>10</v>
      </c>
      <c r="H55" s="82">
        <f>IFERROR(GETPIVOTDATA("Sum of Crew Manager",h5a!$A$3,"ReportingLevel","2:LSO","lvl",$B55),0)</f>
        <v>4</v>
      </c>
      <c r="I55" s="82">
        <f>IFERROR(GETPIVOTDATA("Sum of Firefighter",h5a!$A$3,"ReportingLevel","2:LSO","lvl",$B55),0)</f>
        <v>4</v>
      </c>
      <c r="J55" s="108">
        <f t="shared" si="2"/>
        <v>28</v>
      </c>
    </row>
    <row r="56" spans="1:10" ht="13.5" customHeight="1" x14ac:dyDescent="0.25">
      <c r="A56" s="575" t="s">
        <v>378</v>
      </c>
      <c r="B56" s="69" t="s">
        <v>69</v>
      </c>
      <c r="C56" s="653">
        <f>IFERROR(GETPIVOTDATA("Sum of Brigade Manager",h5a!$A$3,"ReportingLevel","2:LSO","lvl",$B56),0)</f>
        <v>0</v>
      </c>
      <c r="D56" s="82">
        <f>IFERROR(GETPIVOTDATA("Sum of Area Manager",h5a!$A$3,"ReportingLevel","2:LSO","lvl",$B56),0)</f>
        <v>1</v>
      </c>
      <c r="E56" s="82">
        <f>IFERROR(GETPIVOTDATA("Sum of Group Manager",h5a!$A$3,"ReportingLevel","2:LSO","lvl",$B56),0)</f>
        <v>2</v>
      </c>
      <c r="F56" s="82">
        <f>IFERROR(GETPIVOTDATA("Sum of Station Manager",h5a!$A$3,"ReportingLevel","2:LSO","lvl",$B56),0)</f>
        <v>6</v>
      </c>
      <c r="G56" s="82">
        <f>IFERROR(GETPIVOTDATA("Sum of Watch Manager",h5a!$A$3,"ReportingLevel","2:LSO","lvl",$B56),0)</f>
        <v>6</v>
      </c>
      <c r="H56" s="82">
        <f>IFERROR(GETPIVOTDATA("Sum of Crew Manager",h5a!$A$3,"ReportingLevel","2:LSO","lvl",$B56),0)</f>
        <v>2</v>
      </c>
      <c r="I56" s="82">
        <f>IFERROR(GETPIVOTDATA("Sum of Firefighter",h5a!$A$3,"ReportingLevel","2:LSO","lvl",$B56),0)</f>
        <v>2</v>
      </c>
      <c r="J56" s="108">
        <f t="shared" si="2"/>
        <v>19</v>
      </c>
    </row>
    <row r="57" spans="1:10" ht="13.5" customHeight="1" x14ac:dyDescent="0.25">
      <c r="A57" s="575" t="str">
        <f>IF(A9&lt;&gt;"2019-20","S39000019","")</f>
        <v/>
      </c>
      <c r="B57" s="437" t="str">
        <f>IF(A9 &lt;&gt; "2019-20", "Fife", "")</f>
        <v/>
      </c>
      <c r="C57" s="653">
        <f>IFERROR(GETPIVOTDATA("Sum of Brigade Manager",h5a!$A$3,"ReportingLevel","2:LSO","lvl",$B57),0)</f>
        <v>0</v>
      </c>
      <c r="D57" s="82">
        <f>IFERROR(GETPIVOTDATA("Sum of Area Manager",h5a!$A$3,"ReportingLevel","2:LSO","lvl",$B57),0)</f>
        <v>0</v>
      </c>
      <c r="E57" s="82">
        <f>IFERROR(GETPIVOTDATA("Sum of Group Manager",h5a!$A$3,"ReportingLevel","2:LSO","lvl",$B57),0)</f>
        <v>0</v>
      </c>
      <c r="F57" s="82">
        <f>IFERROR(GETPIVOTDATA("Sum of Station Manager",h5a!$A$3,"ReportingLevel","2:LSO","lvl",$B57),0)</f>
        <v>0</v>
      </c>
      <c r="G57" s="82">
        <f>IFERROR(GETPIVOTDATA("Sum of Watch Manager",h5a!$A$3,"ReportingLevel","2:LSO","lvl",$B57),0)</f>
        <v>0</v>
      </c>
      <c r="H57" s="82">
        <f>IFERROR(GETPIVOTDATA("Sum of Crew Manager",h5a!$A$3,"ReportingLevel","2:LSO","lvl",$B57),0)</f>
        <v>0</v>
      </c>
      <c r="I57" s="82">
        <f>IFERROR(GETPIVOTDATA("Sum of Firefighter",h5a!$A$3,"ReportingLevel","2:LSO","lvl",$B57),0)</f>
        <v>0</v>
      </c>
      <c r="J57" s="108">
        <f t="shared" si="2"/>
        <v>0</v>
      </c>
    </row>
    <row r="58" spans="1:10" ht="13.5" customHeight="1" x14ac:dyDescent="0.25">
      <c r="A58" s="575" t="str">
        <f>IF(A9="2018-19","S39000012","S39000020")</f>
        <v>S39000020</v>
      </c>
      <c r="B58" s="69" t="s">
        <v>121</v>
      </c>
      <c r="C58" s="653">
        <f>IFERROR(GETPIVOTDATA("Sum of Brigade Manager",h5a!$A$3,"ReportingLevel","2:LSO","lvl",$B58),0)</f>
        <v>0</v>
      </c>
      <c r="D58" s="82">
        <f>IFERROR(GETPIVOTDATA("Sum of Area Manager",h5a!$A$3,"ReportingLevel","2:LSO","lvl",$B58),0)</f>
        <v>1</v>
      </c>
      <c r="E58" s="82">
        <f>IFERROR(GETPIVOTDATA("Sum of Group Manager",h5a!$A$3,"ReportingLevel","2:LSO","lvl",$B58),0)</f>
        <v>5</v>
      </c>
      <c r="F58" s="82">
        <f>IFERROR(GETPIVOTDATA("Sum of Station Manager",h5a!$A$3,"ReportingLevel","2:LSO","lvl",$B58),0)</f>
        <v>10</v>
      </c>
      <c r="G58" s="82">
        <f>IFERROR(GETPIVOTDATA("Sum of Watch Manager",h5a!$A$3,"ReportingLevel","2:LSO","lvl",$B58),0)</f>
        <v>5</v>
      </c>
      <c r="H58" s="82">
        <f>IFERROR(GETPIVOTDATA("Sum of Crew Manager",h5a!$A$3,"ReportingLevel","2:LSO","lvl",$B58),0)</f>
        <v>2</v>
      </c>
      <c r="I58" s="82">
        <f>IFERROR(GETPIVOTDATA("Sum of Firefighter",h5a!$A$3,"ReportingLevel","2:LSO","lvl",$B58),0)</f>
        <v>2</v>
      </c>
      <c r="J58" s="108">
        <f t="shared" si="2"/>
        <v>25</v>
      </c>
    </row>
    <row r="59" spans="1:10" ht="13.5" customHeight="1" x14ac:dyDescent="0.25">
      <c r="A59" s="575" t="s">
        <v>379</v>
      </c>
      <c r="B59" s="69" t="s">
        <v>70</v>
      </c>
      <c r="C59" s="653">
        <f>IFERROR(GETPIVOTDATA("Sum of Brigade Manager",h5a!$A$3,"ReportingLevel","2:LSO","lvl",$B59),0)</f>
        <v>0</v>
      </c>
      <c r="D59" s="82">
        <f>IFERROR(GETPIVOTDATA("Sum of Area Manager",h5a!$A$3,"ReportingLevel","2:LSO","lvl",$B59),0)</f>
        <v>1</v>
      </c>
      <c r="E59" s="82">
        <f>IFERROR(GETPIVOTDATA("Sum of Group Manager",h5a!$A$3,"ReportingLevel","2:LSO","lvl",$B59),0)</f>
        <v>4</v>
      </c>
      <c r="F59" s="82">
        <f>IFERROR(GETPIVOTDATA("Sum of Station Manager",h5a!$A$3,"ReportingLevel","2:LSO","lvl",$B59),0)</f>
        <v>13</v>
      </c>
      <c r="G59" s="82">
        <f>IFERROR(GETPIVOTDATA("Sum of Watch Manager",h5a!$A$3,"ReportingLevel","2:LSO","lvl",$B59),0)</f>
        <v>11</v>
      </c>
      <c r="H59" s="82">
        <f>IFERROR(GETPIVOTDATA("Sum of Crew Manager",h5a!$A$3,"ReportingLevel","2:LSO","lvl",$B59),0)</f>
        <v>8</v>
      </c>
      <c r="I59" s="82">
        <f>IFERROR(GETPIVOTDATA("Sum of Firefighter",h5a!$A$3,"ReportingLevel","2:LSO","lvl",$B59),0)</f>
        <v>1</v>
      </c>
      <c r="J59" s="108">
        <f t="shared" si="2"/>
        <v>38</v>
      </c>
    </row>
    <row r="60" spans="1:10" ht="13.5" customHeight="1" x14ac:dyDescent="0.25">
      <c r="A60" s="575" t="str">
        <f>IF(A9="2018-19","S39000014","S39000021")</f>
        <v>S39000021</v>
      </c>
      <c r="B60" s="69" t="s">
        <v>50</v>
      </c>
      <c r="C60" s="653">
        <f>IFERROR(GETPIVOTDATA("Sum of Brigade Manager",h5a!$A$3,"ReportingLevel","2:LSO","lvl",$B60),0)</f>
        <v>0</v>
      </c>
      <c r="D60" s="82">
        <f>IFERROR(GETPIVOTDATA("Sum of Area Manager",h5a!$A$3,"ReportingLevel","2:LSO","lvl",$B60),0)</f>
        <v>1</v>
      </c>
      <c r="E60" s="82">
        <f>IFERROR(GETPIVOTDATA("Sum of Group Manager",h5a!$A$3,"ReportingLevel","2:LSO","lvl",$B60),0)</f>
        <v>2</v>
      </c>
      <c r="F60" s="82">
        <f>IFERROR(GETPIVOTDATA("Sum of Station Manager",h5a!$A$3,"ReportingLevel","2:LSO","lvl",$B60),0)</f>
        <v>5</v>
      </c>
      <c r="G60" s="82">
        <f>IFERROR(GETPIVOTDATA("Sum of Watch Manager",h5a!$A$3,"ReportingLevel","2:LSO","lvl",$B60),0)</f>
        <v>5</v>
      </c>
      <c r="H60" s="82">
        <f>IFERROR(GETPIVOTDATA("Sum of Crew Manager",h5a!$A$3,"ReportingLevel","2:LSO","lvl",$B60),0)</f>
        <v>2</v>
      </c>
      <c r="I60" s="82">
        <f>IFERROR(GETPIVOTDATA("Sum of Firefighter",h5a!$A$3,"ReportingLevel","2:LSO","lvl",$B60),0)</f>
        <v>1</v>
      </c>
      <c r="J60" s="108">
        <f t="shared" si="2"/>
        <v>16</v>
      </c>
    </row>
    <row r="61" spans="1:10" ht="13.5" customHeight="1" x14ac:dyDescent="0.25">
      <c r="A61" s="575" t="s">
        <v>380</v>
      </c>
      <c r="B61" s="69" t="s">
        <v>57</v>
      </c>
      <c r="C61" s="653">
        <f>IFERROR(GETPIVOTDATA("Sum of Brigade Manager",h5a!$A$3,"ReportingLevel","2:LSO","lvl",$B61),0)</f>
        <v>0</v>
      </c>
      <c r="D61" s="82">
        <f>IFERROR(GETPIVOTDATA("Sum of Area Manager",h5a!$A$3,"ReportingLevel","2:LSO","lvl",$B61),0)</f>
        <v>1</v>
      </c>
      <c r="E61" s="82">
        <f>IFERROR(GETPIVOTDATA("Sum of Group Manager",h5a!$A$3,"ReportingLevel","2:LSO","lvl",$B61),0)</f>
        <v>2</v>
      </c>
      <c r="F61" s="82">
        <f>IFERROR(GETPIVOTDATA("Sum of Station Manager",h5a!$A$3,"ReportingLevel","2:LSO","lvl",$B61),0)</f>
        <v>6</v>
      </c>
      <c r="G61" s="82">
        <f>IFERROR(GETPIVOTDATA("Sum of Watch Manager",h5a!$A$3,"ReportingLevel","2:LSO","lvl",$B61),0)</f>
        <v>4</v>
      </c>
      <c r="H61" s="82">
        <f>IFERROR(GETPIVOTDATA("Sum of Crew Manager",h5a!$A$3,"ReportingLevel","2:LSO","lvl",$B61),0)</f>
        <v>3</v>
      </c>
      <c r="I61" s="82">
        <f>IFERROR(GETPIVOTDATA("Sum of Firefighter",h5a!$A$3,"ReportingLevel","2:LSO","lvl",$B61),0)</f>
        <v>0</v>
      </c>
      <c r="J61" s="108">
        <f t="shared" si="2"/>
        <v>16</v>
      </c>
    </row>
    <row r="62" spans="1:10" ht="13.5" customHeight="1" x14ac:dyDescent="0.25">
      <c r="A62" s="575" t="str">
        <f>IF(A9&lt;&gt;"2019-20","S39000016","LSO_E3")</f>
        <v>LSO_E3</v>
      </c>
      <c r="B62" s="437" t="str">
        <f>IF(A9&lt;&gt;"2019-20","Stirling and Clackmannanshire","Stirling, Clackmannanshire and Fife")</f>
        <v>Stirling, Clackmannanshire and Fife</v>
      </c>
      <c r="C62" s="653">
        <f>IFERROR(GETPIVOTDATA("Sum of Brigade Manager",h5a!$A$3,"ReportingLevel","2:LSO","lvl",$B62),0)</f>
        <v>0</v>
      </c>
      <c r="D62" s="82">
        <f>IFERROR(GETPIVOTDATA("Sum of Area Manager",h5a!$A$3,"ReportingLevel","2:LSO","lvl",$B62),0)</f>
        <v>1</v>
      </c>
      <c r="E62" s="82">
        <f>IFERROR(GETPIVOTDATA("Sum of Group Manager",h5a!$A$3,"ReportingLevel","2:LSO","lvl",$B62),0)</f>
        <v>4</v>
      </c>
      <c r="F62" s="82">
        <f>IFERROR(GETPIVOTDATA("Sum of Station Manager",h5a!$A$3,"ReportingLevel","2:LSO","lvl",$B62),0)</f>
        <v>12</v>
      </c>
      <c r="G62" s="82">
        <f>IFERROR(GETPIVOTDATA("Sum of Watch Manager",h5a!$A$3,"ReportingLevel","2:LSO","lvl",$B62),0)</f>
        <v>11</v>
      </c>
      <c r="H62" s="82">
        <f>IFERROR(GETPIVOTDATA("Sum of Crew Manager",h5a!$A$3,"ReportingLevel","2:LSO","lvl",$B62),0)</f>
        <v>6</v>
      </c>
      <c r="I62" s="82">
        <f>IFERROR(GETPIVOTDATA("Sum of Firefighter",h5a!$A$3,"ReportingLevel","2:LSO","lvl",$B62),0)</f>
        <v>4</v>
      </c>
      <c r="J62" s="108">
        <f t="shared" si="2"/>
        <v>38</v>
      </c>
    </row>
    <row r="63" spans="1:10" ht="13.5" customHeight="1" x14ac:dyDescent="0.25">
      <c r="A63" s="575" t="s">
        <v>381</v>
      </c>
      <c r="B63" s="69" t="s">
        <v>71</v>
      </c>
      <c r="C63" s="653">
        <f>IFERROR(GETPIVOTDATA("Sum of Brigade Manager",h5a!$A$3,"ReportingLevel","2:LSO","lvl",$B63),0)</f>
        <v>0</v>
      </c>
      <c r="D63" s="82">
        <f>IFERROR(GETPIVOTDATA("Sum of Area Manager",h5a!$A$3,"ReportingLevel","2:LSO","lvl",$B63),0)</f>
        <v>1</v>
      </c>
      <c r="E63" s="82">
        <f>IFERROR(GETPIVOTDATA("Sum of Group Manager",h5a!$A$3,"ReportingLevel","2:LSO","lvl",$B63),0)</f>
        <v>3</v>
      </c>
      <c r="F63" s="82">
        <f>IFERROR(GETPIVOTDATA("Sum of Station Manager",h5a!$A$3,"ReportingLevel","2:LSO","lvl",$B63),0)</f>
        <v>5</v>
      </c>
      <c r="G63" s="82">
        <f>IFERROR(GETPIVOTDATA("Sum of Watch Manager",h5a!$A$3,"ReportingLevel","2:LSO","lvl",$B63),0)</f>
        <v>4</v>
      </c>
      <c r="H63" s="82">
        <f>IFERROR(GETPIVOTDATA("Sum of Crew Manager",h5a!$A$3,"ReportingLevel","2:LSO","lvl",$B63),0)</f>
        <v>1</v>
      </c>
      <c r="I63" s="82">
        <f>IFERROR(GETPIVOTDATA("Sum of Firefighter",h5a!$A$3,"ReportingLevel","2:LSO","lvl",$B63),0)</f>
        <v>0</v>
      </c>
      <c r="J63" s="108">
        <f t="shared" si="2"/>
        <v>14</v>
      </c>
    </row>
    <row r="64" spans="1:10" ht="30" customHeight="1" thickBot="1" x14ac:dyDescent="0.3">
      <c r="A64" s="70"/>
      <c r="B64" s="70" t="s">
        <v>72</v>
      </c>
      <c r="C64" s="654">
        <f t="shared" ref="C64:J64" si="3">SUM(C47:C63)</f>
        <v>0</v>
      </c>
      <c r="D64" s="86">
        <f>GETPIVOTDATA("Sum of Area Manager",h5a!$A$3,"ReportingLevel","2:LSO","lvl","ALL")</f>
        <v>16</v>
      </c>
      <c r="E64" s="86">
        <f>GETPIVOTDATA("Sum of Group Manager",h5a!$A$3,"ReportingLevel","2:LSO","lvl","ALL")</f>
        <v>50</v>
      </c>
      <c r="F64" s="86">
        <f>GETPIVOTDATA("Sum of Station Manager",h5a!$A$3,"ReportingLevel","2:LSO","lvl","ALL")</f>
        <v>118</v>
      </c>
      <c r="G64" s="86">
        <f>GETPIVOTDATA("Sum of Watch Manager",h5a!$A$3,"ReportingLevel","2:LSO","lvl","ALL")</f>
        <v>113</v>
      </c>
      <c r="H64" s="86">
        <f>GETPIVOTDATA("Sum of Crew Manager",h5a!$A$3,"ReportingLevel","2:LSO","lvl","ALL")</f>
        <v>58</v>
      </c>
      <c r="I64" s="86">
        <f>GETPIVOTDATA("Sum of Firefighter",h5a!$A$3,"ReportingLevel","2:LSO","lvl","ALL")</f>
        <v>27</v>
      </c>
      <c r="J64" s="86">
        <f t="shared" si="3"/>
        <v>383</v>
      </c>
    </row>
    <row r="65" spans="1:10" ht="13.5" customHeight="1" x14ac:dyDescent="0.25">
      <c r="A65" s="64"/>
      <c r="B65" s="64"/>
      <c r="C65" s="84"/>
      <c r="D65" s="84"/>
      <c r="E65" s="84"/>
      <c r="F65" s="84"/>
      <c r="G65" s="84"/>
      <c r="H65" s="84"/>
      <c r="I65" s="84"/>
      <c r="J65" s="84"/>
    </row>
    <row r="66" spans="1:10" ht="18.75" customHeight="1" x14ac:dyDescent="0.25">
      <c r="A66" s="96" t="s">
        <v>368</v>
      </c>
      <c r="B66" s="72" t="s">
        <v>15</v>
      </c>
      <c r="C66" s="53"/>
      <c r="D66" s="53"/>
      <c r="E66" s="53"/>
      <c r="F66" s="53"/>
      <c r="G66" s="53"/>
      <c r="H66" s="53"/>
      <c r="I66" s="53"/>
      <c r="J66" s="92"/>
    </row>
    <row r="67" spans="1:10" ht="22.5" customHeight="1" x14ac:dyDescent="0.25">
      <c r="A67" s="60" t="s">
        <v>402</v>
      </c>
      <c r="B67" s="73" t="s">
        <v>174</v>
      </c>
      <c r="C67" s="683">
        <f>IFERROR(GETPIVOTDATA("Sum of Brigade Manager",h5a!$A$3,"ReportingLevel","3:SDA","lvl",$B67),0)</f>
        <v>0</v>
      </c>
      <c r="D67" s="82">
        <f>IFERROR(GETPIVOTDATA("Sum of Area Manager",h5a!$A$3,"ReportingLevel","3:SDA","lvl",$B67),0)</f>
        <v>1</v>
      </c>
      <c r="E67" s="82">
        <f>IFERROR(GETPIVOTDATA("Sum of Group Manager",h5a!$A$3,"ReportingLevel","3:SDA","lvl",$B67),0)</f>
        <v>4</v>
      </c>
      <c r="F67" s="82">
        <f>IFERROR(GETPIVOTDATA("Sum of Station Manager",h5a!$A$3,"ReportingLevel","3:SDA","lvl",$B67),0)</f>
        <v>8</v>
      </c>
      <c r="G67" s="82">
        <f>IFERROR(GETPIVOTDATA("Sum of Watch Manager",h5a!$A$3,"ReportingLevel","3:SDA","lvl",$B67),0)</f>
        <v>33</v>
      </c>
      <c r="H67" s="82">
        <f>IFERROR(GETPIVOTDATA("Sum of Crew Manager",h5a!$A$3,"ReportingLevel","3:SDA","lvl",$B67),0)</f>
        <v>6</v>
      </c>
      <c r="I67" s="82">
        <f>IFERROR(GETPIVOTDATA("Sum of Firefighter",h5a!$A$3,"ReportingLevel","3:SDA","lvl",$B67),0)</f>
        <v>0</v>
      </c>
      <c r="J67" s="108">
        <f>SUM(C67:I67)</f>
        <v>52</v>
      </c>
    </row>
    <row r="68" spans="1:10" ht="13.5" customHeight="1" x14ac:dyDescent="0.25">
      <c r="A68" s="60" t="s">
        <v>404</v>
      </c>
      <c r="B68" s="58" t="s">
        <v>172</v>
      </c>
      <c r="C68" s="653">
        <f>IFERROR(GETPIVOTDATA("Sum of Brigade Manager",h5a!$A$3,"ReportingLevel","3:SDA","lvl",$B68),0)</f>
        <v>0</v>
      </c>
      <c r="D68" s="82">
        <f>IFERROR(GETPIVOTDATA("Sum of Area Manager",h5a!$A$3,"ReportingLevel","3:SDA","lvl",$B68),0)</f>
        <v>2</v>
      </c>
      <c r="E68" s="82">
        <f>IFERROR(GETPIVOTDATA("Sum of Group Manager",h5a!$A$3,"ReportingLevel","3:SDA","lvl",$B68),0)</f>
        <v>3</v>
      </c>
      <c r="F68" s="82">
        <f>IFERROR(GETPIVOTDATA("Sum of Station Manager",h5a!$A$3,"ReportingLevel","3:SDA","lvl",$B68),0)</f>
        <v>7</v>
      </c>
      <c r="G68" s="82">
        <f>IFERROR(GETPIVOTDATA("Sum of Watch Manager",h5a!$A$3,"ReportingLevel","3:SDA","lvl",$B68),0)</f>
        <v>24</v>
      </c>
      <c r="H68" s="82">
        <f>IFERROR(GETPIVOTDATA("Sum of Crew Manager",h5a!$A$3,"ReportingLevel","3:SDA","lvl",$B68),0)</f>
        <v>6</v>
      </c>
      <c r="I68" s="82">
        <f>IFERROR(GETPIVOTDATA("Sum of Firefighter",h5a!$A$3,"ReportingLevel","3:SDA","lvl",$B68),0)</f>
        <v>0</v>
      </c>
      <c r="J68" s="108">
        <f>SUM(C68:I68)</f>
        <v>42</v>
      </c>
    </row>
    <row r="69" spans="1:10" ht="13.5" customHeight="1" x14ac:dyDescent="0.25">
      <c r="A69" s="679" t="s">
        <v>403</v>
      </c>
      <c r="B69" s="58" t="s">
        <v>173</v>
      </c>
      <c r="C69" s="653">
        <f>IFERROR(GETPIVOTDATA("Sum of Brigade Manager",h5a!$A$3,"ReportingLevel","3:SDA","lvl",$B69),0)</f>
        <v>0</v>
      </c>
      <c r="D69" s="82">
        <f>IFERROR(GETPIVOTDATA("Sum of Area Manager",h5a!$A$3,"ReportingLevel","3:SDA","lvl",$B69),0)</f>
        <v>3</v>
      </c>
      <c r="E69" s="82">
        <f>IFERROR(GETPIVOTDATA("Sum of Group Manager",h5a!$A$3,"ReportingLevel","3:SDA","lvl",$B69),0)</f>
        <v>10</v>
      </c>
      <c r="F69" s="82">
        <f>IFERROR(GETPIVOTDATA("Sum of Station Manager",h5a!$A$3,"ReportingLevel","3:SDA","lvl",$B69),0)</f>
        <v>14</v>
      </c>
      <c r="G69" s="82">
        <f>IFERROR(GETPIVOTDATA("Sum of Watch Manager",h5a!$A$3,"ReportingLevel","3:SDA","lvl",$B69),0)</f>
        <v>55</v>
      </c>
      <c r="H69" s="82">
        <f>IFERROR(GETPIVOTDATA("Sum of Crew Manager",h5a!$A$3,"ReportingLevel","3:SDA","lvl",$B69),0)</f>
        <v>21</v>
      </c>
      <c r="I69" s="82">
        <f>IFERROR(GETPIVOTDATA("Sum of Firefighter",h5a!$A$3,"ReportingLevel","3:SDA","lvl",$B69),0)</f>
        <v>0</v>
      </c>
      <c r="J69" s="108">
        <f>SUM(C69:I69)</f>
        <v>103</v>
      </c>
    </row>
    <row r="70" spans="1:10" ht="30" customHeight="1" thickBot="1" x14ac:dyDescent="0.3">
      <c r="A70" s="75"/>
      <c r="B70" s="75" t="s">
        <v>77</v>
      </c>
      <c r="C70" s="684">
        <f t="shared" ref="C70:J70" si="4">SUM(C67:C69)</f>
        <v>0</v>
      </c>
      <c r="D70" s="121">
        <f>GETPIVOTDATA("Sum of Area Manager",h5a!$A$3,"ReportingLevel","3:SDA","lvl","ALL")</f>
        <v>6</v>
      </c>
      <c r="E70" s="121">
        <f>GETPIVOTDATA("Sum of Group Manager",h5a!$A$3,"ReportingLevel","3:SDA","lvl","ALL")</f>
        <v>17</v>
      </c>
      <c r="F70" s="121">
        <f>GETPIVOTDATA("Sum of Station Manager",h5a!$A$3,"ReportingLevel","3:SDA","lvl","ALL")</f>
        <v>29</v>
      </c>
      <c r="G70" s="121">
        <f>GETPIVOTDATA("Sum of Watch Manager",h5a!$A$3,"ReportingLevel","3:SDA","lvl","ALL")</f>
        <v>112</v>
      </c>
      <c r="H70" s="121">
        <f>GETPIVOTDATA("Sum of Crew Manager",h5a!$A$3,"ReportingLevel","3:SDA","lvl","ALL")</f>
        <v>33</v>
      </c>
      <c r="I70" s="121">
        <f t="shared" si="4"/>
        <v>0</v>
      </c>
      <c r="J70" s="462">
        <f t="shared" si="4"/>
        <v>197</v>
      </c>
    </row>
    <row r="71" spans="1:10" ht="18.75" customHeight="1" x14ac:dyDescent="0.25">
      <c r="A71" s="72" t="s">
        <v>513</v>
      </c>
      <c r="B71" s="64"/>
      <c r="C71" s="16"/>
      <c r="D71" s="16"/>
      <c r="E71" s="16"/>
      <c r="F71" s="16"/>
      <c r="G71" s="16"/>
      <c r="H71" s="16"/>
      <c r="I71" s="16"/>
      <c r="J71" s="16"/>
    </row>
    <row r="72" spans="1:10" ht="18.75" customHeight="1" thickBot="1" x14ac:dyDescent="0.3">
      <c r="A72" s="75" t="s">
        <v>382</v>
      </c>
      <c r="B72" s="94" t="s">
        <v>78</v>
      </c>
      <c r="C72" s="416">
        <f>IFERROR(GETPIVOTDATA("Sum of Brigade Manager",h5a!$A$3,"ReportingLevel","4:National","lvl","Scotland"),0)</f>
        <v>6</v>
      </c>
      <c r="D72" s="416">
        <f>IFERROR(GETPIVOTDATA("Sum of Area Manager",h5a!$A$3,"ReportingLevel","4:National","lvl","Scotland"),0)</f>
        <v>9</v>
      </c>
      <c r="E72" s="416">
        <f>IFERROR(GETPIVOTDATA("Sum of Group Manager",h5a!$A$3,"ReportingLevel","4:National","lvl","Scotland"),0)</f>
        <v>13</v>
      </c>
      <c r="F72" s="416">
        <f>IFERROR(GETPIVOTDATA("Sum of Station Manager",h5a!$A$3,"ReportingLevel","4:National","lvl","Scotland"),0)</f>
        <v>6</v>
      </c>
      <c r="G72" s="416">
        <f>IFERROR(GETPIVOTDATA("Sum of Watch Manager",h5a!$A$3,"ReportingLevel","4:National","lvl","Scotland"),0)</f>
        <v>7</v>
      </c>
      <c r="H72" s="416">
        <f>IFERROR(GETPIVOTDATA("Sum of Crew Manager",h5a!$A$3,"ReportingLevel","4:National","lvl","Scotland"),0)</f>
        <v>0</v>
      </c>
      <c r="I72" s="416">
        <f>IFERROR(GETPIVOTDATA("Sum of Firefighter",h5a!$A$3,"ReportingLevel","4:National","lvl","Scotland"),0)</f>
        <v>49</v>
      </c>
      <c r="J72" s="86">
        <f>SUM(C72:I72)</f>
        <v>90</v>
      </c>
    </row>
    <row r="73" spans="1:10" x14ac:dyDescent="0.25">
      <c r="C73" s="93"/>
      <c r="D73" s="93"/>
      <c r="E73" s="93"/>
      <c r="F73" s="93"/>
      <c r="G73" s="93"/>
      <c r="H73" s="93"/>
      <c r="I73" s="93"/>
      <c r="J73" s="93"/>
    </row>
    <row r="74" spans="1:10" x14ac:dyDescent="0.25">
      <c r="A74" s="509" t="s">
        <v>8</v>
      </c>
    </row>
    <row r="75" spans="1:10" x14ac:dyDescent="0.25">
      <c r="A75" s="506" t="s">
        <v>231</v>
      </c>
    </row>
    <row r="76" spans="1:10" ht="45" customHeight="1" x14ac:dyDescent="0.25">
      <c r="A76" s="1096" t="s">
        <v>974</v>
      </c>
      <c r="B76" s="1096"/>
      <c r="C76" s="1096"/>
      <c r="D76" s="1096"/>
      <c r="E76" s="1096"/>
      <c r="F76" s="1096"/>
      <c r="G76" s="1096"/>
      <c r="H76" s="1096"/>
      <c r="I76" s="1096"/>
    </row>
    <row r="77" spans="1:10" ht="30" customHeight="1" x14ac:dyDescent="0.25">
      <c r="A77" s="1095" t="s">
        <v>228</v>
      </c>
      <c r="B77" s="1095"/>
      <c r="C77" s="1095"/>
      <c r="D77" s="1095"/>
      <c r="E77" s="1095"/>
      <c r="F77" s="1095"/>
      <c r="G77" s="1095"/>
      <c r="H77" s="1095"/>
      <c r="I77" s="1095"/>
      <c r="J77" s="1095"/>
    </row>
    <row r="78" spans="1:10" x14ac:dyDescent="0.25">
      <c r="A78" s="506" t="s">
        <v>514</v>
      </c>
    </row>
    <row r="79" spans="1:10" x14ac:dyDescent="0.25">
      <c r="A79" s="687" t="s">
        <v>226</v>
      </c>
    </row>
    <row r="80" spans="1:10" x14ac:dyDescent="0.25">
      <c r="A80" s="544" t="s">
        <v>227</v>
      </c>
    </row>
    <row r="82" spans="1:1" x14ac:dyDescent="0.25">
      <c r="A82" s="506"/>
    </row>
    <row r="84" spans="1:1" x14ac:dyDescent="0.25">
      <c r="A84" s="506"/>
    </row>
  </sheetData>
  <sheetProtection algorithmName="SHA-512" hashValue="n8socdfjF7EUmqp849hXY661g4eva0QUeykh5Jy0kqTZrlCu6L2fA/5tdFbcpUmzhhyLcep2lGRhWA8zHtNP+g==" saltValue="2P8OnwrC393KYslZMGK7VA==" spinCount="100000" sheet="1" scenarios="1" formatCells="0" formatColumns="0" formatRows="0" sort="0" autoFilter="0" pivotTables="0"/>
  <mergeCells count="3">
    <mergeCell ref="A1:G1"/>
    <mergeCell ref="A77:J77"/>
    <mergeCell ref="A76:I76"/>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7" orientation="portrait" r:id="rId1"/>
  <drawing r:id="rId2"/>
  <extLst>
    <ext xmlns:x14="http://schemas.microsoft.com/office/spreadsheetml/2009/9/main" uri="{A8765BA9-456A-4dab-B4F3-ACF838C121DE}">
      <x14:slicerList>
        <x14:slicer r:id="rId3"/>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2"/>
  <sheetViews>
    <sheetView topLeftCell="A28" workbookViewId="0">
      <selection activeCell="D1" sqref="D1"/>
    </sheetView>
  </sheetViews>
  <sheetFormatPr defaultRowHeight="15" x14ac:dyDescent="0.25"/>
  <cols>
    <col min="1" max="1" width="61.7109375" customWidth="1"/>
    <col min="2" max="2" width="23" bestFit="1" customWidth="1"/>
    <col min="3" max="3" width="20.28515625" bestFit="1" customWidth="1"/>
    <col min="4" max="4" width="21.85546875" bestFit="1" customWidth="1"/>
    <col min="5" max="5" width="22.5703125" bestFit="1" customWidth="1"/>
    <col min="6" max="6" width="22" bestFit="1" customWidth="1"/>
    <col min="7" max="7" width="20.7109375" bestFit="1" customWidth="1"/>
    <col min="8" max="8" width="17.28515625" bestFit="1" customWidth="1"/>
  </cols>
  <sheetData>
    <row r="1" spans="1:8" x14ac:dyDescent="0.25">
      <c r="A1" s="565" t="s">
        <v>270</v>
      </c>
      <c r="B1" t="s">
        <v>851</v>
      </c>
      <c r="D1" t="str">
        <f>B1</f>
        <v>2019-20</v>
      </c>
    </row>
    <row r="3" spans="1:8" x14ac:dyDescent="0.25">
      <c r="A3" s="565" t="s">
        <v>246</v>
      </c>
      <c r="B3" t="s">
        <v>264</v>
      </c>
      <c r="C3" t="s">
        <v>265</v>
      </c>
      <c r="D3" t="s">
        <v>266</v>
      </c>
      <c r="E3" t="s">
        <v>267</v>
      </c>
      <c r="F3" t="s">
        <v>256</v>
      </c>
      <c r="G3" t="s">
        <v>268</v>
      </c>
      <c r="H3" t="s">
        <v>269</v>
      </c>
    </row>
    <row r="4" spans="1:8" x14ac:dyDescent="0.25">
      <c r="A4" s="1068" t="s">
        <v>247</v>
      </c>
      <c r="B4" s="567"/>
      <c r="C4" s="567"/>
      <c r="D4" s="567"/>
      <c r="E4" s="567"/>
      <c r="F4" s="567">
        <v>752</v>
      </c>
      <c r="G4" s="567">
        <v>1194</v>
      </c>
      <c r="H4" s="567">
        <v>3984</v>
      </c>
    </row>
    <row r="5" spans="1:8" x14ac:dyDescent="0.25">
      <c r="A5" s="568" t="s">
        <v>31</v>
      </c>
      <c r="B5" s="567"/>
      <c r="C5" s="567"/>
      <c r="D5" s="567"/>
      <c r="E5" s="567"/>
      <c r="F5" s="567">
        <v>15</v>
      </c>
      <c r="G5" s="567">
        <v>35</v>
      </c>
      <c r="H5" s="567">
        <v>105</v>
      </c>
    </row>
    <row r="6" spans="1:8" x14ac:dyDescent="0.25">
      <c r="A6" s="568" t="s">
        <v>32</v>
      </c>
      <c r="B6" s="567"/>
      <c r="C6" s="567"/>
      <c r="D6" s="567"/>
      <c r="E6" s="567"/>
      <c r="F6" s="567">
        <v>6</v>
      </c>
      <c r="G6" s="567">
        <v>4</v>
      </c>
      <c r="H6" s="567">
        <v>22</v>
      </c>
    </row>
    <row r="7" spans="1:8" x14ac:dyDescent="0.25">
      <c r="A7" s="568" t="s">
        <v>281</v>
      </c>
      <c r="B7" s="567"/>
      <c r="C7" s="567"/>
      <c r="D7" s="567"/>
      <c r="E7" s="567"/>
      <c r="F7" s="567">
        <v>376</v>
      </c>
      <c r="G7" s="567">
        <v>597</v>
      </c>
      <c r="H7" s="567">
        <v>1992</v>
      </c>
    </row>
    <row r="8" spans="1:8" x14ac:dyDescent="0.25">
      <c r="A8" s="568" t="s">
        <v>33</v>
      </c>
      <c r="B8" s="567"/>
      <c r="C8" s="567"/>
      <c r="D8" s="567"/>
      <c r="E8" s="567"/>
      <c r="F8" s="567">
        <v>5</v>
      </c>
      <c r="G8" s="567">
        <v>5</v>
      </c>
      <c r="H8" s="567">
        <v>17</v>
      </c>
    </row>
    <row r="9" spans="1:8" x14ac:dyDescent="0.25">
      <c r="A9" s="568" t="s">
        <v>34</v>
      </c>
      <c r="B9" s="567"/>
      <c r="C9" s="567"/>
      <c r="D9" s="567"/>
      <c r="E9" s="567"/>
      <c r="F9" s="567">
        <v>10</v>
      </c>
      <c r="G9" s="567">
        <v>10</v>
      </c>
      <c r="H9" s="567">
        <v>33</v>
      </c>
    </row>
    <row r="10" spans="1:8" x14ac:dyDescent="0.25">
      <c r="A10" s="568" t="s">
        <v>258</v>
      </c>
      <c r="B10" s="567"/>
      <c r="C10" s="567"/>
      <c r="D10" s="567"/>
      <c r="E10" s="567"/>
      <c r="F10" s="567">
        <v>36</v>
      </c>
      <c r="G10" s="567">
        <v>56</v>
      </c>
      <c r="H10" s="567">
        <v>214</v>
      </c>
    </row>
    <row r="11" spans="1:8" x14ac:dyDescent="0.25">
      <c r="A11" s="568" t="s">
        <v>35</v>
      </c>
      <c r="B11" s="567"/>
      <c r="C11" s="567"/>
      <c r="D11" s="567"/>
      <c r="E11" s="567"/>
      <c r="F11" s="567">
        <v>5</v>
      </c>
      <c r="G11" s="567">
        <v>5</v>
      </c>
      <c r="H11" s="567">
        <v>15</v>
      </c>
    </row>
    <row r="12" spans="1:8" x14ac:dyDescent="0.25">
      <c r="A12" s="568" t="s">
        <v>36</v>
      </c>
      <c r="B12" s="567"/>
      <c r="C12" s="567"/>
      <c r="D12" s="567"/>
      <c r="E12" s="567"/>
      <c r="F12" s="567">
        <v>5</v>
      </c>
      <c r="G12" s="567">
        <v>10</v>
      </c>
      <c r="H12" s="567">
        <v>37</v>
      </c>
    </row>
    <row r="13" spans="1:8" x14ac:dyDescent="0.25">
      <c r="A13" s="568" t="s">
        <v>37</v>
      </c>
      <c r="B13" s="567"/>
      <c r="C13" s="567"/>
      <c r="D13" s="567"/>
      <c r="E13" s="567"/>
      <c r="F13" s="567">
        <v>20</v>
      </c>
      <c r="G13" s="567">
        <v>36</v>
      </c>
      <c r="H13" s="567">
        <v>126</v>
      </c>
    </row>
    <row r="14" spans="1:8" x14ac:dyDescent="0.25">
      <c r="A14" s="568" t="s">
        <v>38</v>
      </c>
      <c r="B14" s="567"/>
      <c r="C14" s="567"/>
      <c r="D14" s="567"/>
      <c r="E14" s="567"/>
      <c r="F14" s="567">
        <v>5</v>
      </c>
      <c r="G14" s="567">
        <v>10</v>
      </c>
      <c r="H14" s="567">
        <v>34</v>
      </c>
    </row>
    <row r="15" spans="1:8" x14ac:dyDescent="0.25">
      <c r="A15" s="568" t="s">
        <v>39</v>
      </c>
      <c r="B15" s="567"/>
      <c r="C15" s="567"/>
      <c r="D15" s="567"/>
      <c r="E15" s="567"/>
      <c r="F15" s="567">
        <v>15</v>
      </c>
      <c r="G15" s="567">
        <v>15</v>
      </c>
      <c r="H15" s="567">
        <v>49</v>
      </c>
    </row>
    <row r="16" spans="1:8" x14ac:dyDescent="0.25">
      <c r="A16" s="568" t="s">
        <v>40</v>
      </c>
      <c r="B16" s="567"/>
      <c r="C16" s="567"/>
      <c r="D16" s="567"/>
      <c r="E16" s="567"/>
      <c r="F16" s="567">
        <v>5</v>
      </c>
      <c r="G16" s="567">
        <v>5</v>
      </c>
      <c r="H16" s="567">
        <v>15</v>
      </c>
    </row>
    <row r="17" spans="1:8" x14ac:dyDescent="0.25">
      <c r="A17" s="568" t="s">
        <v>41</v>
      </c>
      <c r="B17" s="567"/>
      <c r="C17" s="567"/>
      <c r="D17" s="567"/>
      <c r="E17" s="567"/>
      <c r="F17" s="567">
        <v>10</v>
      </c>
      <c r="G17" s="567">
        <v>10</v>
      </c>
      <c r="H17" s="567">
        <v>30</v>
      </c>
    </row>
    <row r="18" spans="1:8" x14ac:dyDescent="0.25">
      <c r="A18" s="568" t="s">
        <v>42</v>
      </c>
      <c r="B18" s="567"/>
      <c r="C18" s="567"/>
      <c r="D18" s="567"/>
      <c r="E18" s="567"/>
      <c r="F18" s="567">
        <v>15</v>
      </c>
      <c r="G18" s="567">
        <v>19</v>
      </c>
      <c r="H18" s="567">
        <v>54</v>
      </c>
    </row>
    <row r="19" spans="1:8" x14ac:dyDescent="0.25">
      <c r="A19" s="568" t="s">
        <v>43</v>
      </c>
      <c r="B19" s="567"/>
      <c r="C19" s="567"/>
      <c r="D19" s="567"/>
      <c r="E19" s="567"/>
      <c r="F19" s="567">
        <v>26</v>
      </c>
      <c r="G19" s="567">
        <v>51</v>
      </c>
      <c r="H19" s="567">
        <v>192</v>
      </c>
    </row>
    <row r="20" spans="1:8" x14ac:dyDescent="0.25">
      <c r="A20" s="568" t="s">
        <v>121</v>
      </c>
      <c r="B20" s="567"/>
      <c r="C20" s="567"/>
      <c r="D20" s="567"/>
      <c r="E20" s="567"/>
      <c r="F20" s="567">
        <v>57</v>
      </c>
      <c r="G20" s="567">
        <v>114</v>
      </c>
      <c r="H20" s="567">
        <v>346</v>
      </c>
    </row>
    <row r="21" spans="1:8" x14ac:dyDescent="0.25">
      <c r="A21" s="568" t="s">
        <v>44</v>
      </c>
      <c r="B21" s="567"/>
      <c r="C21" s="567"/>
      <c r="D21" s="567"/>
      <c r="E21" s="567"/>
      <c r="F21" s="567">
        <v>5</v>
      </c>
      <c r="G21" s="567">
        <v>14</v>
      </c>
      <c r="H21" s="567">
        <v>52</v>
      </c>
    </row>
    <row r="22" spans="1:8" x14ac:dyDescent="0.25">
      <c r="A22" s="568" t="s">
        <v>45</v>
      </c>
      <c r="B22" s="567"/>
      <c r="C22" s="567"/>
      <c r="D22" s="567"/>
      <c r="E22" s="567"/>
      <c r="F22" s="567">
        <v>10</v>
      </c>
      <c r="G22" s="567">
        <v>15</v>
      </c>
      <c r="H22" s="567">
        <v>45</v>
      </c>
    </row>
    <row r="23" spans="1:8" x14ac:dyDescent="0.25">
      <c r="A23" s="568" t="s">
        <v>46</v>
      </c>
      <c r="B23" s="567"/>
      <c r="C23" s="567"/>
      <c r="D23" s="567"/>
      <c r="E23" s="567"/>
      <c r="F23" s="567">
        <v>5</v>
      </c>
      <c r="G23" s="567">
        <v>4</v>
      </c>
      <c r="H23" s="567">
        <v>17</v>
      </c>
    </row>
    <row r="24" spans="1:8" x14ac:dyDescent="0.25">
      <c r="A24" s="568" t="s">
        <v>47</v>
      </c>
      <c r="B24" s="567"/>
      <c r="C24" s="567"/>
      <c r="D24" s="567"/>
      <c r="E24" s="567"/>
      <c r="F24" s="567">
        <v>5</v>
      </c>
      <c r="G24" s="567">
        <v>5</v>
      </c>
      <c r="H24" s="567">
        <v>20</v>
      </c>
    </row>
    <row r="25" spans="1:8" x14ac:dyDescent="0.25">
      <c r="A25" s="568" t="s">
        <v>49</v>
      </c>
      <c r="B25" s="567"/>
      <c r="C25" s="567"/>
      <c r="D25" s="567"/>
      <c r="E25" s="567"/>
      <c r="F25" s="567">
        <v>15</v>
      </c>
      <c r="G25" s="567">
        <v>15</v>
      </c>
      <c r="H25" s="567">
        <v>45</v>
      </c>
    </row>
    <row r="26" spans="1:8" x14ac:dyDescent="0.25">
      <c r="A26" s="568" t="s">
        <v>50</v>
      </c>
      <c r="B26" s="567"/>
      <c r="C26" s="567"/>
      <c r="D26" s="567"/>
      <c r="E26" s="567"/>
      <c r="F26" s="567">
        <v>21</v>
      </c>
      <c r="G26" s="567">
        <v>37</v>
      </c>
      <c r="H26" s="567">
        <v>105</v>
      </c>
    </row>
    <row r="27" spans="1:8" x14ac:dyDescent="0.25">
      <c r="A27" s="568" t="s">
        <v>52</v>
      </c>
      <c r="B27" s="567"/>
      <c r="C27" s="567"/>
      <c r="D27" s="567"/>
      <c r="E27" s="567"/>
      <c r="F27" s="567">
        <v>5</v>
      </c>
      <c r="G27" s="567">
        <v>10</v>
      </c>
      <c r="H27" s="567">
        <v>52</v>
      </c>
    </row>
    <row r="28" spans="1:8" x14ac:dyDescent="0.25">
      <c r="A28" s="568" t="s">
        <v>53</v>
      </c>
      <c r="B28" s="567"/>
      <c r="C28" s="567"/>
      <c r="D28" s="567"/>
      <c r="E28" s="567"/>
      <c r="F28" s="567">
        <v>15</v>
      </c>
      <c r="G28" s="567">
        <v>21</v>
      </c>
      <c r="H28" s="567">
        <v>66</v>
      </c>
    </row>
    <row r="29" spans="1:8" x14ac:dyDescent="0.25">
      <c r="A29" s="568" t="s">
        <v>54</v>
      </c>
      <c r="B29" s="567"/>
      <c r="C29" s="567"/>
      <c r="D29" s="567"/>
      <c r="E29" s="567"/>
      <c r="F29" s="567">
        <v>10</v>
      </c>
      <c r="G29" s="567">
        <v>10</v>
      </c>
      <c r="H29" s="567">
        <v>33</v>
      </c>
    </row>
    <row r="30" spans="1:8" x14ac:dyDescent="0.25">
      <c r="A30" s="568" t="s">
        <v>56</v>
      </c>
      <c r="B30" s="567"/>
      <c r="C30" s="567"/>
      <c r="D30" s="567"/>
      <c r="E30" s="567"/>
      <c r="F30" s="567">
        <v>5</v>
      </c>
      <c r="G30" s="567">
        <v>9</v>
      </c>
      <c r="H30" s="567">
        <v>36</v>
      </c>
    </row>
    <row r="31" spans="1:8" x14ac:dyDescent="0.25">
      <c r="A31" s="568" t="s">
        <v>57</v>
      </c>
      <c r="B31" s="567"/>
      <c r="C31" s="567"/>
      <c r="D31" s="567"/>
      <c r="E31" s="567"/>
      <c r="F31" s="567">
        <v>20</v>
      </c>
      <c r="G31" s="567">
        <v>37</v>
      </c>
      <c r="H31" s="567">
        <v>111</v>
      </c>
    </row>
    <row r="32" spans="1:8" x14ac:dyDescent="0.25">
      <c r="A32" s="568" t="s">
        <v>58</v>
      </c>
      <c r="B32" s="567"/>
      <c r="C32" s="567"/>
      <c r="D32" s="567"/>
      <c r="E32" s="567"/>
      <c r="F32" s="567">
        <v>5</v>
      </c>
      <c r="G32" s="567">
        <v>10</v>
      </c>
      <c r="H32" s="567">
        <v>36</v>
      </c>
    </row>
    <row r="33" spans="1:8" x14ac:dyDescent="0.25">
      <c r="A33" s="568" t="s">
        <v>59</v>
      </c>
      <c r="B33" s="567"/>
      <c r="C33" s="567"/>
      <c r="D33" s="567"/>
      <c r="E33" s="567"/>
      <c r="F33" s="567">
        <v>10</v>
      </c>
      <c r="G33" s="567">
        <v>15</v>
      </c>
      <c r="H33" s="567">
        <v>48</v>
      </c>
    </row>
    <row r="34" spans="1:8" x14ac:dyDescent="0.25">
      <c r="A34" s="568" t="s">
        <v>60</v>
      </c>
      <c r="B34" s="567"/>
      <c r="C34" s="567"/>
      <c r="D34" s="567"/>
      <c r="E34" s="567"/>
      <c r="F34" s="567">
        <v>10</v>
      </c>
      <c r="G34" s="567">
        <v>10</v>
      </c>
      <c r="H34" s="567">
        <v>37</v>
      </c>
    </row>
    <row r="35" spans="1:8" x14ac:dyDescent="0.25">
      <c r="A35" s="1068" t="s">
        <v>248</v>
      </c>
      <c r="B35" s="567"/>
      <c r="C35" s="567">
        <v>32</v>
      </c>
      <c r="D35" s="567">
        <v>100</v>
      </c>
      <c r="E35" s="567">
        <v>236</v>
      </c>
      <c r="F35" s="567">
        <v>226</v>
      </c>
      <c r="G35" s="567">
        <v>116</v>
      </c>
      <c r="H35" s="567">
        <v>55</v>
      </c>
    </row>
    <row r="36" spans="1:8" x14ac:dyDescent="0.25">
      <c r="A36" s="568" t="s">
        <v>31</v>
      </c>
      <c r="B36" s="567"/>
      <c r="C36" s="567">
        <v>1</v>
      </c>
      <c r="D36" s="567">
        <v>2</v>
      </c>
      <c r="E36" s="567">
        <v>3</v>
      </c>
      <c r="F36" s="567">
        <v>4</v>
      </c>
      <c r="G36" s="567">
        <v>2</v>
      </c>
      <c r="H36" s="567">
        <v>1</v>
      </c>
    </row>
    <row r="37" spans="1:8" x14ac:dyDescent="0.25">
      <c r="A37" s="568" t="s">
        <v>63</v>
      </c>
      <c r="B37" s="567"/>
      <c r="C37" s="567">
        <v>1</v>
      </c>
      <c r="D37" s="567">
        <v>3</v>
      </c>
      <c r="E37" s="567">
        <v>9</v>
      </c>
      <c r="F37" s="567">
        <v>7</v>
      </c>
      <c r="G37" s="567">
        <v>4</v>
      </c>
      <c r="H37" s="567">
        <v>1</v>
      </c>
    </row>
    <row r="38" spans="1:8" x14ac:dyDescent="0.25">
      <c r="A38" s="568" t="s">
        <v>281</v>
      </c>
      <c r="B38" s="567"/>
      <c r="C38" s="567">
        <v>16</v>
      </c>
      <c r="D38" s="567">
        <v>50</v>
      </c>
      <c r="E38" s="567">
        <v>118</v>
      </c>
      <c r="F38" s="567">
        <v>113</v>
      </c>
      <c r="G38" s="567">
        <v>58</v>
      </c>
      <c r="H38" s="567">
        <v>27</v>
      </c>
    </row>
    <row r="39" spans="1:8" x14ac:dyDescent="0.25">
      <c r="A39" s="568" t="s">
        <v>64</v>
      </c>
      <c r="B39" s="567"/>
      <c r="C39" s="567">
        <v>1</v>
      </c>
      <c r="D39" s="567">
        <v>3</v>
      </c>
      <c r="E39" s="567">
        <v>8</v>
      </c>
      <c r="F39" s="567">
        <v>7</v>
      </c>
      <c r="G39" s="567">
        <v>7</v>
      </c>
      <c r="H39" s="567">
        <v>2</v>
      </c>
    </row>
    <row r="40" spans="1:8" x14ac:dyDescent="0.25">
      <c r="A40" s="568" t="s">
        <v>36</v>
      </c>
      <c r="B40" s="567"/>
      <c r="C40" s="567">
        <v>1</v>
      </c>
      <c r="D40" s="567">
        <v>2</v>
      </c>
      <c r="E40" s="567">
        <v>6</v>
      </c>
      <c r="F40" s="567">
        <v>8</v>
      </c>
      <c r="G40" s="567">
        <v>3</v>
      </c>
      <c r="H40" s="567">
        <v>2</v>
      </c>
    </row>
    <row r="41" spans="1:8" x14ac:dyDescent="0.25">
      <c r="A41" s="568" t="s">
        <v>65</v>
      </c>
      <c r="B41" s="567"/>
      <c r="C41" s="567">
        <v>1</v>
      </c>
      <c r="D41" s="567">
        <v>4</v>
      </c>
      <c r="E41" s="567">
        <v>9</v>
      </c>
      <c r="F41" s="567">
        <v>11</v>
      </c>
      <c r="G41" s="567">
        <v>4</v>
      </c>
      <c r="H41" s="567">
        <v>2</v>
      </c>
    </row>
    <row r="42" spans="1:8" x14ac:dyDescent="0.25">
      <c r="A42" s="568" t="s">
        <v>66</v>
      </c>
      <c r="B42" s="567"/>
      <c r="C42" s="567">
        <v>1</v>
      </c>
      <c r="D42" s="567">
        <v>3</v>
      </c>
      <c r="E42" s="567">
        <v>10</v>
      </c>
      <c r="F42" s="567">
        <v>8</v>
      </c>
      <c r="G42" s="567">
        <v>5</v>
      </c>
      <c r="H42" s="567">
        <v>1</v>
      </c>
    </row>
    <row r="43" spans="1:8" x14ac:dyDescent="0.25">
      <c r="A43" s="568" t="s">
        <v>67</v>
      </c>
      <c r="B43" s="567"/>
      <c r="C43" s="567">
        <v>1</v>
      </c>
      <c r="D43" s="567">
        <v>3</v>
      </c>
      <c r="E43" s="567">
        <v>7</v>
      </c>
      <c r="F43" s="567">
        <v>9</v>
      </c>
      <c r="G43" s="567">
        <v>5</v>
      </c>
      <c r="H43" s="567">
        <v>4</v>
      </c>
    </row>
    <row r="44" spans="1:8" x14ac:dyDescent="0.25">
      <c r="A44" s="568" t="s">
        <v>68</v>
      </c>
      <c r="B44" s="567"/>
      <c r="C44" s="567">
        <v>1</v>
      </c>
      <c r="D44" s="567">
        <v>4</v>
      </c>
      <c r="E44" s="567">
        <v>4</v>
      </c>
      <c r="F44" s="567">
        <v>3</v>
      </c>
      <c r="G44" s="567"/>
      <c r="H44" s="567">
        <v>1</v>
      </c>
    </row>
    <row r="45" spans="1:8" x14ac:dyDescent="0.25">
      <c r="A45" s="568" t="s">
        <v>175</v>
      </c>
      <c r="B45" s="567"/>
      <c r="C45" s="567">
        <v>1</v>
      </c>
      <c r="D45" s="567">
        <v>4</v>
      </c>
      <c r="E45" s="567">
        <v>5</v>
      </c>
      <c r="F45" s="567">
        <v>10</v>
      </c>
      <c r="G45" s="567">
        <v>4</v>
      </c>
      <c r="H45" s="567">
        <v>4</v>
      </c>
    </row>
    <row r="46" spans="1:8" x14ac:dyDescent="0.25">
      <c r="A46" s="568" t="s">
        <v>69</v>
      </c>
      <c r="B46" s="567"/>
      <c r="C46" s="567">
        <v>1</v>
      </c>
      <c r="D46" s="567">
        <v>2</v>
      </c>
      <c r="E46" s="567">
        <v>6</v>
      </c>
      <c r="F46" s="567">
        <v>6</v>
      </c>
      <c r="G46" s="567">
        <v>2</v>
      </c>
      <c r="H46" s="567">
        <v>2</v>
      </c>
    </row>
    <row r="47" spans="1:8" x14ac:dyDescent="0.25">
      <c r="A47" s="568" t="s">
        <v>121</v>
      </c>
      <c r="B47" s="567"/>
      <c r="C47" s="567">
        <v>1</v>
      </c>
      <c r="D47" s="567">
        <v>5</v>
      </c>
      <c r="E47" s="567">
        <v>10</v>
      </c>
      <c r="F47" s="567">
        <v>5</v>
      </c>
      <c r="G47" s="567">
        <v>2</v>
      </c>
      <c r="H47" s="567">
        <v>2</v>
      </c>
    </row>
    <row r="48" spans="1:8" x14ac:dyDescent="0.25">
      <c r="A48" s="568" t="s">
        <v>70</v>
      </c>
      <c r="B48" s="567"/>
      <c r="C48" s="567">
        <v>1</v>
      </c>
      <c r="D48" s="567">
        <v>4</v>
      </c>
      <c r="E48" s="567">
        <v>13</v>
      </c>
      <c r="F48" s="567">
        <v>11</v>
      </c>
      <c r="G48" s="567">
        <v>8</v>
      </c>
      <c r="H48" s="567">
        <v>1</v>
      </c>
    </row>
    <row r="49" spans="1:8" x14ac:dyDescent="0.25">
      <c r="A49" s="568" t="s">
        <v>50</v>
      </c>
      <c r="B49" s="567"/>
      <c r="C49" s="567">
        <v>1</v>
      </c>
      <c r="D49" s="567">
        <v>2</v>
      </c>
      <c r="E49" s="567">
        <v>5</v>
      </c>
      <c r="F49" s="567">
        <v>5</v>
      </c>
      <c r="G49" s="567">
        <v>2</v>
      </c>
      <c r="H49" s="567">
        <v>1</v>
      </c>
    </row>
    <row r="50" spans="1:8" x14ac:dyDescent="0.25">
      <c r="A50" s="568" t="s">
        <v>57</v>
      </c>
      <c r="B50" s="567"/>
      <c r="C50" s="567">
        <v>1</v>
      </c>
      <c r="D50" s="567">
        <v>2</v>
      </c>
      <c r="E50" s="567">
        <v>6</v>
      </c>
      <c r="F50" s="567">
        <v>4</v>
      </c>
      <c r="G50" s="567">
        <v>3</v>
      </c>
      <c r="H50" s="567"/>
    </row>
    <row r="51" spans="1:8" x14ac:dyDescent="0.25">
      <c r="A51" s="568" t="s">
        <v>71</v>
      </c>
      <c r="B51" s="567"/>
      <c r="C51" s="567">
        <v>1</v>
      </c>
      <c r="D51" s="567">
        <v>3</v>
      </c>
      <c r="E51" s="567">
        <v>5</v>
      </c>
      <c r="F51" s="567">
        <v>4</v>
      </c>
      <c r="G51" s="567">
        <v>1</v>
      </c>
      <c r="H51" s="567"/>
    </row>
    <row r="52" spans="1:8" x14ac:dyDescent="0.25">
      <c r="A52" s="568" t="s">
        <v>853</v>
      </c>
      <c r="B52" s="567"/>
      <c r="C52" s="567">
        <v>1</v>
      </c>
      <c r="D52" s="567">
        <v>4</v>
      </c>
      <c r="E52" s="567">
        <v>12</v>
      </c>
      <c r="F52" s="567">
        <v>11</v>
      </c>
      <c r="G52" s="567">
        <v>6</v>
      </c>
      <c r="H52" s="567">
        <v>4</v>
      </c>
    </row>
    <row r="53" spans="1:8" x14ac:dyDescent="0.25">
      <c r="A53" s="1068" t="s">
        <v>249</v>
      </c>
      <c r="B53" s="567"/>
      <c r="C53" s="567">
        <v>12</v>
      </c>
      <c r="D53" s="567">
        <v>34</v>
      </c>
      <c r="E53" s="567">
        <v>58</v>
      </c>
      <c r="F53" s="567">
        <v>224</v>
      </c>
      <c r="G53" s="567">
        <v>66</v>
      </c>
      <c r="H53" s="567"/>
    </row>
    <row r="54" spans="1:8" x14ac:dyDescent="0.25">
      <c r="A54" s="568" t="s">
        <v>281</v>
      </c>
      <c r="B54" s="567"/>
      <c r="C54" s="567">
        <v>6</v>
      </c>
      <c r="D54" s="567">
        <v>17</v>
      </c>
      <c r="E54" s="567">
        <v>29</v>
      </c>
      <c r="F54" s="567">
        <v>112</v>
      </c>
      <c r="G54" s="567">
        <v>33</v>
      </c>
      <c r="H54" s="567"/>
    </row>
    <row r="55" spans="1:8" x14ac:dyDescent="0.25">
      <c r="A55" s="568" t="s">
        <v>174</v>
      </c>
      <c r="B55" s="567"/>
      <c r="C55" s="567">
        <v>1</v>
      </c>
      <c r="D55" s="567">
        <v>4</v>
      </c>
      <c r="E55" s="567">
        <v>8</v>
      </c>
      <c r="F55" s="567">
        <v>33</v>
      </c>
      <c r="G55" s="567">
        <v>6</v>
      </c>
      <c r="H55" s="567"/>
    </row>
    <row r="56" spans="1:8" x14ac:dyDescent="0.25">
      <c r="A56" s="568" t="s">
        <v>172</v>
      </c>
      <c r="B56" s="567"/>
      <c r="C56" s="567">
        <v>2</v>
      </c>
      <c r="D56" s="567">
        <v>3</v>
      </c>
      <c r="E56" s="567">
        <v>7</v>
      </c>
      <c r="F56" s="567">
        <v>24</v>
      </c>
      <c r="G56" s="567">
        <v>6</v>
      </c>
      <c r="H56" s="567"/>
    </row>
    <row r="57" spans="1:8" x14ac:dyDescent="0.25">
      <c r="A57" s="568" t="s">
        <v>173</v>
      </c>
      <c r="B57" s="567"/>
      <c r="C57" s="567">
        <v>3</v>
      </c>
      <c r="D57" s="567">
        <v>10</v>
      </c>
      <c r="E57" s="567">
        <v>14</v>
      </c>
      <c r="F57" s="567">
        <v>55</v>
      </c>
      <c r="G57" s="567">
        <v>21</v>
      </c>
      <c r="H57" s="567"/>
    </row>
    <row r="58" spans="1:8" x14ac:dyDescent="0.25">
      <c r="A58" s="1068" t="s">
        <v>250</v>
      </c>
      <c r="B58" s="567">
        <v>6</v>
      </c>
      <c r="C58" s="567">
        <v>9</v>
      </c>
      <c r="D58" s="567">
        <v>13</v>
      </c>
      <c r="E58" s="567">
        <v>6</v>
      </c>
      <c r="F58" s="567">
        <v>7</v>
      </c>
      <c r="G58" s="567"/>
      <c r="H58" s="567">
        <v>49</v>
      </c>
    </row>
    <row r="59" spans="1:8" x14ac:dyDescent="0.25">
      <c r="A59" s="568" t="s">
        <v>259</v>
      </c>
      <c r="B59" s="567">
        <v>6</v>
      </c>
      <c r="C59" s="567">
        <v>9</v>
      </c>
      <c r="D59" s="567">
        <v>13</v>
      </c>
      <c r="E59" s="567">
        <v>6</v>
      </c>
      <c r="F59" s="567">
        <v>7</v>
      </c>
      <c r="G59" s="567"/>
      <c r="H59" s="567">
        <v>49</v>
      </c>
    </row>
    <row r="60" spans="1:8" x14ac:dyDescent="0.25">
      <c r="A60" s="1068" t="s">
        <v>26</v>
      </c>
      <c r="B60" s="567">
        <v>6</v>
      </c>
      <c r="C60" s="567">
        <v>31</v>
      </c>
      <c r="D60" s="567">
        <v>80</v>
      </c>
      <c r="E60" s="567">
        <v>153</v>
      </c>
      <c r="F60" s="567">
        <v>608</v>
      </c>
      <c r="G60" s="567">
        <v>688</v>
      </c>
      <c r="H60" s="567">
        <v>2068</v>
      </c>
    </row>
    <row r="61" spans="1:8" x14ac:dyDescent="0.25">
      <c r="A61" s="568" t="s">
        <v>259</v>
      </c>
      <c r="B61" s="567">
        <v>6</v>
      </c>
      <c r="C61" s="567">
        <v>31</v>
      </c>
      <c r="D61" s="567">
        <v>80</v>
      </c>
      <c r="E61" s="567">
        <v>153</v>
      </c>
      <c r="F61" s="567">
        <v>608</v>
      </c>
      <c r="G61" s="567">
        <v>688</v>
      </c>
      <c r="H61" s="567">
        <v>2068</v>
      </c>
    </row>
    <row r="62" spans="1:8" x14ac:dyDescent="0.25">
      <c r="A62" s="1068" t="s">
        <v>251</v>
      </c>
      <c r="B62" s="567">
        <v>12</v>
      </c>
      <c r="C62" s="567">
        <v>84</v>
      </c>
      <c r="D62" s="567">
        <v>227</v>
      </c>
      <c r="E62" s="567">
        <v>453</v>
      </c>
      <c r="F62" s="567">
        <v>1817</v>
      </c>
      <c r="G62" s="567">
        <v>2064</v>
      </c>
      <c r="H62" s="567">
        <v>6156</v>
      </c>
    </row>
  </sheetData>
  <sheetProtection algorithmName="SHA-512" hashValue="hbqpSLVAisyAaAagACnFt8vEbCxtG74T0jEf7Hg22RVg1nI3fuerzj+XOCY3A+S3hUWXlMc83gf8tl5VUqXo7Q==" saltValue="RA4MZiA0BjbxsJjAIwjQ2Q=="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J51"/>
  <sheetViews>
    <sheetView showGridLines="0" workbookViewId="0">
      <pane ySplit="2" topLeftCell="A3" activePane="bottomLeft" state="frozen"/>
      <selection pane="bottomLeft" sqref="A1:G1"/>
    </sheetView>
  </sheetViews>
  <sheetFormatPr defaultRowHeight="15" x14ac:dyDescent="0.25"/>
  <cols>
    <col min="1" max="1" width="17.42578125" customWidth="1"/>
    <col min="2" max="2" width="31.85546875" customWidth="1"/>
    <col min="3" max="5" width="11.85546875" customWidth="1"/>
    <col min="6" max="6" width="11.140625" customWidth="1"/>
  </cols>
  <sheetData>
    <row r="1" spans="1:7" ht="15.75" x14ac:dyDescent="0.25">
      <c r="A1" s="1077" t="s">
        <v>505</v>
      </c>
      <c r="B1" s="1077"/>
      <c r="C1" s="1077"/>
      <c r="D1" s="1077"/>
      <c r="E1" s="1077"/>
      <c r="F1" s="1077"/>
      <c r="G1" s="1077"/>
    </row>
    <row r="2" spans="1:7" ht="15.75" x14ac:dyDescent="0.25">
      <c r="A2" s="772" t="s">
        <v>578</v>
      </c>
      <c r="C2" s="660"/>
      <c r="D2" s="660"/>
      <c r="E2" s="660"/>
      <c r="F2" s="660"/>
      <c r="G2" s="660"/>
    </row>
    <row r="3" spans="1:7" ht="15.75" x14ac:dyDescent="0.25">
      <c r="C3" s="660"/>
      <c r="D3" s="660"/>
      <c r="E3" s="660"/>
      <c r="F3" s="660"/>
      <c r="G3" s="660"/>
    </row>
    <row r="4" spans="1:7" ht="37.5" customHeight="1" x14ac:dyDescent="0.25">
      <c r="A4" s="676" t="s">
        <v>529</v>
      </c>
      <c r="B4" s="676"/>
      <c r="C4" s="676"/>
      <c r="D4" s="676"/>
      <c r="E4" s="676"/>
    </row>
    <row r="5" spans="1:7" ht="15" customHeight="1" x14ac:dyDescent="0.25">
      <c r="A5" t="s">
        <v>363</v>
      </c>
      <c r="B5" t="s">
        <v>752</v>
      </c>
      <c r="C5" s="676"/>
      <c r="D5" s="676"/>
      <c r="E5" s="676"/>
    </row>
    <row r="6" spans="1:7" ht="15" customHeight="1" x14ac:dyDescent="0.25">
      <c r="A6" t="s">
        <v>364</v>
      </c>
      <c r="B6" t="s">
        <v>366</v>
      </c>
      <c r="C6" s="676"/>
      <c r="D6" s="676"/>
      <c r="E6" s="676"/>
    </row>
    <row r="7" spans="1:7" ht="15" customHeight="1" x14ac:dyDescent="0.25">
      <c r="A7" t="s">
        <v>365</v>
      </c>
      <c r="B7" t="s">
        <v>367</v>
      </c>
      <c r="C7" s="676"/>
      <c r="D7" s="676"/>
      <c r="E7" s="676"/>
    </row>
    <row r="8" spans="1:7" ht="39" x14ac:dyDescent="0.25">
      <c r="A8" s="96" t="s">
        <v>1</v>
      </c>
      <c r="B8" s="96" t="s">
        <v>218</v>
      </c>
      <c r="C8" s="97" t="s">
        <v>971</v>
      </c>
      <c r="D8" s="97" t="s">
        <v>972</v>
      </c>
      <c r="E8" s="97" t="s">
        <v>23</v>
      </c>
      <c r="F8" s="97" t="s">
        <v>26</v>
      </c>
    </row>
    <row r="9" spans="1:7" ht="15.75" thickBot="1" x14ac:dyDescent="0.3">
      <c r="A9" s="98" t="str">
        <f>h5b!D2</f>
        <v>2019-20</v>
      </c>
      <c r="B9" s="98" t="s">
        <v>517</v>
      </c>
      <c r="C9" s="463">
        <f>C44</f>
        <v>236</v>
      </c>
      <c r="D9" s="463">
        <f>D44</f>
        <v>460</v>
      </c>
      <c r="E9" s="463">
        <f>E44</f>
        <v>1855</v>
      </c>
      <c r="F9" s="463">
        <f>F44</f>
        <v>2552</v>
      </c>
      <c r="G9" s="366"/>
    </row>
    <row r="10" spans="1:7" x14ac:dyDescent="0.25">
      <c r="B10" s="64"/>
      <c r="C10" s="440"/>
      <c r="D10" s="440"/>
      <c r="E10" s="440"/>
      <c r="F10" s="440"/>
    </row>
    <row r="11" spans="1:7" x14ac:dyDescent="0.25">
      <c r="A11" s="52" t="s">
        <v>515</v>
      </c>
      <c r="B11" s="52" t="s">
        <v>30</v>
      </c>
      <c r="C11" s="441"/>
      <c r="D11" s="441"/>
      <c r="E11" s="441"/>
      <c r="F11" s="441"/>
    </row>
    <row r="12" spans="1:7" x14ac:dyDescent="0.25">
      <c r="A12" s="576" t="s">
        <v>301</v>
      </c>
      <c r="B12" s="577" t="s">
        <v>31</v>
      </c>
      <c r="C12" s="415">
        <f>IFERROR(GETPIVOTDATA((CONCATENATE("Sum of ", C$8)),h5b!$A$3,"ReportingLevel","1:LA","lvl",$B12),0)</f>
        <v>1</v>
      </c>
      <c r="D12" s="415">
        <f>IFERROR(GETPIVOTDATA((CONCATENATE("Sum of ", D$8)),h5b!$A$3,"ReportingLevel","1:LA","lvl",$B12),0)</f>
        <v>2</v>
      </c>
      <c r="E12" s="415">
        <f>IFERROR(GETPIVOTDATA((CONCATENATE("Sum of ", E$8)),h5b!$A$3,"ReportingLevel","1:LA","lvl",$B12),0)</f>
        <v>3</v>
      </c>
      <c r="F12" s="108">
        <f>IFERROR(GETPIVOTDATA((CONCATENATE("Sum of ", F$8)),h5b!$A$3,"ReportingLevel","1:LA","lvl",$B12),0)</f>
        <v>6</v>
      </c>
    </row>
    <row r="13" spans="1:7" x14ac:dyDescent="0.25">
      <c r="A13" s="109" t="s">
        <v>302</v>
      </c>
      <c r="B13" s="64" t="s">
        <v>32</v>
      </c>
      <c r="C13" s="118">
        <f>IFERROR(GETPIVOTDATA((CONCATENATE("Sum of ", C$8)),h5b!$A$3,"ReportingLevel","1:LA","lvl",$B13),0)</f>
        <v>22</v>
      </c>
      <c r="D13" s="118">
        <f>IFERROR(GETPIVOTDATA((CONCATENATE("Sum of ", D$8)),h5b!$A$3,"ReportingLevel","1:LA","lvl",$B13),0)</f>
        <v>58</v>
      </c>
      <c r="E13" s="118">
        <f>IFERROR(GETPIVOTDATA((CONCATENATE("Sum of ", E$8)),h5b!$A$3,"ReportingLevel","1:LA","lvl",$B13),0)</f>
        <v>172</v>
      </c>
      <c r="F13" s="108">
        <f>IFERROR(GETPIVOTDATA((CONCATENATE("Sum of ", F$8)),h5b!$A$3,"ReportingLevel","1:LA","lvl",$B13),0)</f>
        <v>252</v>
      </c>
    </row>
    <row r="14" spans="1:7" x14ac:dyDescent="0.25">
      <c r="A14" s="109" t="s">
        <v>308</v>
      </c>
      <c r="B14" s="64" t="s">
        <v>33</v>
      </c>
      <c r="C14" s="118">
        <f>IFERROR(GETPIVOTDATA((CONCATENATE("Sum of ", C$8)),h5b!$A$3,"ReportingLevel","1:LA","lvl",$B14),0)</f>
        <v>6</v>
      </c>
      <c r="D14" s="118">
        <f>IFERROR(GETPIVOTDATA((CONCATENATE("Sum of ", D$8)),h5b!$A$3,"ReportingLevel","1:LA","lvl",$B14),0)</f>
        <v>14</v>
      </c>
      <c r="E14" s="118">
        <f>IFERROR(GETPIVOTDATA((CONCATENATE("Sum of ", E$8)),h5b!$A$3,"ReportingLevel","1:LA","lvl",$B14),0)</f>
        <v>67</v>
      </c>
      <c r="F14" s="108">
        <f>IFERROR(GETPIVOTDATA((CONCATENATE("Sum of ", F$8)),h5b!$A$3,"ReportingLevel","1:LA","lvl",$B14),0)</f>
        <v>86</v>
      </c>
    </row>
    <row r="15" spans="1:7" x14ac:dyDescent="0.25">
      <c r="A15" s="109" t="s">
        <v>303</v>
      </c>
      <c r="B15" s="64" t="s">
        <v>34</v>
      </c>
      <c r="C15" s="118">
        <f>IFERROR(GETPIVOTDATA((CONCATENATE("Sum of ", C$8)),h5b!$A$3,"ReportingLevel","1:LA","lvl",$B15),0)</f>
        <v>12</v>
      </c>
      <c r="D15" s="118">
        <f>IFERROR(GETPIVOTDATA((CONCATENATE("Sum of ", D$8)),h5b!$A$3,"ReportingLevel","1:LA","lvl",$B15),0)</f>
        <v>22</v>
      </c>
      <c r="E15" s="118">
        <f>IFERROR(GETPIVOTDATA((CONCATENATE("Sum of ", E$8)),h5b!$A$3,"ReportingLevel","1:LA","lvl",$B15),0)</f>
        <v>126</v>
      </c>
      <c r="F15" s="108">
        <f>IFERROR(GETPIVOTDATA((CONCATENATE("Sum of ", F$8)),h5b!$A$3,"ReportingLevel","1:LA","lvl",$B15),0)</f>
        <v>160</v>
      </c>
    </row>
    <row r="16" spans="1:7" x14ac:dyDescent="0.25">
      <c r="A16" s="109" t="s">
        <v>304</v>
      </c>
      <c r="B16" s="64" t="s">
        <v>258</v>
      </c>
      <c r="C16" s="118">
        <f>IFERROR(GETPIVOTDATA((CONCATENATE("Sum of ", C$8)),h5b!$A$3,"ReportingLevel","1:LA","lvl",$B16),0)</f>
        <v>1</v>
      </c>
      <c r="D16" s="118">
        <f>IFERROR(GETPIVOTDATA((CONCATENATE("Sum of ", D$8)),h5b!$A$3,"ReportingLevel","1:LA","lvl",$B16),0)</f>
        <v>1</v>
      </c>
      <c r="E16" s="118">
        <f>IFERROR(GETPIVOTDATA((CONCATENATE("Sum of ", E$8)),h5b!$A$3,"ReportingLevel","1:LA","lvl",$B16),0)</f>
        <v>3</v>
      </c>
      <c r="F16" s="108">
        <f>IFERROR(GETPIVOTDATA((CONCATENATE("Sum of ", F$8)),h5b!$A$3,"ReportingLevel","1:LA","lvl",$B16),0)</f>
        <v>5</v>
      </c>
    </row>
    <row r="17" spans="1:6" x14ac:dyDescent="0.25">
      <c r="A17" s="109" t="s">
        <v>282</v>
      </c>
      <c r="B17" s="64" t="s">
        <v>35</v>
      </c>
      <c r="C17" s="118">
        <f>IFERROR(GETPIVOTDATA((CONCATENATE("Sum of ", C$8)),h5b!$A$3,"ReportingLevel","1:LA","lvl",$B17),0)</f>
        <v>2</v>
      </c>
      <c r="D17" s="118">
        <f>IFERROR(GETPIVOTDATA((CONCATENATE("Sum of ", D$8)),h5b!$A$3,"ReportingLevel","1:LA","lvl",$B17),0)</f>
        <v>4</v>
      </c>
      <c r="E17" s="118">
        <f>IFERROR(GETPIVOTDATA((CONCATENATE("Sum of ", E$8)),h5b!$A$3,"ReportingLevel","1:LA","lvl",$B17),0)</f>
        <v>13</v>
      </c>
      <c r="F17" s="108">
        <f>IFERROR(GETPIVOTDATA((CONCATENATE("Sum of ", F$8)),h5b!$A$3,"ReportingLevel","1:LA","lvl",$B17),0)</f>
        <v>19</v>
      </c>
    </row>
    <row r="18" spans="1:6" x14ac:dyDescent="0.25">
      <c r="A18" s="109" t="s">
        <v>283</v>
      </c>
      <c r="B18" s="64" t="s">
        <v>36</v>
      </c>
      <c r="C18" s="118">
        <f>IFERROR(GETPIVOTDATA((CONCATENATE("Sum of ", C$8)),h5b!$A$3,"ReportingLevel","1:LA","lvl",$B18),0)</f>
        <v>14</v>
      </c>
      <c r="D18" s="118">
        <f>IFERROR(GETPIVOTDATA((CONCATENATE("Sum of ", D$8)),h5b!$A$3,"ReportingLevel","1:LA","lvl",$B18),0)</f>
        <v>30</v>
      </c>
      <c r="E18" s="118">
        <f>IFERROR(GETPIVOTDATA((CONCATENATE("Sum of ", E$8)),h5b!$A$3,"ReportingLevel","1:LA","lvl",$B18),0)</f>
        <v>119</v>
      </c>
      <c r="F18" s="108">
        <f>IFERROR(GETPIVOTDATA((CONCATENATE("Sum of ", F$8)),h5b!$A$3,"ReportingLevel","1:LA","lvl",$B18),0)</f>
        <v>163</v>
      </c>
    </row>
    <row r="19" spans="1:6" x14ac:dyDescent="0.25">
      <c r="A19" s="109" t="s">
        <v>309</v>
      </c>
      <c r="B19" s="64" t="s">
        <v>37</v>
      </c>
      <c r="C19" s="118">
        <f>IFERROR(GETPIVOTDATA((CONCATENATE("Sum of ", C$8)),h5b!$A$3,"ReportingLevel","1:LA","lvl",$B19),0)</f>
        <v>1</v>
      </c>
      <c r="D19" s="118">
        <f>IFERROR(GETPIVOTDATA((CONCATENATE("Sum of ", D$8)),h5b!$A$3,"ReportingLevel","1:LA","lvl",$B19),0)</f>
        <v>2</v>
      </c>
      <c r="E19" s="118">
        <f>IFERROR(GETPIVOTDATA((CONCATENATE("Sum of ", E$8)),h5b!$A$3,"ReportingLevel","1:LA","lvl",$B19),0)</f>
        <v>8</v>
      </c>
      <c r="F19" s="108">
        <f>IFERROR(GETPIVOTDATA((CONCATENATE("Sum of ", F$8)),h5b!$A$3,"ReportingLevel","1:LA","lvl",$B19),0)</f>
        <v>10</v>
      </c>
    </row>
    <row r="20" spans="1:6" x14ac:dyDescent="0.25">
      <c r="A20" s="109" t="s">
        <v>284</v>
      </c>
      <c r="B20" s="64" t="s">
        <v>38</v>
      </c>
      <c r="C20" s="118">
        <f>IFERROR(GETPIVOTDATA((CONCATENATE("Sum of ", C$8)),h5b!$A$3,"ReportingLevel","1:LA","lvl",$B20),0)</f>
        <v>6</v>
      </c>
      <c r="D20" s="118">
        <f>IFERROR(GETPIVOTDATA((CONCATENATE("Sum of ", D$8)),h5b!$A$3,"ReportingLevel","1:LA","lvl",$B20),0)</f>
        <v>7</v>
      </c>
      <c r="E20" s="118">
        <f>IFERROR(GETPIVOTDATA((CONCATENATE("Sum of ", E$8)),h5b!$A$3,"ReportingLevel","1:LA","lvl",$B20),0)</f>
        <v>51</v>
      </c>
      <c r="F20" s="108">
        <f>IFERROR(GETPIVOTDATA((CONCATENATE("Sum of ", F$8)),h5b!$A$3,"ReportingLevel","1:LA","lvl",$B20),0)</f>
        <v>64</v>
      </c>
    </row>
    <row r="21" spans="1:6" x14ac:dyDescent="0.25">
      <c r="A21" s="109" t="s">
        <v>311</v>
      </c>
      <c r="B21" s="64" t="s">
        <v>39</v>
      </c>
      <c r="C21" s="118">
        <f>IFERROR(GETPIVOTDATA((CONCATENATE("Sum of ", C$8)),h5b!$A$3,"ReportingLevel","1:LA","lvl",$B21),0)</f>
        <v>0</v>
      </c>
      <c r="D21" s="118">
        <f>IFERROR(GETPIVOTDATA((CONCATENATE("Sum of ", D$8)),h5b!$A$3,"ReportingLevel","1:LA","lvl",$B21),0)</f>
        <v>0</v>
      </c>
      <c r="E21" s="118">
        <f>IFERROR(GETPIVOTDATA((CONCATENATE("Sum of ", E$8)),h5b!$A$3,"ReportingLevel","1:LA","lvl",$B21),0)</f>
        <v>0</v>
      </c>
      <c r="F21" s="108">
        <f>IFERROR(GETPIVOTDATA((CONCATENATE("Sum of ", F$8)),h5b!$A$3,"ReportingLevel","1:LA","lvl",$B21),0)</f>
        <v>0</v>
      </c>
    </row>
    <row r="22" spans="1:6" x14ac:dyDescent="0.25">
      <c r="A22" s="109" t="s">
        <v>285</v>
      </c>
      <c r="B22" s="64" t="s">
        <v>40</v>
      </c>
      <c r="C22" s="118">
        <f>IFERROR(GETPIVOTDATA((CONCATENATE("Sum of ", C$8)),h5b!$A$3,"ReportingLevel","1:LA","lvl",$B22),0)</f>
        <v>4</v>
      </c>
      <c r="D22" s="118">
        <f>IFERROR(GETPIVOTDATA((CONCATENATE("Sum of ", D$8)),h5b!$A$3,"ReportingLevel","1:LA","lvl",$B22),0)</f>
        <v>10</v>
      </c>
      <c r="E22" s="118">
        <f>IFERROR(GETPIVOTDATA((CONCATENATE("Sum of ", E$8)),h5b!$A$3,"ReportingLevel","1:LA","lvl",$B22),0)</f>
        <v>38</v>
      </c>
      <c r="F22" s="108">
        <f>IFERROR(GETPIVOTDATA((CONCATENATE("Sum of ", F$8)),h5b!$A$3,"ReportingLevel","1:LA","lvl",$B22),0)</f>
        <v>52</v>
      </c>
    </row>
    <row r="23" spans="1:6" x14ac:dyDescent="0.25">
      <c r="A23" s="109" t="s">
        <v>286</v>
      </c>
      <c r="B23" s="64" t="s">
        <v>41</v>
      </c>
      <c r="C23" s="118">
        <f>IFERROR(GETPIVOTDATA((CONCATENATE("Sum of ", C$8)),h5b!$A$3,"ReportingLevel","1:LA","lvl",$B23),0)</f>
        <v>0</v>
      </c>
      <c r="D23" s="118">
        <f>IFERROR(GETPIVOTDATA((CONCATENATE("Sum of ", D$8)),h5b!$A$3,"ReportingLevel","1:LA","lvl",$B23),0)</f>
        <v>0</v>
      </c>
      <c r="E23" s="118">
        <f>IFERROR(GETPIVOTDATA((CONCATENATE("Sum of ", E$8)),h5b!$A$3,"ReportingLevel","1:LA","lvl",$B23),0)</f>
        <v>0</v>
      </c>
      <c r="F23" s="108">
        <f>IFERROR(GETPIVOTDATA((CONCATENATE("Sum of ", F$8)),h5b!$A$3,"ReportingLevel","1:LA","lvl",$B23),0)</f>
        <v>0</v>
      </c>
    </row>
    <row r="24" spans="1:6" x14ac:dyDescent="0.25">
      <c r="A24" s="109" t="s">
        <v>288</v>
      </c>
      <c r="B24" s="64" t="s">
        <v>42</v>
      </c>
      <c r="C24" s="118">
        <f>IFERROR(GETPIVOTDATA((CONCATENATE("Sum of ", C$8)),h5b!$A$3,"ReportingLevel","1:LA","lvl",$B24),0)</f>
        <v>3</v>
      </c>
      <c r="D24" s="118">
        <f>IFERROR(GETPIVOTDATA((CONCATENATE("Sum of ", D$8)),h5b!$A$3,"ReportingLevel","1:LA","lvl",$B24),0)</f>
        <v>8</v>
      </c>
      <c r="E24" s="118">
        <f>IFERROR(GETPIVOTDATA((CONCATENATE("Sum of ", E$8)),h5b!$A$3,"ReportingLevel","1:LA","lvl",$B24),0)</f>
        <v>32</v>
      </c>
      <c r="F24" s="108">
        <f>IFERROR(GETPIVOTDATA((CONCATENATE("Sum of ", F$8)),h5b!$A$3,"ReportingLevel","1:LA","lvl",$B24),0)</f>
        <v>42</v>
      </c>
    </row>
    <row r="25" spans="1:6" x14ac:dyDescent="0.25">
      <c r="A25" s="109" t="s">
        <v>313</v>
      </c>
      <c r="B25" s="64" t="s">
        <v>43</v>
      </c>
      <c r="C25" s="118">
        <f>IFERROR(GETPIVOTDATA((CONCATENATE("Sum of ", C$8)),h5b!$A$3,"ReportingLevel","1:LA","lvl",$B25),0)</f>
        <v>9</v>
      </c>
      <c r="D25" s="118">
        <f>IFERROR(GETPIVOTDATA((CONCATENATE("Sum of ", D$8)),h5b!$A$3,"ReportingLevel","1:LA","lvl",$B25),0)</f>
        <v>17</v>
      </c>
      <c r="E25" s="118">
        <f>IFERROR(GETPIVOTDATA((CONCATENATE("Sum of ", E$8)),h5b!$A$3,"ReportingLevel","1:LA","lvl",$B25),0)</f>
        <v>71</v>
      </c>
      <c r="F25" s="108">
        <f>IFERROR(GETPIVOTDATA((CONCATENATE("Sum of ", F$8)),h5b!$A$3,"ReportingLevel","1:LA","lvl",$B25),0)</f>
        <v>97</v>
      </c>
    </row>
    <row r="26" spans="1:6" x14ac:dyDescent="0.25">
      <c r="A26" s="573" t="str">
        <f>IF(A9 = "2019-20","S12000049","S12000046")</f>
        <v>S12000049</v>
      </c>
      <c r="B26" s="64" t="s">
        <v>121</v>
      </c>
      <c r="C26" s="118">
        <f>IFERROR(GETPIVOTDATA((CONCATENATE("Sum of ", C$8)),h5b!$A$3,"ReportingLevel","1:LA","lvl",$B26),0)</f>
        <v>0</v>
      </c>
      <c r="D26" s="118">
        <f>IFERROR(GETPIVOTDATA((CONCATENATE("Sum of ", D$8)),h5b!$A$3,"ReportingLevel","1:LA","lvl",$B26),0)</f>
        <v>0</v>
      </c>
      <c r="E26" s="118">
        <f>IFERROR(GETPIVOTDATA((CONCATENATE("Sum of ", E$8)),h5b!$A$3,"ReportingLevel","1:LA","lvl",$B26),0)</f>
        <v>0</v>
      </c>
      <c r="F26" s="108">
        <f>IFERROR(GETPIVOTDATA((CONCATENATE("Sum of ", F$8)),h5b!$A$3,"ReportingLevel","1:LA","lvl",$B26),0)</f>
        <v>0</v>
      </c>
    </row>
    <row r="27" spans="1:6" x14ac:dyDescent="0.25">
      <c r="A27" s="573" t="s">
        <v>289</v>
      </c>
      <c r="B27" s="64" t="s">
        <v>44</v>
      </c>
      <c r="C27" s="118">
        <f>IFERROR(GETPIVOTDATA((CONCATENATE("Sum of ", C$8)),h5b!$A$3,"ReportingLevel","1:LA","lvl",$B27),0)</f>
        <v>50</v>
      </c>
      <c r="D27" s="118">
        <f>IFERROR(GETPIVOTDATA((CONCATENATE("Sum of ", D$8)),h5b!$A$3,"ReportingLevel","1:LA","lvl",$B27),0)</f>
        <v>87</v>
      </c>
      <c r="E27" s="118">
        <f>IFERROR(GETPIVOTDATA((CONCATENATE("Sum of ", E$8)),h5b!$A$3,"ReportingLevel","1:LA","lvl",$B27),0)</f>
        <v>340</v>
      </c>
      <c r="F27" s="108">
        <f>IFERROR(GETPIVOTDATA((CONCATENATE("Sum of ", F$8)),h5b!$A$3,"ReportingLevel","1:LA","lvl",$B27),0)</f>
        <v>477</v>
      </c>
    </row>
    <row r="28" spans="1:6" x14ac:dyDescent="0.25">
      <c r="A28" s="573" t="s">
        <v>290</v>
      </c>
      <c r="B28" s="64" t="s">
        <v>45</v>
      </c>
      <c r="C28" s="118">
        <f>IFERROR(GETPIVOTDATA((CONCATENATE("Sum of ", C$8)),h5b!$A$3,"ReportingLevel","1:LA","lvl",$B28),0)</f>
        <v>3</v>
      </c>
      <c r="D28" s="118">
        <f>IFERROR(GETPIVOTDATA((CONCATENATE("Sum of ", D$8)),h5b!$A$3,"ReportingLevel","1:LA","lvl",$B28),0)</f>
        <v>5</v>
      </c>
      <c r="E28" s="118">
        <f>IFERROR(GETPIVOTDATA((CONCATENATE("Sum of ", E$8)),h5b!$A$3,"ReportingLevel","1:LA","lvl",$B28),0)</f>
        <v>27</v>
      </c>
      <c r="F28" s="108">
        <f>IFERROR(GETPIVOTDATA((CONCATENATE("Sum of ", F$8)),h5b!$A$3,"ReportingLevel","1:LA","lvl",$B28),0)</f>
        <v>34</v>
      </c>
    </row>
    <row r="29" spans="1:6" x14ac:dyDescent="0.25">
      <c r="A29" s="573" t="s">
        <v>291</v>
      </c>
      <c r="B29" s="64" t="s">
        <v>46</v>
      </c>
      <c r="C29" s="118">
        <f>IFERROR(GETPIVOTDATA((CONCATENATE("Sum of ", C$8)),h5b!$A$3,"ReportingLevel","1:LA","lvl",$B29),0)</f>
        <v>1</v>
      </c>
      <c r="D29" s="118">
        <f>IFERROR(GETPIVOTDATA((CONCATENATE("Sum of ", D$8)),h5b!$A$3,"ReportingLevel","1:LA","lvl",$B29),0)</f>
        <v>2</v>
      </c>
      <c r="E29" s="118">
        <f>IFERROR(GETPIVOTDATA((CONCATENATE("Sum of ", E$8)),h5b!$A$3,"ReportingLevel","1:LA","lvl",$B29),0)</f>
        <v>8</v>
      </c>
      <c r="F29" s="108">
        <f>IFERROR(GETPIVOTDATA((CONCATENATE("Sum of ", F$8)),h5b!$A$3,"ReportingLevel","1:LA","lvl",$B29),0)</f>
        <v>10</v>
      </c>
    </row>
    <row r="30" spans="1:6" x14ac:dyDescent="0.25">
      <c r="A30" s="573" t="s">
        <v>292</v>
      </c>
      <c r="B30" s="64" t="s">
        <v>47</v>
      </c>
      <c r="C30" s="118">
        <f>IFERROR(GETPIVOTDATA((CONCATENATE("Sum of ", C$8)),h5b!$A$3,"ReportingLevel","1:LA","lvl",$B30),0)</f>
        <v>10</v>
      </c>
      <c r="D30" s="118">
        <f>IFERROR(GETPIVOTDATA((CONCATENATE("Sum of ", D$8)),h5b!$A$3,"ReportingLevel","1:LA","lvl",$B30),0)</f>
        <v>24</v>
      </c>
      <c r="E30" s="118">
        <f>IFERROR(GETPIVOTDATA((CONCATENATE("Sum of ", E$8)),h5b!$A$3,"ReportingLevel","1:LA","lvl",$B30),0)</f>
        <v>76</v>
      </c>
      <c r="F30" s="108">
        <f>IFERROR(GETPIVOTDATA((CONCATENATE("Sum of ", F$8)),h5b!$A$3,"ReportingLevel","1:LA","lvl",$B30),0)</f>
        <v>109</v>
      </c>
    </row>
    <row r="31" spans="1:6" x14ac:dyDescent="0.25">
      <c r="A31" s="573" t="s">
        <v>287</v>
      </c>
      <c r="B31" s="64" t="s">
        <v>48</v>
      </c>
      <c r="C31" s="118">
        <f>IFERROR(GETPIVOTDATA((CONCATENATE("Sum of ", C$8)),h5b!$A$3,"ReportingLevel","1:LA","lvl",$B31),0)</f>
        <v>14</v>
      </c>
      <c r="D31" s="118">
        <f>IFERROR(GETPIVOTDATA((CONCATENATE("Sum of ", D$8)),h5b!$A$3,"ReportingLevel","1:LA","lvl",$B31),0)</f>
        <v>29</v>
      </c>
      <c r="E31" s="118">
        <f>IFERROR(GETPIVOTDATA((CONCATENATE("Sum of ", E$8)),h5b!$A$3,"ReportingLevel","1:LA","lvl",$B31),0)</f>
        <v>86</v>
      </c>
      <c r="F31" s="108">
        <f>IFERROR(GETPIVOTDATA((CONCATENATE("Sum of ", F$8)),h5b!$A$3,"ReportingLevel","1:LA","lvl",$B31),0)</f>
        <v>128</v>
      </c>
    </row>
    <row r="32" spans="1:6" x14ac:dyDescent="0.25">
      <c r="A32" s="573" t="s">
        <v>293</v>
      </c>
      <c r="B32" s="64" t="s">
        <v>49</v>
      </c>
      <c r="C32" s="118">
        <f>IFERROR(GETPIVOTDATA((CONCATENATE("Sum of ", C$8)),h5b!$A$3,"ReportingLevel","1:LA","lvl",$B32),0)</f>
        <v>10</v>
      </c>
      <c r="D32" s="118">
        <f>IFERROR(GETPIVOTDATA((CONCATENATE("Sum of ", D$8)),h5b!$A$3,"ReportingLevel","1:LA","lvl",$B32),0)</f>
        <v>10</v>
      </c>
      <c r="E32" s="118">
        <f>IFERROR(GETPIVOTDATA((CONCATENATE("Sum of ", E$8)),h5b!$A$3,"ReportingLevel","1:LA","lvl",$B32),0)</f>
        <v>68</v>
      </c>
      <c r="F32" s="108">
        <f>IFERROR(GETPIVOTDATA((CONCATENATE("Sum of ", F$8)),h5b!$A$3,"ReportingLevel","1:LA","lvl",$B32),0)</f>
        <v>88</v>
      </c>
    </row>
    <row r="33" spans="1:6" x14ac:dyDescent="0.25">
      <c r="A33" s="573" t="str">
        <f>IF(A9="2019-20","S12000050","S12000044")</f>
        <v>S12000050</v>
      </c>
      <c r="B33" s="64" t="s">
        <v>50</v>
      </c>
      <c r="C33" s="118">
        <f>IFERROR(GETPIVOTDATA((CONCATENATE("Sum of ", C$8)),h5b!$A$3,"ReportingLevel","1:LA","lvl",$B33),0)</f>
        <v>2</v>
      </c>
      <c r="D33" s="118">
        <f>IFERROR(GETPIVOTDATA((CONCATENATE("Sum of ", D$8)),h5b!$A$3,"ReportingLevel","1:LA","lvl",$B33),0)</f>
        <v>4</v>
      </c>
      <c r="E33" s="118">
        <f>IFERROR(GETPIVOTDATA((CONCATENATE("Sum of ", E$8)),h5b!$A$3,"ReportingLevel","1:LA","lvl",$B33),0)</f>
        <v>21</v>
      </c>
      <c r="F33" s="108">
        <f>IFERROR(GETPIVOTDATA((CONCATENATE("Sum of ", F$8)),h5b!$A$3,"ReportingLevel","1:LA","lvl",$B33),0)</f>
        <v>27</v>
      </c>
    </row>
    <row r="34" spans="1:6" x14ac:dyDescent="0.25">
      <c r="A34" s="109" t="s">
        <v>294</v>
      </c>
      <c r="B34" s="64" t="s">
        <v>51</v>
      </c>
      <c r="C34" s="118">
        <f>IFERROR(GETPIVOTDATA((CONCATENATE("Sum of ", C$8)),h5b!$A$3,"ReportingLevel","1:LA","lvl",$B34),0)</f>
        <v>9</v>
      </c>
      <c r="D34" s="118">
        <f>IFERROR(GETPIVOTDATA((CONCATENATE("Sum of ", D$8)),h5b!$A$3,"ReportingLevel","1:LA","lvl",$B34),0)</f>
        <v>22</v>
      </c>
      <c r="E34" s="118">
        <f>IFERROR(GETPIVOTDATA((CONCATENATE("Sum of ", E$8)),h5b!$A$3,"ReportingLevel","1:LA","lvl",$B34),0)</f>
        <v>76</v>
      </c>
      <c r="F34" s="108">
        <f>IFERROR(GETPIVOTDATA((CONCATENATE("Sum of ", F$8)),h5b!$A$3,"ReportingLevel","1:LA","lvl",$B34),0)</f>
        <v>106</v>
      </c>
    </row>
    <row r="35" spans="1:6" x14ac:dyDescent="0.25">
      <c r="A35" s="109" t="s">
        <v>295</v>
      </c>
      <c r="B35" s="64" t="s">
        <v>52</v>
      </c>
      <c r="C35" s="118">
        <f>IFERROR(GETPIVOTDATA((CONCATENATE("Sum of ", C$8)),h5b!$A$3,"ReportingLevel","1:LA","lvl",$B35),0)</f>
        <v>9</v>
      </c>
      <c r="D35" s="118">
        <f>IFERROR(GETPIVOTDATA((CONCATENATE("Sum of ", D$8)),h5b!$A$3,"ReportingLevel","1:LA","lvl",$B35),0)</f>
        <v>20</v>
      </c>
      <c r="E35" s="118">
        <f>IFERROR(GETPIVOTDATA((CONCATENATE("Sum of ", E$8)),h5b!$A$3,"ReportingLevel","1:LA","lvl",$B35),0)</f>
        <v>83</v>
      </c>
      <c r="F35" s="108">
        <f>IFERROR(GETPIVOTDATA((CONCATENATE("Sum of ", F$8)),h5b!$A$3,"ReportingLevel","1:LA","lvl",$B35),0)</f>
        <v>112</v>
      </c>
    </row>
    <row r="36" spans="1:6" x14ac:dyDescent="0.25">
      <c r="A36" s="109" t="s">
        <v>305</v>
      </c>
      <c r="B36" s="64" t="s">
        <v>53</v>
      </c>
      <c r="C36" s="118">
        <f>IFERROR(GETPIVOTDATA((CONCATENATE("Sum of ", C$8)),h5b!$A$3,"ReportingLevel","1:LA","lvl",$B36),0)</f>
        <v>1</v>
      </c>
      <c r="D36" s="118">
        <f>IFERROR(GETPIVOTDATA((CONCATENATE("Sum of ", D$8)),h5b!$A$3,"ReportingLevel","1:LA","lvl",$B36),0)</f>
        <v>2</v>
      </c>
      <c r="E36" s="118">
        <f>IFERROR(GETPIVOTDATA((CONCATENATE("Sum of ", E$8)),h5b!$A$3,"ReportingLevel","1:LA","lvl",$B36),0)</f>
        <v>9</v>
      </c>
      <c r="F36" s="108">
        <f>IFERROR(GETPIVOTDATA((CONCATENATE("Sum of ", F$8)),h5b!$A$3,"ReportingLevel","1:LA","lvl",$B36),0)</f>
        <v>11</v>
      </c>
    </row>
    <row r="37" spans="1:6" x14ac:dyDescent="0.25">
      <c r="A37" s="109" t="s">
        <v>296</v>
      </c>
      <c r="B37" s="64" t="s">
        <v>54</v>
      </c>
      <c r="C37" s="118">
        <f>IFERROR(GETPIVOTDATA((CONCATENATE("Sum of ", C$8)),h5b!$A$3,"ReportingLevel","1:LA","lvl",$B37),0)</f>
        <v>11</v>
      </c>
      <c r="D37" s="118">
        <f>IFERROR(GETPIVOTDATA((CONCATENATE("Sum of ", D$8)),h5b!$A$3,"ReportingLevel","1:LA","lvl",$B37),0)</f>
        <v>25</v>
      </c>
      <c r="E37" s="118">
        <f>IFERROR(GETPIVOTDATA((CONCATENATE("Sum of ", E$8)),h5b!$A$3,"ReportingLevel","1:LA","lvl",$B37),0)</f>
        <v>85</v>
      </c>
      <c r="F37" s="108">
        <f>IFERROR(GETPIVOTDATA((CONCATENATE("Sum of ", F$8)),h5b!$A$3,"ReportingLevel","1:LA","lvl",$B37),0)</f>
        <v>121</v>
      </c>
    </row>
    <row r="38" spans="1:6" x14ac:dyDescent="0.25">
      <c r="A38" s="109" t="s">
        <v>297</v>
      </c>
      <c r="B38" s="64" t="s">
        <v>55</v>
      </c>
      <c r="C38" s="118">
        <f>IFERROR(GETPIVOTDATA((CONCATENATE("Sum of ", C$8)),h5b!$A$3,"ReportingLevel","1:LA","lvl",$B38),0)</f>
        <v>11</v>
      </c>
      <c r="D38" s="118">
        <f>IFERROR(GETPIVOTDATA((CONCATENATE("Sum of ", D$8)),h5b!$A$3,"ReportingLevel","1:LA","lvl",$B38),0)</f>
        <v>23</v>
      </c>
      <c r="E38" s="118">
        <f>IFERROR(GETPIVOTDATA((CONCATENATE("Sum of ", E$8)),h5b!$A$3,"ReportingLevel","1:LA","lvl",$B38),0)</f>
        <v>88</v>
      </c>
      <c r="F38" s="108">
        <f>IFERROR(GETPIVOTDATA((CONCATENATE("Sum of ", F$8)),h5b!$A$3,"ReportingLevel","1:LA","lvl",$B38),0)</f>
        <v>121</v>
      </c>
    </row>
    <row r="39" spans="1:6" x14ac:dyDescent="0.25">
      <c r="A39" s="109" t="s">
        <v>298</v>
      </c>
      <c r="B39" s="64" t="s">
        <v>56</v>
      </c>
      <c r="C39" s="118">
        <f>IFERROR(GETPIVOTDATA((CONCATENATE("Sum of ", C$8)),h5b!$A$3,"ReportingLevel","1:LA","lvl",$B39),0)</f>
        <v>4</v>
      </c>
      <c r="D39" s="118">
        <f>IFERROR(GETPIVOTDATA((CONCATENATE("Sum of ", D$8)),h5b!$A$3,"ReportingLevel","1:LA","lvl",$B39),0)</f>
        <v>6</v>
      </c>
      <c r="E39" s="118">
        <f>IFERROR(GETPIVOTDATA((CONCATENATE("Sum of ", E$8)),h5b!$A$3,"ReportingLevel","1:LA","lvl",$B39),0)</f>
        <v>36</v>
      </c>
      <c r="F39" s="108">
        <f>IFERROR(GETPIVOTDATA((CONCATENATE("Sum of ", F$8)),h5b!$A$3,"ReportingLevel","1:LA","lvl",$B39),0)</f>
        <v>46</v>
      </c>
    </row>
    <row r="40" spans="1:6" x14ac:dyDescent="0.25">
      <c r="A40" s="109" t="s">
        <v>299</v>
      </c>
      <c r="B40" s="64" t="s">
        <v>57</v>
      </c>
      <c r="C40" s="118">
        <f>IFERROR(GETPIVOTDATA((CONCATENATE("Sum of ", C$8)),h5b!$A$3,"ReportingLevel","1:LA","lvl",$B40),0)</f>
        <v>6</v>
      </c>
      <c r="D40" s="118">
        <f>IFERROR(GETPIVOTDATA((CONCATENATE("Sum of ", D$8)),h5b!$A$3,"ReportingLevel","1:LA","lvl",$B40),0)</f>
        <v>7</v>
      </c>
      <c r="E40" s="118">
        <f>IFERROR(GETPIVOTDATA((CONCATENATE("Sum of ", E$8)),h5b!$A$3,"ReportingLevel","1:LA","lvl",$B40),0)</f>
        <v>56</v>
      </c>
      <c r="F40" s="108">
        <f>IFERROR(GETPIVOTDATA((CONCATENATE("Sum of ", F$8)),h5b!$A$3,"ReportingLevel","1:LA","lvl",$B40),0)</f>
        <v>70</v>
      </c>
    </row>
    <row r="41" spans="1:6" x14ac:dyDescent="0.25">
      <c r="A41" s="109" t="s">
        <v>300</v>
      </c>
      <c r="B41" s="64" t="s">
        <v>58</v>
      </c>
      <c r="C41" s="118">
        <f>IFERROR(GETPIVOTDATA((CONCATENATE("Sum of ", C$8)),h5b!$A$3,"ReportingLevel","1:LA","lvl",$B41),0)</f>
        <v>8</v>
      </c>
      <c r="D41" s="118">
        <f>IFERROR(GETPIVOTDATA((CONCATENATE("Sum of ", D$8)),h5b!$A$3,"ReportingLevel","1:LA","lvl",$B41),0)</f>
        <v>13</v>
      </c>
      <c r="E41" s="118">
        <f>IFERROR(GETPIVOTDATA((CONCATENATE("Sum of ", E$8)),h5b!$A$3,"ReportingLevel","1:LA","lvl",$B41),0)</f>
        <v>44</v>
      </c>
      <c r="F41" s="108">
        <f>IFERROR(GETPIVOTDATA((CONCATENATE("Sum of ", F$8)),h5b!$A$3,"ReportingLevel","1:LA","lvl",$B41),0)</f>
        <v>65</v>
      </c>
    </row>
    <row r="42" spans="1:6" x14ac:dyDescent="0.25">
      <c r="A42" s="109" t="s">
        <v>306</v>
      </c>
      <c r="B42" s="64" t="s">
        <v>59</v>
      </c>
      <c r="C42" s="118">
        <f>IFERROR(GETPIVOTDATA((CONCATENATE("Sum of ", C$8)),h5b!$A$3,"ReportingLevel","1:LA","lvl",$B42),0)</f>
        <v>2</v>
      </c>
      <c r="D42" s="118">
        <f>IFERROR(GETPIVOTDATA((CONCATENATE("Sum of ", D$8)),h5b!$A$3,"ReportingLevel","1:LA","lvl",$B42),0)</f>
        <v>2</v>
      </c>
      <c r="E42" s="118">
        <f>IFERROR(GETPIVOTDATA((CONCATENATE("Sum of ", E$8)),h5b!$A$3,"ReportingLevel","1:LA","lvl",$B42),0)</f>
        <v>13</v>
      </c>
      <c r="F42" s="108">
        <f>IFERROR(GETPIVOTDATA((CONCATENATE("Sum of ", F$8)),h5b!$A$3,"ReportingLevel","1:LA","lvl",$B42),0)</f>
        <v>16</v>
      </c>
    </row>
    <row r="43" spans="1:6" x14ac:dyDescent="0.25">
      <c r="A43" s="109" t="s">
        <v>307</v>
      </c>
      <c r="B43" s="64" t="s">
        <v>60</v>
      </c>
      <c r="C43" s="118">
        <f>IFERROR(GETPIVOTDATA((CONCATENATE("Sum of ", C$8)),h5b!$A$3,"ReportingLevel","1:LA","lvl",$B43),0)</f>
        <v>5</v>
      </c>
      <c r="D43" s="118">
        <f>IFERROR(GETPIVOTDATA((CONCATENATE("Sum of ", D$8)),h5b!$A$3,"ReportingLevel","1:LA","lvl",$B43),0)</f>
        <v>8</v>
      </c>
      <c r="E43" s="118">
        <f>IFERROR(GETPIVOTDATA((CONCATENATE("Sum of ", E$8)),h5b!$A$3,"ReportingLevel","1:LA","lvl",$B43),0)</f>
        <v>37</v>
      </c>
      <c r="F43" s="108">
        <f>IFERROR(GETPIVOTDATA((CONCATENATE("Sum of ", F$8)),h5b!$A$3,"ReportingLevel","1:LA","lvl",$B43),0)</f>
        <v>50</v>
      </c>
    </row>
    <row r="44" spans="1:6" ht="15.75" thickBot="1" x14ac:dyDescent="0.3">
      <c r="A44" s="682"/>
      <c r="B44" s="62" t="s">
        <v>61</v>
      </c>
      <c r="C44" s="442">
        <f>IFERROR(GETPIVOTDATA((CONCATENATE("Sum of ", C$8)),h5b!$A$3,"ReportingLevel","1:LA","lvl","ALL"),0)</f>
        <v>236</v>
      </c>
      <c r="D44" s="442">
        <f>IFERROR(GETPIVOTDATA((CONCATENATE("Sum of ", D$8)),h5b!$A$3,"ReportingLevel","1:LA","lvl","ALL"),0)</f>
        <v>460</v>
      </c>
      <c r="E44" s="442">
        <f>IFERROR(GETPIVOTDATA((CONCATENATE("Sum of ", E$8)),h5b!$A$3,"ReportingLevel","1:LA","lvl","ALL"),0)</f>
        <v>1855</v>
      </c>
      <c r="F44" s="442">
        <f>IFERROR(GETPIVOTDATA((CONCATENATE("Sum of ", F$8)),h5b!$A$3,"ReportingLevel","1:LA","lvl","ALL"),0)</f>
        <v>2552</v>
      </c>
    </row>
    <row r="45" spans="1:6" x14ac:dyDescent="0.25">
      <c r="B45" s="99"/>
      <c r="C45" s="371"/>
      <c r="D45" s="371"/>
      <c r="E45" s="371"/>
      <c r="F45" s="371"/>
    </row>
    <row r="46" spans="1:6" x14ac:dyDescent="0.25">
      <c r="A46" s="690" t="s">
        <v>8</v>
      </c>
      <c r="B46" s="677"/>
      <c r="C46" s="677"/>
      <c r="D46" s="677"/>
      <c r="E46" s="677"/>
    </row>
    <row r="47" spans="1:6" x14ac:dyDescent="0.25">
      <c r="A47" s="687" t="s">
        <v>226</v>
      </c>
    </row>
    <row r="48" spans="1:6" x14ac:dyDescent="0.25">
      <c r="A48" s="544" t="s">
        <v>227</v>
      </c>
    </row>
    <row r="49" spans="1:10" ht="45" customHeight="1" x14ac:dyDescent="0.25">
      <c r="A49" s="1096" t="s">
        <v>974</v>
      </c>
      <c r="B49" s="1096"/>
      <c r="C49" s="1096"/>
      <c r="D49" s="1096"/>
      <c r="E49" s="1096"/>
      <c r="F49" s="1096"/>
      <c r="G49" s="1096"/>
      <c r="H49" s="1096"/>
      <c r="I49" s="1096"/>
      <c r="J49" s="547"/>
    </row>
    <row r="50" spans="1:10" x14ac:dyDescent="0.25">
      <c r="B50" s="506"/>
    </row>
    <row r="51" spans="1:10" x14ac:dyDescent="0.25">
      <c r="E51" s="544"/>
    </row>
  </sheetData>
  <sheetProtection algorithmName="SHA-512" hashValue="BBCuWUFrxcscIVvtxFU44ZbqfvV/QpCZ0oiGP8suJ2+ocjTOyWU5FXzH7NQY9Ryd51Cgv2H0mw4CEZ1DRuxJNA==" saltValue="ZcOIGrxq7uV8p7j/1naHYQ==" spinCount="100000" sheet="1" scenarios="1" formatCells="0" formatColumns="0" formatRows="0" sort="0" autoFilter="0" pivotTables="0"/>
  <mergeCells count="2">
    <mergeCell ref="A1:G1"/>
    <mergeCell ref="A49:I4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pageSetUpPr fitToPage="1"/>
  </sheetPr>
  <dimension ref="A1:XFC50"/>
  <sheetViews>
    <sheetView showGridLines="0" workbookViewId="0">
      <pane ySplit="2" topLeftCell="A3" activePane="bottomLeft" state="frozen"/>
      <selection pane="bottomLeft" sqref="A1:H1"/>
    </sheetView>
  </sheetViews>
  <sheetFormatPr defaultRowHeight="15" x14ac:dyDescent="0.25"/>
  <cols>
    <col min="1" max="1" width="17.28515625" customWidth="1"/>
    <col min="2" max="2" width="58.7109375" customWidth="1"/>
    <col min="3" max="10" width="12.7109375" customWidth="1"/>
  </cols>
  <sheetData>
    <row r="1" spans="1:16383" ht="15.75" x14ac:dyDescent="0.25">
      <c r="A1" s="1077" t="s">
        <v>505</v>
      </c>
      <c r="B1" s="1077"/>
      <c r="C1" s="1077"/>
      <c r="D1" s="1077"/>
      <c r="E1" s="1077"/>
      <c r="F1" s="1077"/>
      <c r="G1" s="1077"/>
      <c r="H1" s="1077"/>
    </row>
    <row r="2" spans="1:16383" ht="15.75" x14ac:dyDescent="0.25">
      <c r="A2" s="772" t="s">
        <v>578</v>
      </c>
      <c r="C2" s="660"/>
      <c r="D2" s="660"/>
      <c r="E2" s="660"/>
      <c r="F2" s="660"/>
      <c r="G2" s="660"/>
      <c r="H2" s="660"/>
    </row>
    <row r="3" spans="1:16383" ht="15.75" x14ac:dyDescent="0.25">
      <c r="C3" s="660"/>
      <c r="D3" s="660"/>
      <c r="E3" s="660"/>
      <c r="F3" s="660"/>
      <c r="G3" s="660"/>
      <c r="H3" s="660"/>
    </row>
    <row r="4" spans="1:16383" ht="31.5" customHeight="1" x14ac:dyDescent="0.25">
      <c r="A4" s="676" t="s">
        <v>527</v>
      </c>
      <c r="B4" s="676"/>
      <c r="C4" s="676"/>
      <c r="D4" s="676"/>
      <c r="E4" s="676"/>
      <c r="F4" s="676"/>
      <c r="G4" s="676"/>
      <c r="H4" s="676"/>
      <c r="I4" s="676"/>
      <c r="J4" s="101"/>
    </row>
    <row r="5" spans="1:16383" ht="15" customHeight="1" x14ac:dyDescent="0.25">
      <c r="A5" t="s">
        <v>363</v>
      </c>
      <c r="B5" t="s">
        <v>753</v>
      </c>
      <c r="C5" s="676"/>
      <c r="D5" s="676"/>
      <c r="E5" s="676"/>
      <c r="F5" s="676"/>
      <c r="G5" s="676"/>
      <c r="H5" s="676"/>
      <c r="I5" s="676"/>
      <c r="J5" s="101"/>
    </row>
    <row r="6" spans="1:16383" ht="15" customHeight="1" x14ac:dyDescent="0.25">
      <c r="A6" t="s">
        <v>364</v>
      </c>
      <c r="B6" t="s">
        <v>366</v>
      </c>
      <c r="C6" s="676"/>
      <c r="D6" s="676"/>
      <c r="E6" s="676"/>
      <c r="F6" s="676"/>
      <c r="G6" s="676"/>
      <c r="H6" s="676"/>
      <c r="I6" s="676"/>
      <c r="J6" s="101"/>
    </row>
    <row r="7" spans="1:16383" ht="15" customHeight="1" x14ac:dyDescent="0.25">
      <c r="A7" t="s">
        <v>365</v>
      </c>
      <c r="B7" t="s">
        <v>367</v>
      </c>
      <c r="C7" s="676"/>
      <c r="D7" s="676"/>
      <c r="E7" s="676"/>
      <c r="F7" s="676"/>
      <c r="G7" s="676"/>
      <c r="H7" s="676"/>
      <c r="I7" s="676"/>
      <c r="J7" s="101"/>
    </row>
    <row r="8" spans="1:16383" ht="25.5" x14ac:dyDescent="0.25">
      <c r="A8" s="102" t="s">
        <v>513</v>
      </c>
      <c r="B8" s="102" t="s">
        <v>218</v>
      </c>
      <c r="C8" s="103" t="s">
        <v>968</v>
      </c>
      <c r="D8" s="103" t="s">
        <v>969</v>
      </c>
      <c r="E8" s="103" t="s">
        <v>970</v>
      </c>
      <c r="F8" s="103" t="s">
        <v>971</v>
      </c>
      <c r="G8" s="103" t="s">
        <v>972</v>
      </c>
      <c r="H8" s="103" t="s">
        <v>80</v>
      </c>
      <c r="I8" s="722" t="s">
        <v>26</v>
      </c>
    </row>
    <row r="9" spans="1:16383" ht="15.75" thickBot="1" x14ac:dyDescent="0.3">
      <c r="A9" s="682" t="s">
        <v>382</v>
      </c>
      <c r="B9" s="98" t="s">
        <v>517</v>
      </c>
      <c r="C9" s="443">
        <f>GETPIVOTDATA("Sum of Area Manager",h5cd!$A$3,"ReportingLevel","4:National","lvl","Scotland")</f>
        <v>1</v>
      </c>
      <c r="D9" s="443">
        <f>GETPIVOTDATA("Sum of Group Manager",h5cd!$A$3,"ReportingLevel","4:National","lvl","Scotland")</f>
        <v>4</v>
      </c>
      <c r="E9" s="443">
        <f>GETPIVOTDATA("Sum of Station Manager",h5cd!$A$3,"ReportingLevel","4:National","lvl","Scotland")</f>
        <v>8</v>
      </c>
      <c r="F9" s="443">
        <f>GETPIVOTDATA("Sum of Watch Manager",h5cd!$A$3,"ReportingLevel","4:National","lvl","Scotland")</f>
        <v>45</v>
      </c>
      <c r="G9" s="443">
        <f>GETPIVOTDATA("Sum of Crew Manager",h5cd!$A$3,"ReportingLevel","4:National","lvl","Scotland")</f>
        <v>26</v>
      </c>
      <c r="H9" s="443">
        <f>GETPIVOTDATA("Sum of Control Operator",h5cd!$A$3,"ReportingLevel","4:National","lvl","Scotland")</f>
        <v>100</v>
      </c>
      <c r="I9" s="723">
        <f>GETPIVOTDATA("Sum of Total",h5cd!$A$3,"ReportingLevel","4:National","lvl","Scotland")</f>
        <v>184</v>
      </c>
      <c r="K9" s="108"/>
      <c r="L9" s="108"/>
      <c r="M9" s="108"/>
      <c r="N9" s="108"/>
      <c r="O9" s="108"/>
      <c r="P9" s="108"/>
      <c r="Q9" s="108"/>
      <c r="R9" s="108"/>
    </row>
    <row r="10" spans="1:16383" x14ac:dyDescent="0.25">
      <c r="B10" s="100"/>
      <c r="C10" s="28"/>
      <c r="D10" s="28"/>
      <c r="E10" s="28"/>
      <c r="F10" s="28"/>
      <c r="G10" s="28"/>
      <c r="H10" s="28"/>
      <c r="I10" s="13"/>
      <c r="J10" s="44"/>
    </row>
    <row r="11" spans="1:16383" x14ac:dyDescent="0.25">
      <c r="A11" s="549" t="s">
        <v>8</v>
      </c>
      <c r="C11" s="28"/>
      <c r="D11" s="28"/>
      <c r="E11" s="28"/>
      <c r="F11" s="28"/>
      <c r="G11" s="28"/>
      <c r="H11" s="28"/>
      <c r="I11" s="13"/>
      <c r="J11" s="44"/>
    </row>
    <row r="12" spans="1:16383" x14ac:dyDescent="0.25">
      <c r="A12" s="687" t="s">
        <v>226</v>
      </c>
      <c r="B12" s="566"/>
      <c r="C12" s="694"/>
      <c r="D12" s="694"/>
      <c r="E12" s="694"/>
      <c r="F12" s="694"/>
      <c r="G12" s="694"/>
      <c r="H12" s="694"/>
      <c r="I12" s="694"/>
      <c r="J12" s="694"/>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U12" s="16"/>
      <c r="XEV12" s="16"/>
      <c r="XEW12" s="16"/>
      <c r="XEX12" s="16"/>
      <c r="XEY12" s="16"/>
      <c r="XEZ12" s="16"/>
      <c r="XFA12" s="16"/>
      <c r="XFB12" s="16"/>
      <c r="XFC12" s="16"/>
    </row>
    <row r="13" spans="1:16383" ht="15.75" x14ac:dyDescent="0.25">
      <c r="A13" s="695" t="s">
        <v>227</v>
      </c>
      <c r="B13" s="696"/>
      <c r="C13" s="688"/>
      <c r="D13" s="688"/>
      <c r="E13" s="688"/>
      <c r="F13" s="688"/>
      <c r="G13" s="688"/>
      <c r="H13" s="688"/>
      <c r="I13" s="688"/>
      <c r="J13" s="697"/>
    </row>
    <row r="14" spans="1:16383" ht="15.75" x14ac:dyDescent="0.25">
      <c r="A14" s="672" t="s">
        <v>232</v>
      </c>
      <c r="B14" s="696"/>
      <c r="C14" s="688"/>
      <c r="D14" s="688"/>
      <c r="E14" s="688"/>
      <c r="F14" s="688"/>
      <c r="G14" s="688"/>
      <c r="H14" s="688"/>
      <c r="I14" s="688"/>
      <c r="J14" s="697"/>
    </row>
    <row r="15" spans="1:16383" ht="47.25" customHeight="1" x14ac:dyDescent="0.25">
      <c r="A15" s="1096" t="s">
        <v>974</v>
      </c>
      <c r="B15" s="1096"/>
      <c r="C15" s="1096"/>
      <c r="D15" s="1096"/>
      <c r="E15" s="1096"/>
      <c r="F15" s="1096"/>
      <c r="G15" s="1096"/>
      <c r="H15" s="1096"/>
      <c r="I15" s="1096"/>
      <c r="J15" s="697"/>
    </row>
    <row r="16" spans="1:16383" x14ac:dyDescent="0.25">
      <c r="A16" s="977"/>
      <c r="B16" s="977"/>
      <c r="C16" s="977"/>
      <c r="D16" s="977"/>
      <c r="E16" s="977"/>
      <c r="F16" s="977"/>
      <c r="G16" s="977"/>
      <c r="H16" s="977"/>
      <c r="I16" s="977"/>
      <c r="J16" s="697"/>
    </row>
    <row r="17" spans="1:10" ht="37.5" customHeight="1" x14ac:dyDescent="0.25">
      <c r="A17" s="676" t="s">
        <v>528</v>
      </c>
      <c r="B17" s="676"/>
      <c r="C17" s="676"/>
      <c r="D17" s="676"/>
      <c r="E17" s="676"/>
      <c r="F17" s="676"/>
      <c r="G17" s="676"/>
      <c r="H17" s="676"/>
      <c r="I17" s="676"/>
      <c r="J17" s="101"/>
    </row>
    <row r="18" spans="1:10" ht="15" customHeight="1" x14ac:dyDescent="0.25">
      <c r="A18" t="s">
        <v>363</v>
      </c>
      <c r="B18" t="s">
        <v>754</v>
      </c>
      <c r="C18" s="676"/>
      <c r="D18" s="676"/>
      <c r="E18" s="676"/>
      <c r="F18" s="676"/>
      <c r="G18" s="676"/>
      <c r="H18" s="676"/>
      <c r="I18" s="676"/>
      <c r="J18" s="101"/>
    </row>
    <row r="19" spans="1:10" ht="15" customHeight="1" x14ac:dyDescent="0.25">
      <c r="A19" t="s">
        <v>364</v>
      </c>
      <c r="B19" t="s">
        <v>366</v>
      </c>
      <c r="C19" s="676"/>
      <c r="D19" s="676"/>
      <c r="E19" s="676"/>
      <c r="F19" s="676"/>
      <c r="G19" s="676"/>
      <c r="H19" s="676"/>
      <c r="I19" s="676"/>
      <c r="J19" s="101"/>
    </row>
    <row r="20" spans="1:10" ht="15" customHeight="1" x14ac:dyDescent="0.25">
      <c r="A20" t="s">
        <v>365</v>
      </c>
      <c r="B20" t="s">
        <v>367</v>
      </c>
      <c r="C20" s="676"/>
      <c r="D20" s="676"/>
      <c r="E20" s="676"/>
      <c r="F20" s="676"/>
      <c r="G20" s="676"/>
      <c r="H20" s="676"/>
      <c r="I20" s="676"/>
      <c r="J20" s="101"/>
    </row>
    <row r="21" spans="1:10" ht="26.25" x14ac:dyDescent="0.25">
      <c r="B21" s="102" t="s">
        <v>218</v>
      </c>
      <c r="C21" s="47" t="s">
        <v>210</v>
      </c>
      <c r="D21" s="47" t="s">
        <v>81</v>
      </c>
      <c r="E21" s="47" t="s">
        <v>82</v>
      </c>
      <c r="F21" s="47" t="s">
        <v>83</v>
      </c>
      <c r="G21" s="47" t="s">
        <v>84</v>
      </c>
      <c r="H21" s="47" t="s">
        <v>85</v>
      </c>
      <c r="I21" s="47" t="s">
        <v>86</v>
      </c>
      <c r="J21" s="722" t="s">
        <v>26</v>
      </c>
    </row>
    <row r="22" spans="1:10" ht="15.75" thickBot="1" x14ac:dyDescent="0.3">
      <c r="B22" s="98" t="s">
        <v>517</v>
      </c>
      <c r="C22" s="442">
        <f>GETPIVOTDATA("Sum of Director",h5cd!$A$30,"ReportingLevel","Total","lvl","Scotland")</f>
        <v>3</v>
      </c>
      <c r="D22" s="442">
        <f>GETPIVOTDATA("Sum of Service Manager",h5cd!$A$30,"ReportingLevel","Total","lvl","Scotland")</f>
        <v>47</v>
      </c>
      <c r="E22" s="442">
        <f>GETPIVOTDATA("Sum of Team Leader",h5cd!$A$30,"ReportingLevel","Total","lvl","Scotland")</f>
        <v>32</v>
      </c>
      <c r="F22" s="442">
        <f>GETPIVOTDATA("Sum of Professional",h5cd!$A$30,"ReportingLevel","Total","lvl","Scotland")</f>
        <v>89</v>
      </c>
      <c r="G22" s="442">
        <f>GETPIVOTDATA("Sum of Specialist Technical",h5cd!$A$30,"ReportingLevel","Total","lvl","Scotland")</f>
        <v>383</v>
      </c>
      <c r="H22" s="442">
        <f>GETPIVOTDATA("Sum of Tech Support",h5cd!$A$30,"ReportingLevel","Total","lvl","Scotland")</f>
        <v>57</v>
      </c>
      <c r="I22" s="442">
        <f>GETPIVOTDATA("Sum of Administration",h5cd!$A$30,"ReportingLevel","Total","lvl","Scotland")</f>
        <v>155</v>
      </c>
      <c r="J22" s="723">
        <f>GETPIVOTDATA("Sum of Total",h5cd!$A$30,"ReportingLevel","Total","lvl","Scotland")</f>
        <v>765</v>
      </c>
    </row>
    <row r="23" spans="1:10" x14ac:dyDescent="0.25">
      <c r="B23" s="100"/>
      <c r="C23" s="100"/>
      <c r="D23" s="107"/>
      <c r="E23" s="107"/>
      <c r="F23" s="107"/>
      <c r="G23" s="107"/>
      <c r="H23" s="107"/>
    </row>
    <row r="24" spans="1:10" x14ac:dyDescent="0.25">
      <c r="A24" s="52" t="s">
        <v>368</v>
      </c>
      <c r="B24" s="52" t="s">
        <v>73</v>
      </c>
      <c r="C24" s="52"/>
      <c r="D24" s="2"/>
      <c r="E24" s="2"/>
      <c r="F24" s="2"/>
      <c r="G24" s="2"/>
      <c r="H24" s="2"/>
    </row>
    <row r="25" spans="1:10" x14ac:dyDescent="0.25">
      <c r="A25" t="s">
        <v>402</v>
      </c>
      <c r="B25" s="55" t="s">
        <v>74</v>
      </c>
      <c r="C25" s="680">
        <f>GETPIVOTDATA("Sum of Director",h5cd!$A$30,"ReportingLevel","3:SDA","lvl","East")</f>
        <v>0</v>
      </c>
      <c r="D25" s="118">
        <f>GETPIVOTDATA("Sum of Service Manager",h5cd!$A$30,"ReportingLevel","3:SDA","lvl","East")</f>
        <v>2</v>
      </c>
      <c r="E25" s="118">
        <f>GETPIVOTDATA("Sum of Team Leader",h5cd!$A$30,"ReportingLevel","3:SDA","lvl","East")</f>
        <v>5</v>
      </c>
      <c r="F25" s="118">
        <f>GETPIVOTDATA("Sum of Professional",h5cd!$A$30,"ReportingLevel","3:SDA","lvl","East")</f>
        <v>6</v>
      </c>
      <c r="G25" s="118">
        <f>GETPIVOTDATA("Sum of Specialist Technical",h5cd!$A$30,"ReportingLevel","3:SDA","lvl","East")</f>
        <v>44</v>
      </c>
      <c r="H25" s="118">
        <f>GETPIVOTDATA("Sum of Tech Support",h5cd!$A$30,"ReportingLevel","3:SDA","lvl","East")</f>
        <v>15</v>
      </c>
      <c r="I25" s="725">
        <f>GETPIVOTDATA("Sum of Administration",h5cd!$A$30,"ReportingLevel","3:SDA","lvl","East")</f>
        <v>17</v>
      </c>
      <c r="J25" s="726">
        <f>GETPIVOTDATA("Sum of Total",h5cd!$A$30,"ReportingLevel","3:SDA","lvl","East")</f>
        <v>90</v>
      </c>
    </row>
    <row r="26" spans="1:10" x14ac:dyDescent="0.25">
      <c r="A26" t="s">
        <v>404</v>
      </c>
      <c r="B26" s="58" t="s">
        <v>75</v>
      </c>
      <c r="C26" s="680">
        <f>GETPIVOTDATA("Sum of Director",h5cd!$A$30,"ReportingLevel","3:SDA","lvl","North")</f>
        <v>0</v>
      </c>
      <c r="D26" s="118">
        <f>GETPIVOTDATA("Sum of Service Manager",h5cd!$A$30,"ReportingLevel","3:SDA","lvl","North")</f>
        <v>2</v>
      </c>
      <c r="E26" s="118">
        <f>GETPIVOTDATA("Sum of Team Leader",h5cd!$A$30,"ReportingLevel","3:SDA","lvl","North")</f>
        <v>9</v>
      </c>
      <c r="F26" s="118">
        <f>GETPIVOTDATA("Sum of Professional",h5cd!$A$30,"ReportingLevel","3:SDA","lvl","North")</f>
        <v>5</v>
      </c>
      <c r="G26" s="118">
        <f>GETPIVOTDATA("Sum of Specialist Technical",h5cd!$A$30,"ReportingLevel","3:SDA","lvl","North")</f>
        <v>70</v>
      </c>
      <c r="H26" s="118">
        <f>GETPIVOTDATA("Sum of Tech Support",h5cd!$A$30,"ReportingLevel","3:SDA","lvl","North")</f>
        <v>15</v>
      </c>
      <c r="I26" s="118">
        <f>GETPIVOTDATA("Sum of Administration",h5cd!$A$30,"ReportingLevel","3:SDA","lvl","North")</f>
        <v>23</v>
      </c>
      <c r="J26" s="724">
        <f>GETPIVOTDATA("Sum of Total",h5cd!$A$30,"ReportingLevel","3:SDA","lvl","North")</f>
        <v>124</v>
      </c>
    </row>
    <row r="27" spans="1:10" x14ac:dyDescent="0.25">
      <c r="A27" t="s">
        <v>403</v>
      </c>
      <c r="B27" s="58" t="s">
        <v>76</v>
      </c>
      <c r="C27" s="680">
        <f>GETPIVOTDATA("Sum of Director",h5cd!$A$30,"ReportingLevel","3:SDA","lvl","West")</f>
        <v>0</v>
      </c>
      <c r="D27" s="118">
        <f>GETPIVOTDATA("Sum of Service Manager",h5cd!$A$30,"ReportingLevel","3:SDA","lvl","West")</f>
        <v>2</v>
      </c>
      <c r="E27" s="118">
        <f>GETPIVOTDATA("Sum of Team Leader",h5cd!$A$30,"ReportingLevel","3:SDA","lvl","West")</f>
        <v>9</v>
      </c>
      <c r="F27" s="118">
        <f>GETPIVOTDATA("Sum of Professional",h5cd!$A$30,"ReportingLevel","3:SDA","lvl","West")</f>
        <v>8</v>
      </c>
      <c r="G27" s="118">
        <f>GETPIVOTDATA("Sum of Specialist Technical",h5cd!$A$30,"ReportingLevel","3:SDA","lvl","West")</f>
        <v>130</v>
      </c>
      <c r="H27" s="118">
        <f>GETPIVOTDATA("Sum of Tech Support",h5cd!$A$30,"ReportingLevel","3:SDA","lvl","West")</f>
        <v>25</v>
      </c>
      <c r="I27" s="118">
        <f>GETPIVOTDATA("Sum of Administration",h5cd!$A$30,"ReportingLevel","3:SDA","lvl","West")</f>
        <v>45</v>
      </c>
      <c r="J27" s="724">
        <f>GETPIVOTDATA("Sum of Total",h5cd!$A$30,"ReportingLevel","3:SDA","lvl","West")</f>
        <v>219</v>
      </c>
    </row>
    <row r="28" spans="1:10" ht="15.75" thickBot="1" x14ac:dyDescent="0.3">
      <c r="A28" s="682"/>
      <c r="B28" s="62" t="s">
        <v>77</v>
      </c>
      <c r="C28" s="681">
        <f>GETPIVOTDATA("Sum of Director",h5cd!$A$30,"ReportingLevel","3:SDA","lvl","ALL")</f>
        <v>0</v>
      </c>
      <c r="D28" s="442">
        <f>GETPIVOTDATA("Sum of Service Manager",h5cd!$A$30,"ReportingLevel","3:SDA","lvl","ALL")</f>
        <v>6</v>
      </c>
      <c r="E28" s="442">
        <f>GETPIVOTDATA("Sum of Team Leader",h5cd!$A$30,"ReportingLevel","3:SDA","lvl","ALL")</f>
        <v>23</v>
      </c>
      <c r="F28" s="442">
        <f>GETPIVOTDATA("Sum of Professional",h5cd!$A$30,"ReportingLevel","3:SDA","lvl","ALL")</f>
        <v>19</v>
      </c>
      <c r="G28" s="442">
        <f>GETPIVOTDATA("Sum of Specialist Technical",h5cd!$A$30,"ReportingLevel","3:SDA","lvl","ALL")</f>
        <v>243</v>
      </c>
      <c r="H28" s="442">
        <f>GETPIVOTDATA("Sum of Tech Support",h5cd!$A$30,"ReportingLevel","3:SDA","lvl","ALL")</f>
        <v>56</v>
      </c>
      <c r="I28" s="442">
        <f>GETPIVOTDATA("Sum of Administration",h5cd!$A$30,"ReportingLevel","3:SDA","lvl","ALL")</f>
        <v>86</v>
      </c>
      <c r="J28" s="723">
        <f>GETPIVOTDATA("Sum of Total",h5cd!$A$30,"ReportingLevel","3:SDA","lvl","ALL")</f>
        <v>433</v>
      </c>
    </row>
    <row r="29" spans="1:10" x14ac:dyDescent="0.25">
      <c r="A29" s="664"/>
      <c r="B29" s="685"/>
      <c r="D29" s="108"/>
      <c r="E29" s="108"/>
      <c r="F29" s="108"/>
      <c r="G29" s="108"/>
      <c r="H29" s="108"/>
    </row>
    <row r="30" spans="1:10" x14ac:dyDescent="0.25">
      <c r="A30" s="102" t="s">
        <v>513</v>
      </c>
      <c r="B30" s="109"/>
      <c r="C30" s="109"/>
      <c r="D30" s="439"/>
      <c r="E30" s="439"/>
      <c r="F30" s="439"/>
      <c r="G30" s="439"/>
      <c r="H30" s="439"/>
    </row>
    <row r="31" spans="1:10" ht="15.75" thickBot="1" x14ac:dyDescent="0.3">
      <c r="A31" s="682" t="s">
        <v>382</v>
      </c>
      <c r="B31" s="48" t="s">
        <v>78</v>
      </c>
      <c r="C31" s="417">
        <f>GETPIVOTDATA("Sum of Director",h5cd!$A$30,"ReportingLevel","4:National","lvl","Scotland")</f>
        <v>3</v>
      </c>
      <c r="D31" s="417">
        <f>GETPIVOTDATA("Sum of Service Manager",h5cd!$A$30,"ReportingLevel","4:National","lvl","Scotland")</f>
        <v>41</v>
      </c>
      <c r="E31" s="417">
        <f>GETPIVOTDATA("Sum of Team Leader",h5cd!$A$30,"ReportingLevel","4:National","lvl","Scotland")</f>
        <v>9</v>
      </c>
      <c r="F31" s="417">
        <f>GETPIVOTDATA("Sum of Professional",h5cd!$A$30,"ReportingLevel","4:National","lvl","Scotland")</f>
        <v>70</v>
      </c>
      <c r="G31" s="417">
        <f>GETPIVOTDATA("Sum of Specialist Technical",h5cd!$A$30,"ReportingLevel","4:National","lvl","Scotland")</f>
        <v>139</v>
      </c>
      <c r="H31" s="417">
        <f>GETPIVOTDATA("Sum of Tech Support",h5cd!$A$30,"ReportingLevel","4:National","lvl","Scotland")</f>
        <v>1</v>
      </c>
      <c r="I31" s="417">
        <f>GETPIVOTDATA("Sum of Administration",h5cd!$A$30,"ReportingLevel","4:National","lvl","Scotland")</f>
        <v>70</v>
      </c>
      <c r="J31" s="723">
        <f>GETPIVOTDATA("Sum of Total",h5cd!$A$30,"ReportingLevel","4:National","lvl","Scotland")</f>
        <v>333</v>
      </c>
    </row>
    <row r="32" spans="1:10" x14ac:dyDescent="0.25">
      <c r="A32" s="64"/>
      <c r="B32" s="691"/>
      <c r="C32" s="691"/>
      <c r="D32" s="691"/>
      <c r="E32" s="691"/>
      <c r="F32" s="691"/>
      <c r="G32" s="691"/>
      <c r="H32" s="692"/>
      <c r="I32" s="693"/>
    </row>
    <row r="33" spans="1:10" x14ac:dyDescent="0.25">
      <c r="A33" s="503" t="s">
        <v>8</v>
      </c>
      <c r="B33" s="669"/>
      <c r="C33" s="669"/>
      <c r="D33" s="669"/>
      <c r="E33" s="669"/>
      <c r="F33" s="669"/>
      <c r="G33" s="669"/>
      <c r="H33" s="670"/>
      <c r="I33" s="671"/>
    </row>
    <row r="34" spans="1:10" x14ac:dyDescent="0.25">
      <c r="A34" s="687" t="s">
        <v>226</v>
      </c>
      <c r="B34" s="669"/>
      <c r="C34" s="669"/>
      <c r="D34" s="669"/>
      <c r="E34" s="669"/>
      <c r="F34" s="669"/>
      <c r="G34" s="669"/>
      <c r="H34" s="670"/>
      <c r="I34" s="671"/>
    </row>
    <row r="35" spans="1:10" x14ac:dyDescent="0.25">
      <c r="A35" s="544" t="s">
        <v>227</v>
      </c>
      <c r="B35" s="669"/>
      <c r="C35" s="669"/>
      <c r="D35" s="669"/>
      <c r="E35" s="669"/>
      <c r="F35" s="669"/>
      <c r="G35" s="669"/>
      <c r="H35" s="670"/>
      <c r="I35" s="671"/>
    </row>
    <row r="36" spans="1:10" ht="15" customHeight="1" x14ac:dyDescent="0.25">
      <c r="A36" s="949" t="s">
        <v>808</v>
      </c>
      <c r="B36" s="669"/>
      <c r="C36" s="669"/>
      <c r="D36" s="669"/>
      <c r="E36" s="669"/>
      <c r="F36" s="669"/>
      <c r="G36" s="669"/>
      <c r="H36" s="670"/>
      <c r="I36" s="671"/>
    </row>
    <row r="37" spans="1:10" ht="30" customHeight="1" x14ac:dyDescent="0.25">
      <c r="A37" s="1097" t="s">
        <v>807</v>
      </c>
      <c r="B37" s="1097"/>
      <c r="C37" s="1097"/>
      <c r="D37" s="1097"/>
      <c r="E37" s="1097"/>
      <c r="F37" s="1097"/>
      <c r="G37" s="1097"/>
      <c r="H37" s="1097"/>
      <c r="I37" s="1097"/>
      <c r="J37" s="1097"/>
    </row>
    <row r="38" spans="1:10" ht="15" customHeight="1" x14ac:dyDescent="0.25">
      <c r="A38" s="673" t="s">
        <v>229</v>
      </c>
      <c r="B38" s="673"/>
      <c r="C38" s="673"/>
      <c r="D38" s="673"/>
      <c r="E38" s="673"/>
      <c r="F38" s="673"/>
      <c r="G38" s="673"/>
      <c r="H38" s="673"/>
      <c r="I38" s="673"/>
      <c r="J38" s="673"/>
    </row>
    <row r="39" spans="1:10" ht="30" customHeight="1" x14ac:dyDescent="0.25">
      <c r="A39" s="1095" t="s">
        <v>230</v>
      </c>
      <c r="B39" s="1095"/>
      <c r="C39" s="1095"/>
      <c r="D39" s="1095"/>
      <c r="E39" s="1095"/>
      <c r="F39" s="1095"/>
      <c r="G39" s="1095"/>
      <c r="H39" s="1095"/>
      <c r="I39" s="1095"/>
      <c r="J39" s="1095"/>
    </row>
    <row r="40" spans="1:10" ht="15" customHeight="1" x14ac:dyDescent="0.25">
      <c r="A40" s="506" t="s">
        <v>231</v>
      </c>
      <c r="B40" s="496"/>
      <c r="C40" s="674"/>
      <c r="D40" s="675"/>
      <c r="E40" s="675"/>
      <c r="F40" s="675"/>
      <c r="G40" s="675"/>
      <c r="H40" s="675"/>
      <c r="I40" s="675"/>
    </row>
    <row r="41" spans="1:10" x14ac:dyDescent="0.25">
      <c r="B41" s="677"/>
      <c r="C41" s="677"/>
      <c r="D41" s="677"/>
      <c r="E41" s="677"/>
      <c r="F41" s="677"/>
      <c r="G41" s="677"/>
      <c r="H41" s="677"/>
      <c r="I41" s="677"/>
    </row>
    <row r="42" spans="1:10" x14ac:dyDescent="0.25">
      <c r="B42" s="677"/>
      <c r="C42" s="677"/>
      <c r="D42" s="677"/>
      <c r="E42" s="677"/>
      <c r="F42" s="677"/>
      <c r="G42" s="677"/>
      <c r="H42" s="677"/>
      <c r="I42" s="677"/>
    </row>
    <row r="45" spans="1:10" x14ac:dyDescent="0.25">
      <c r="B45" s="1095"/>
      <c r="C45" s="1095"/>
      <c r="D45" s="1095"/>
      <c r="E45" s="1095"/>
      <c r="F45" s="1095"/>
      <c r="G45" s="1095"/>
      <c r="H45" s="1095"/>
      <c r="I45" s="1095"/>
      <c r="J45" s="1095"/>
    </row>
    <row r="46" spans="1:10" x14ac:dyDescent="0.25">
      <c r="A46" s="949"/>
      <c r="B46" s="669"/>
      <c r="C46" s="669"/>
      <c r="D46" s="669"/>
      <c r="E46" s="669"/>
      <c r="F46" s="669"/>
      <c r="G46" s="669"/>
      <c r="H46" s="670"/>
      <c r="I46" s="671"/>
    </row>
    <row r="47" spans="1:10" x14ac:dyDescent="0.25">
      <c r="A47" s="1097"/>
      <c r="B47" s="1097"/>
      <c r="C47" s="1097"/>
      <c r="D47" s="1097"/>
      <c r="E47" s="1097"/>
      <c r="F47" s="1097"/>
      <c r="G47" s="1097"/>
      <c r="H47" s="1097"/>
      <c r="I47" s="1097"/>
      <c r="J47" s="1097"/>
    </row>
    <row r="48" spans="1:10" x14ac:dyDescent="0.25">
      <c r="A48" s="673"/>
      <c r="B48" s="673"/>
      <c r="C48" s="673"/>
      <c r="D48" s="673"/>
      <c r="E48" s="673"/>
      <c r="F48" s="673"/>
      <c r="G48" s="673"/>
      <c r="H48" s="673"/>
      <c r="I48" s="673"/>
      <c r="J48" s="673"/>
    </row>
    <row r="49" spans="1:10" x14ac:dyDescent="0.25">
      <c r="A49" s="1095"/>
      <c r="B49" s="1095"/>
      <c r="C49" s="1095"/>
      <c r="D49" s="1095"/>
      <c r="E49" s="1095"/>
      <c r="F49" s="1095"/>
      <c r="G49" s="1095"/>
      <c r="H49" s="1095"/>
      <c r="I49" s="1095"/>
      <c r="J49" s="1095"/>
    </row>
    <row r="50" spans="1:10" x14ac:dyDescent="0.25">
      <c r="A50" s="506"/>
      <c r="B50" s="496"/>
      <c r="C50" s="674"/>
      <c r="D50" s="675"/>
      <c r="E50" s="675"/>
      <c r="F50" s="675"/>
      <c r="G50" s="675"/>
      <c r="H50" s="675"/>
      <c r="I50" s="675"/>
    </row>
  </sheetData>
  <sheetProtection algorithmName="SHA-512" hashValue="HEkrMS8l4Lm7uqXu48lQJPe+aNlP3o3eVTeX0Xplptr6SiXCAlfply21hJ+DscEZXGlhzLdgUZYZzbLtFYwe2Q==" saltValue="tpQJtoA1Xwh/OnmdsPF0Qw==" spinCount="100000" sheet="1" scenarios="1" formatCells="0" formatColumns="0" formatRows="0" sort="0" autoFilter="0" pivotTables="0"/>
  <mergeCells count="7">
    <mergeCell ref="A49:J49"/>
    <mergeCell ref="A47:J47"/>
    <mergeCell ref="A1:H1"/>
    <mergeCell ref="B45:J45"/>
    <mergeCell ref="A37:J37"/>
    <mergeCell ref="A39:J39"/>
    <mergeCell ref="A15:I1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5" orientation="landscape" r:id="rId1"/>
  <drawing r:id="rId2"/>
  <extLst>
    <ext xmlns:x14="http://schemas.microsoft.com/office/spreadsheetml/2009/9/main" uri="{A8765BA9-456A-4dab-B4F3-ACF838C121DE}">
      <x14:slicerList>
        <x14:slicer r:id="rId3"/>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pageSetUpPr fitToPage="1"/>
  </sheetPr>
  <dimension ref="A1:Q43"/>
  <sheetViews>
    <sheetView showGridLines="0" workbookViewId="0">
      <pane ySplit="2" topLeftCell="A12" activePane="bottomLeft" state="frozen"/>
      <selection pane="bottomLeft" sqref="A1:E1"/>
    </sheetView>
  </sheetViews>
  <sheetFormatPr defaultRowHeight="15" x14ac:dyDescent="0.25"/>
  <cols>
    <col min="1" max="1" width="19.28515625" customWidth="1"/>
    <col min="2" max="17" width="11.140625" customWidth="1"/>
  </cols>
  <sheetData>
    <row r="1" spans="1:17" ht="15.75" x14ac:dyDescent="0.25">
      <c r="A1" s="1077" t="s">
        <v>505</v>
      </c>
      <c r="B1" s="1077"/>
      <c r="C1" s="1077"/>
      <c r="D1" s="1077"/>
      <c r="E1" s="1077"/>
      <c r="F1" s="958"/>
      <c r="G1" s="958"/>
    </row>
    <row r="2" spans="1:17" ht="15.75" x14ac:dyDescent="0.25">
      <c r="A2" s="772" t="s">
        <v>578</v>
      </c>
      <c r="C2" s="660"/>
      <c r="D2" s="660"/>
      <c r="E2" s="660"/>
      <c r="F2" s="958"/>
      <c r="G2" s="958"/>
    </row>
    <row r="3" spans="1:17" ht="15.75" x14ac:dyDescent="0.25">
      <c r="C3" s="660"/>
      <c r="D3" s="660"/>
      <c r="E3" s="660"/>
      <c r="F3" s="958"/>
      <c r="G3" s="958"/>
      <c r="H3" s="31"/>
      <c r="I3" s="31"/>
      <c r="J3" s="31"/>
      <c r="K3" s="31"/>
      <c r="L3" s="31"/>
      <c r="M3" s="31"/>
      <c r="N3" s="31"/>
      <c r="O3" s="31"/>
      <c r="P3" s="31"/>
      <c r="Q3" s="31"/>
    </row>
    <row r="4" spans="1:17" ht="15.75" x14ac:dyDescent="0.25">
      <c r="A4" s="1102" t="s">
        <v>522</v>
      </c>
      <c r="B4" s="1102"/>
      <c r="C4" s="1102"/>
      <c r="D4" s="1102"/>
      <c r="E4" s="1102"/>
      <c r="F4" s="1102"/>
      <c r="G4" s="1102"/>
      <c r="H4" s="1102"/>
      <c r="I4" s="1102"/>
      <c r="J4" s="1102"/>
      <c r="K4" s="1102"/>
      <c r="L4" s="1102"/>
      <c r="M4" s="1102"/>
      <c r="N4" s="1102"/>
      <c r="O4" s="1102"/>
      <c r="P4" s="1102"/>
      <c r="Q4" s="1102"/>
    </row>
    <row r="5" spans="1:17" ht="15.75" x14ac:dyDescent="0.25">
      <c r="A5" t="s">
        <v>363</v>
      </c>
      <c r="B5" t="s">
        <v>755</v>
      </c>
      <c r="C5" s="621"/>
      <c r="D5" s="621"/>
      <c r="E5" s="621"/>
      <c r="F5" s="961"/>
      <c r="G5" s="961"/>
      <c r="H5" s="621"/>
      <c r="I5" s="621"/>
      <c r="J5" s="621"/>
      <c r="K5" s="621"/>
      <c r="L5" s="621"/>
      <c r="M5" s="621"/>
      <c r="N5" s="621"/>
      <c r="O5" s="621"/>
      <c r="P5" s="621"/>
      <c r="Q5" s="621"/>
    </row>
    <row r="6" spans="1:17" ht="15.75" x14ac:dyDescent="0.25">
      <c r="A6" t="s">
        <v>364</v>
      </c>
      <c r="B6" t="s">
        <v>366</v>
      </c>
      <c r="C6" s="621"/>
      <c r="D6" s="621"/>
      <c r="E6" s="621"/>
      <c r="F6" s="961"/>
      <c r="G6" s="961"/>
      <c r="H6" s="621"/>
      <c r="I6" s="621"/>
      <c r="J6" s="621"/>
      <c r="K6" s="621"/>
      <c r="L6" s="621"/>
      <c r="M6" s="621"/>
      <c r="N6" s="621"/>
      <c r="O6" s="621"/>
      <c r="P6" s="621"/>
      <c r="Q6" s="621"/>
    </row>
    <row r="7" spans="1:17" ht="15.75" x14ac:dyDescent="0.25">
      <c r="A7" t="s">
        <v>365</v>
      </c>
      <c r="B7" t="s">
        <v>367</v>
      </c>
      <c r="C7" s="621"/>
      <c r="D7" s="621"/>
      <c r="E7" s="621"/>
      <c r="F7" s="961"/>
      <c r="G7" s="961"/>
      <c r="H7" s="621"/>
      <c r="I7" s="621"/>
      <c r="J7" s="621"/>
      <c r="K7" s="621"/>
      <c r="L7" s="621"/>
      <c r="M7" s="621"/>
      <c r="N7" s="621"/>
      <c r="O7" s="621"/>
      <c r="P7" s="621"/>
      <c r="Q7" s="621"/>
    </row>
    <row r="8" spans="1:17" x14ac:dyDescent="0.25">
      <c r="A8" s="13"/>
      <c r="B8" s="13"/>
      <c r="C8" s="13"/>
      <c r="D8" s="13"/>
      <c r="E8" s="13"/>
      <c r="F8" s="13"/>
      <c r="G8" s="13"/>
      <c r="H8" s="13"/>
      <c r="I8" s="13"/>
      <c r="J8" s="13"/>
      <c r="K8" s="13"/>
      <c r="L8" s="28"/>
      <c r="M8" s="125"/>
      <c r="N8" s="28"/>
      <c r="O8" s="28"/>
      <c r="P8" s="24"/>
      <c r="Q8" s="122" t="s">
        <v>6</v>
      </c>
    </row>
    <row r="9" spans="1:17" ht="26.25" customHeight="1" x14ac:dyDescent="0.25">
      <c r="A9" s="637" t="s">
        <v>88</v>
      </c>
      <c r="B9" s="1098" t="s">
        <v>27</v>
      </c>
      <c r="C9" s="1098"/>
      <c r="D9" s="1101" t="s">
        <v>28</v>
      </c>
      <c r="E9" s="1101"/>
      <c r="F9" s="1103" t="s">
        <v>956</v>
      </c>
      <c r="G9" s="1104"/>
      <c r="H9" s="1098" t="s">
        <v>2</v>
      </c>
      <c r="I9" s="1098"/>
      <c r="J9" s="1098" t="s">
        <v>90</v>
      </c>
      <c r="K9" s="1098"/>
      <c r="L9" s="1101" t="s">
        <v>29</v>
      </c>
      <c r="M9" s="1101"/>
      <c r="N9" s="1098" t="s">
        <v>26</v>
      </c>
      <c r="O9" s="1098"/>
      <c r="P9" s="1099" t="s">
        <v>91</v>
      </c>
      <c r="Q9" s="1100"/>
    </row>
    <row r="10" spans="1:17" x14ac:dyDescent="0.25">
      <c r="A10" s="705" t="s">
        <v>1</v>
      </c>
      <c r="B10" s="698" t="s">
        <v>92</v>
      </c>
      <c r="C10" s="698" t="s">
        <v>93</v>
      </c>
      <c r="D10" s="698" t="s">
        <v>92</v>
      </c>
      <c r="E10" s="698" t="s">
        <v>93</v>
      </c>
      <c r="F10" s="698" t="s">
        <v>92</v>
      </c>
      <c r="G10" s="698" t="s">
        <v>93</v>
      </c>
      <c r="H10" s="698" t="s">
        <v>92</v>
      </c>
      <c r="I10" s="698" t="s">
        <v>93</v>
      </c>
      <c r="J10" s="698" t="s">
        <v>92</v>
      </c>
      <c r="K10" s="698" t="s">
        <v>93</v>
      </c>
      <c r="L10" s="698" t="s">
        <v>92</v>
      </c>
      <c r="M10" s="698" t="s">
        <v>93</v>
      </c>
      <c r="N10" s="698" t="s">
        <v>92</v>
      </c>
      <c r="O10" s="698" t="s">
        <v>93</v>
      </c>
      <c r="P10" s="698" t="s">
        <v>92</v>
      </c>
      <c r="Q10" s="698" t="s">
        <v>93</v>
      </c>
    </row>
    <row r="11" spans="1:17" x14ac:dyDescent="0.25">
      <c r="A11" s="5" t="str">
        <f>'T6'!A5</f>
        <v>2011-12</v>
      </c>
      <c r="B11" s="127">
        <f>'T6'!B5</f>
        <v>148</v>
      </c>
      <c r="C11" s="127">
        <f>'T6'!C5</f>
        <v>4011</v>
      </c>
      <c r="D11" s="127">
        <f>'T6'!D5</f>
        <v>182</v>
      </c>
      <c r="E11" s="127">
        <f>'T6'!E5</f>
        <v>2870</v>
      </c>
      <c r="F11" s="127"/>
      <c r="G11" s="127"/>
      <c r="H11" s="127">
        <f>'T6'!F5</f>
        <v>202</v>
      </c>
      <c r="I11" s="127">
        <f>'T6'!G5</f>
        <v>32</v>
      </c>
      <c r="J11" s="127">
        <f>'T6'!H5</f>
        <v>649</v>
      </c>
      <c r="K11" s="127">
        <f>'T6'!I5</f>
        <v>487</v>
      </c>
      <c r="L11" s="127">
        <f>'T6'!J5</f>
        <v>59</v>
      </c>
      <c r="M11" s="127">
        <f>'T6'!K5</f>
        <v>400</v>
      </c>
      <c r="N11" s="699">
        <f t="shared" ref="N11:N17" si="0">B11+D11+J11+L11+H11</f>
        <v>1240</v>
      </c>
      <c r="O11" s="76">
        <f t="shared" ref="O11:O17" si="1">C11+E11+I11+K11+M11</f>
        <v>7800</v>
      </c>
      <c r="P11" s="699">
        <f t="shared" ref="P11:Q17" si="2">N11-L11</f>
        <v>1181</v>
      </c>
      <c r="Q11" s="709">
        <f t="shared" si="2"/>
        <v>7400</v>
      </c>
    </row>
    <row r="12" spans="1:17" x14ac:dyDescent="0.25">
      <c r="A12" s="5" t="str">
        <f>'T6'!A6</f>
        <v>2012-13</v>
      </c>
      <c r="B12" s="127">
        <f>'T6'!B6</f>
        <v>158</v>
      </c>
      <c r="C12" s="127">
        <f>'T6'!C6</f>
        <v>3993</v>
      </c>
      <c r="D12" s="127">
        <f>'T6'!D6</f>
        <v>173</v>
      </c>
      <c r="E12" s="127">
        <f>'T6'!E6</f>
        <v>2903</v>
      </c>
      <c r="F12" s="127"/>
      <c r="G12" s="127"/>
      <c r="H12" s="127">
        <f>'T6'!F6</f>
        <v>203</v>
      </c>
      <c r="I12" s="127">
        <f>'T6'!G6</f>
        <v>31</v>
      </c>
      <c r="J12" s="127">
        <f>'T6'!H6</f>
        <v>604</v>
      </c>
      <c r="K12" s="127">
        <f>'T6'!I6</f>
        <v>482</v>
      </c>
      <c r="L12" s="127">
        <f>'T6'!J6</f>
        <v>52</v>
      </c>
      <c r="M12" s="127">
        <f>'T6'!K6</f>
        <v>365</v>
      </c>
      <c r="N12" s="700">
        <f t="shared" si="0"/>
        <v>1190</v>
      </c>
      <c r="O12" s="76">
        <f t="shared" si="1"/>
        <v>7774</v>
      </c>
      <c r="P12" s="700">
        <f t="shared" si="2"/>
        <v>1138</v>
      </c>
      <c r="Q12" s="710">
        <f t="shared" si="2"/>
        <v>7409</v>
      </c>
    </row>
    <row r="13" spans="1:17" x14ac:dyDescent="0.25">
      <c r="A13" s="5" t="str">
        <f>'T6'!A7</f>
        <v>2013-14</v>
      </c>
      <c r="B13" s="127">
        <f>'T6'!B7</f>
        <v>159</v>
      </c>
      <c r="C13" s="127">
        <f>'T6'!C7</f>
        <v>3842</v>
      </c>
      <c r="D13" s="127">
        <f>'T6'!D7</f>
        <v>178</v>
      </c>
      <c r="E13" s="127">
        <f>'T6'!E7</f>
        <v>2762</v>
      </c>
      <c r="F13" s="127"/>
      <c r="G13" s="127"/>
      <c r="H13" s="127">
        <f>'T6'!F7</f>
        <v>199</v>
      </c>
      <c r="I13" s="127">
        <f>'T6'!G7</f>
        <v>24</v>
      </c>
      <c r="J13" s="127">
        <f>'T6'!H7</f>
        <v>545</v>
      </c>
      <c r="K13" s="127">
        <f>'T6'!I7</f>
        <v>416</v>
      </c>
      <c r="L13" s="127">
        <f>'T6'!J7</f>
        <v>52</v>
      </c>
      <c r="M13" s="127">
        <f>'T6'!K7</f>
        <v>307</v>
      </c>
      <c r="N13" s="700">
        <f t="shared" si="0"/>
        <v>1133</v>
      </c>
      <c r="O13" s="76">
        <f t="shared" si="1"/>
        <v>7351</v>
      </c>
      <c r="P13" s="700">
        <f t="shared" si="2"/>
        <v>1081</v>
      </c>
      <c r="Q13" s="710">
        <f t="shared" si="2"/>
        <v>7044</v>
      </c>
    </row>
    <row r="14" spans="1:17" x14ac:dyDescent="0.25">
      <c r="A14" s="5" t="str">
        <f>'T6'!A8</f>
        <v>2014-15</v>
      </c>
      <c r="B14" s="127">
        <f>'T6'!B8</f>
        <v>164</v>
      </c>
      <c r="C14" s="127">
        <f>'T6'!C8</f>
        <v>3692</v>
      </c>
      <c r="D14" s="127">
        <f>'T6'!D8</f>
        <v>172</v>
      </c>
      <c r="E14" s="127">
        <f>'T6'!E8</f>
        <v>2778</v>
      </c>
      <c r="F14" s="127"/>
      <c r="G14" s="127"/>
      <c r="H14" s="127">
        <f>'T6'!F8</f>
        <v>192</v>
      </c>
      <c r="I14" s="127">
        <f>'T6'!G8</f>
        <v>38</v>
      </c>
      <c r="J14" s="127">
        <f>'T6'!H8</f>
        <v>480</v>
      </c>
      <c r="K14" s="127">
        <f>'T6'!I8</f>
        <v>387</v>
      </c>
      <c r="L14" s="127">
        <f>'T6'!J8</f>
        <v>56</v>
      </c>
      <c r="M14" s="127">
        <f>'T6'!K8</f>
        <v>322</v>
      </c>
      <c r="N14" s="700">
        <f t="shared" si="0"/>
        <v>1064</v>
      </c>
      <c r="O14" s="76">
        <f t="shared" si="1"/>
        <v>7217</v>
      </c>
      <c r="P14" s="700">
        <f t="shared" si="2"/>
        <v>1008</v>
      </c>
      <c r="Q14" s="710">
        <f t="shared" si="2"/>
        <v>6895</v>
      </c>
    </row>
    <row r="15" spans="1:17" x14ac:dyDescent="0.25">
      <c r="A15" s="5" t="str">
        <f>'T6'!A9</f>
        <v>2015-16</v>
      </c>
      <c r="B15" s="127">
        <f>'T6'!B9</f>
        <v>167</v>
      </c>
      <c r="C15" s="127">
        <f>'T6'!C9</f>
        <v>3523</v>
      </c>
      <c r="D15" s="127">
        <f>'T6'!D9</f>
        <v>163</v>
      </c>
      <c r="E15" s="127">
        <f>'T6'!E9</f>
        <v>2707</v>
      </c>
      <c r="F15" s="127"/>
      <c r="G15" s="127"/>
      <c r="H15" s="127">
        <f>'T6'!F9</f>
        <v>171</v>
      </c>
      <c r="I15" s="127">
        <f>'T6'!G9</f>
        <v>32</v>
      </c>
      <c r="J15" s="127">
        <f>'T6'!H9</f>
        <v>463</v>
      </c>
      <c r="K15" s="127">
        <f>'T6'!I9</f>
        <v>365</v>
      </c>
      <c r="L15" s="127">
        <f>'T6'!J9</f>
        <v>56</v>
      </c>
      <c r="M15" s="127">
        <f>'T6'!K9</f>
        <v>286</v>
      </c>
      <c r="N15" s="700">
        <f t="shared" si="0"/>
        <v>1020</v>
      </c>
      <c r="O15" s="76">
        <f t="shared" si="1"/>
        <v>6913</v>
      </c>
      <c r="P15" s="700">
        <f t="shared" si="2"/>
        <v>964</v>
      </c>
      <c r="Q15" s="710">
        <f t="shared" si="2"/>
        <v>6627</v>
      </c>
    </row>
    <row r="16" spans="1:17" x14ac:dyDescent="0.25">
      <c r="A16" s="5" t="str">
        <f>'T6'!A10</f>
        <v>2016-17</v>
      </c>
      <c r="B16" s="127">
        <f>'T6'!B10</f>
        <v>178</v>
      </c>
      <c r="C16" s="127">
        <f>'T6'!C10</f>
        <v>3467</v>
      </c>
      <c r="D16" s="127">
        <f>'T6'!D10</f>
        <v>158</v>
      </c>
      <c r="E16" s="127">
        <f>'T6'!E10</f>
        <v>2712</v>
      </c>
      <c r="F16" s="127"/>
      <c r="G16" s="127"/>
      <c r="H16" s="127">
        <f>'T6'!F10</f>
        <v>139</v>
      </c>
      <c r="I16" s="127">
        <f>'T6'!G10</f>
        <v>26</v>
      </c>
      <c r="J16" s="127">
        <f>'T6'!H10</f>
        <v>466</v>
      </c>
      <c r="K16" s="127">
        <f>'T6'!I10</f>
        <v>372</v>
      </c>
      <c r="L16" s="127">
        <f>'T6'!J10</f>
        <v>48</v>
      </c>
      <c r="M16" s="127">
        <f>'T6'!K10</f>
        <v>268</v>
      </c>
      <c r="N16" s="700">
        <f t="shared" si="0"/>
        <v>989</v>
      </c>
      <c r="O16" s="76">
        <f t="shared" si="1"/>
        <v>6845</v>
      </c>
      <c r="P16" s="700">
        <f t="shared" si="2"/>
        <v>941</v>
      </c>
      <c r="Q16" s="710">
        <f t="shared" si="2"/>
        <v>6577</v>
      </c>
    </row>
    <row r="17" spans="1:17" x14ac:dyDescent="0.25">
      <c r="A17" s="5" t="str">
        <f>'T6'!A11</f>
        <v>2017-18</v>
      </c>
      <c r="B17" s="127">
        <f>'T6'!B11</f>
        <v>175</v>
      </c>
      <c r="C17" s="127">
        <f>'T6'!C11</f>
        <v>3371</v>
      </c>
      <c r="D17" s="127">
        <f>'T6'!D11</f>
        <v>171</v>
      </c>
      <c r="E17" s="127">
        <f>'T6'!E11</f>
        <v>2692</v>
      </c>
      <c r="F17" s="127"/>
      <c r="G17" s="127"/>
      <c r="H17" s="127">
        <f>'T6'!F11</f>
        <v>158</v>
      </c>
      <c r="I17" s="127">
        <f>'T6'!G11</f>
        <v>31</v>
      </c>
      <c r="J17" s="127">
        <f>'T6'!H11</f>
        <v>476</v>
      </c>
      <c r="K17" s="127">
        <f>'T6'!I11</f>
        <v>370</v>
      </c>
      <c r="L17" s="127">
        <f>'T6'!J11</f>
        <v>55</v>
      </c>
      <c r="M17" s="127">
        <f>'T6'!K11</f>
        <v>277</v>
      </c>
      <c r="N17" s="700">
        <f t="shared" si="0"/>
        <v>1035</v>
      </c>
      <c r="O17" s="76">
        <f t="shared" si="1"/>
        <v>6741</v>
      </c>
      <c r="P17" s="700">
        <f t="shared" si="2"/>
        <v>980</v>
      </c>
      <c r="Q17" s="710">
        <f t="shared" si="2"/>
        <v>6464</v>
      </c>
    </row>
    <row r="18" spans="1:17" x14ac:dyDescent="0.25">
      <c r="A18" s="5" t="str">
        <f>'T6'!A12</f>
        <v>2018-19</v>
      </c>
      <c r="B18" s="127">
        <f>'T6'!B12</f>
        <v>196</v>
      </c>
      <c r="C18" s="127">
        <f>'T6'!C12</f>
        <v>3441</v>
      </c>
      <c r="D18" s="127">
        <f>'T6'!D12</f>
        <v>201</v>
      </c>
      <c r="E18" s="127">
        <f>'T6'!E12</f>
        <v>2734</v>
      </c>
      <c r="F18" s="127"/>
      <c r="G18" s="127"/>
      <c r="H18" s="127">
        <f>'T6'!F12</f>
        <v>172</v>
      </c>
      <c r="I18" s="127">
        <f>'T6'!G12</f>
        <v>35</v>
      </c>
      <c r="J18" s="127">
        <f>'T6'!H12</f>
        <v>427</v>
      </c>
      <c r="K18" s="127">
        <f>'T6'!I12</f>
        <v>365</v>
      </c>
      <c r="L18" s="127">
        <f>'T6'!J12</f>
        <v>54</v>
      </c>
      <c r="M18" s="127">
        <f>'T6'!K12</f>
        <v>263</v>
      </c>
      <c r="N18" s="700">
        <f t="shared" ref="N18:N19" si="3">B18+D18+J18+L18+H18</f>
        <v>1050</v>
      </c>
      <c r="O18" s="76">
        <f t="shared" ref="O18:O19" si="4">C18+E18+I18+K18+M18</f>
        <v>6838</v>
      </c>
      <c r="P18" s="700">
        <f t="shared" ref="P18:P19" si="5">N18-L18</f>
        <v>996</v>
      </c>
      <c r="Q18" s="710">
        <f t="shared" ref="Q18:Q19" si="6">O18-M18</f>
        <v>6575</v>
      </c>
    </row>
    <row r="19" spans="1:17" x14ac:dyDescent="0.25">
      <c r="A19" s="19" t="str">
        <f>'T6'!A13</f>
        <v>2019-20</v>
      </c>
      <c r="B19" s="418">
        <f>'T6'!B13</f>
        <v>222</v>
      </c>
      <c r="C19" s="418">
        <f>'T6'!C13</f>
        <v>3414</v>
      </c>
      <c r="D19" s="418">
        <f>'T6'!D13</f>
        <v>208</v>
      </c>
      <c r="E19" s="418">
        <f>'T6'!E13</f>
        <v>2729</v>
      </c>
      <c r="F19" s="418">
        <f>'T6'!$L13</f>
        <v>7</v>
      </c>
      <c r="G19" s="418">
        <f>'T6'!$M13</f>
        <v>29</v>
      </c>
      <c r="H19" s="418">
        <f>'T6'!F13</f>
        <v>156</v>
      </c>
      <c r="I19" s="418">
        <f>'T6'!G13</f>
        <v>32</v>
      </c>
      <c r="J19" s="418">
        <f>'T6'!H13</f>
        <v>447</v>
      </c>
      <c r="K19" s="418">
        <f>'T6'!I13</f>
        <v>371</v>
      </c>
      <c r="L19" s="418">
        <f>'T6'!J13</f>
        <v>54</v>
      </c>
      <c r="M19" s="418">
        <f>'T6'!K13</f>
        <v>261</v>
      </c>
      <c r="N19" s="701">
        <f t="shared" si="3"/>
        <v>1087</v>
      </c>
      <c r="O19" s="129">
        <f t="shared" si="4"/>
        <v>6807</v>
      </c>
      <c r="P19" s="701">
        <f t="shared" si="5"/>
        <v>1033</v>
      </c>
      <c r="Q19" s="711">
        <f t="shared" si="6"/>
        <v>6546</v>
      </c>
    </row>
    <row r="20" spans="1:17" x14ac:dyDescent="0.25">
      <c r="A20" s="5"/>
      <c r="B20" s="128"/>
      <c r="C20" s="128"/>
      <c r="D20" s="128"/>
      <c r="E20" s="128"/>
      <c r="F20" s="128"/>
      <c r="G20" s="128"/>
      <c r="H20" s="128"/>
      <c r="I20" s="128"/>
      <c r="J20" s="128"/>
      <c r="K20" s="128"/>
      <c r="L20" s="128"/>
      <c r="M20" s="128"/>
      <c r="N20" s="76"/>
      <c r="O20" s="76"/>
      <c r="P20" s="76"/>
      <c r="Q20" s="76"/>
    </row>
    <row r="21" spans="1:17" x14ac:dyDescent="0.25">
      <c r="A21" s="5"/>
      <c r="B21" s="128"/>
      <c r="C21" s="128"/>
      <c r="D21" s="128"/>
      <c r="E21" s="128"/>
      <c r="F21" s="128"/>
      <c r="G21" s="128"/>
      <c r="H21" s="128"/>
      <c r="I21" s="128"/>
      <c r="J21" s="128"/>
      <c r="K21" s="128"/>
      <c r="L21" s="128"/>
      <c r="M21" s="128"/>
      <c r="N21" s="76"/>
      <c r="O21" s="76"/>
      <c r="P21" s="76"/>
      <c r="Q21" s="131" t="s">
        <v>7</v>
      </c>
    </row>
    <row r="22" spans="1:17" ht="27.75" customHeight="1" x14ac:dyDescent="0.25">
      <c r="A22" s="267" t="s">
        <v>7</v>
      </c>
      <c r="B22" s="1098" t="s">
        <v>89</v>
      </c>
      <c r="C22" s="1098"/>
      <c r="D22" s="1101" t="s">
        <v>28</v>
      </c>
      <c r="E22" s="1101"/>
      <c r="F22" s="1103" t="s">
        <v>956</v>
      </c>
      <c r="G22" s="1104"/>
      <c r="H22" s="1098" t="s">
        <v>2</v>
      </c>
      <c r="I22" s="1098"/>
      <c r="J22" s="1098" t="s">
        <v>90</v>
      </c>
      <c r="K22" s="1098"/>
      <c r="L22" s="1101" t="s">
        <v>29</v>
      </c>
      <c r="M22" s="1101"/>
      <c r="N22" s="1098" t="s">
        <v>26</v>
      </c>
      <c r="O22" s="1098"/>
      <c r="P22" s="1099" t="s">
        <v>91</v>
      </c>
      <c r="Q22" s="1100"/>
    </row>
    <row r="23" spans="1:17" x14ac:dyDescent="0.25">
      <c r="A23" s="706" t="s">
        <v>1</v>
      </c>
      <c r="B23" s="698" t="s">
        <v>92</v>
      </c>
      <c r="C23" s="698" t="s">
        <v>93</v>
      </c>
      <c r="D23" s="698" t="s">
        <v>92</v>
      </c>
      <c r="E23" s="698" t="s">
        <v>93</v>
      </c>
      <c r="F23" s="698"/>
      <c r="G23" s="698"/>
      <c r="H23" s="698" t="s">
        <v>92</v>
      </c>
      <c r="I23" s="698" t="s">
        <v>93</v>
      </c>
      <c r="J23" s="698" t="s">
        <v>92</v>
      </c>
      <c r="K23" s="698" t="s">
        <v>93</v>
      </c>
      <c r="L23" s="698" t="s">
        <v>92</v>
      </c>
      <c r="M23" s="698" t="s">
        <v>93</v>
      </c>
      <c r="N23" s="698" t="s">
        <v>92</v>
      </c>
      <c r="O23" s="698" t="s">
        <v>93</v>
      </c>
      <c r="P23" s="698" t="s">
        <v>92</v>
      </c>
      <c r="Q23" s="698" t="s">
        <v>93</v>
      </c>
    </row>
    <row r="24" spans="1:17" x14ac:dyDescent="0.25">
      <c r="A24" s="5" t="str">
        <f t="shared" ref="A24:A30" si="7">A11</f>
        <v>2011-12</v>
      </c>
      <c r="B24" s="132">
        <f t="shared" ref="B24:B30" si="8">B11/(B11+C11)</f>
        <v>3.558547727819187E-2</v>
      </c>
      <c r="C24" s="132">
        <f t="shared" ref="C24:C30" si="9">C11/(B11+C11)</f>
        <v>0.96441452272180817</v>
      </c>
      <c r="D24" s="132">
        <f t="shared" ref="D24:D31" si="10">D11/(D11+E11)</f>
        <v>5.9633027522935783E-2</v>
      </c>
      <c r="E24" s="132">
        <f>E11/(D11+E11)</f>
        <v>0.94036697247706424</v>
      </c>
      <c r="F24" s="132"/>
      <c r="G24" s="132"/>
      <c r="H24" s="132">
        <f t="shared" ref="H24:H30" si="11">H11/(H11+I11)</f>
        <v>0.86324786324786329</v>
      </c>
      <c r="I24" s="132">
        <f t="shared" ref="I24:I30" si="12">I11/(H11+I11)</f>
        <v>0.13675213675213677</v>
      </c>
      <c r="J24" s="132">
        <f t="shared" ref="J24:J30" si="13">J11/(J11+K11)</f>
        <v>0.57130281690140849</v>
      </c>
      <c r="K24" s="132">
        <f t="shared" ref="K24:K30" si="14">K11/(K11+J11)</f>
        <v>0.42869718309859156</v>
      </c>
      <c r="L24" s="132">
        <f t="shared" ref="L24:L30" si="15">L11/(L11+M11)</f>
        <v>0.12854030501089325</v>
      </c>
      <c r="M24" s="132">
        <f t="shared" ref="M24:M30" si="16">M11/(M11+L11)</f>
        <v>0.8714596949891068</v>
      </c>
      <c r="N24" s="702">
        <f t="shared" ref="N24:N30" si="17">N11/(N11+O11)</f>
        <v>0.13716814159292035</v>
      </c>
      <c r="O24" s="132">
        <f t="shared" ref="O24:O30" si="18">O11/(N11+O11)</f>
        <v>0.86283185840707965</v>
      </c>
      <c r="P24" s="702">
        <f t="shared" ref="P24:P30" si="19">P11/(P11+Q11)</f>
        <v>0.13762964689430138</v>
      </c>
      <c r="Q24" s="712">
        <f t="shared" ref="Q24:Q30" si="20">Q11/(P11+Q11)</f>
        <v>0.86237035310569865</v>
      </c>
    </row>
    <row r="25" spans="1:17" x14ac:dyDescent="0.25">
      <c r="A25" s="5" t="str">
        <f t="shared" si="7"/>
        <v>2012-13</v>
      </c>
      <c r="B25" s="132">
        <f t="shared" si="8"/>
        <v>3.8063117321127438E-2</v>
      </c>
      <c r="C25" s="132">
        <f t="shared" si="9"/>
        <v>0.96193688267887256</v>
      </c>
      <c r="D25" s="132">
        <f t="shared" si="10"/>
        <v>5.6241872561768533E-2</v>
      </c>
      <c r="E25" s="132">
        <f t="shared" ref="E25" si="21">E12/(D12+E12)</f>
        <v>0.94375812743823151</v>
      </c>
      <c r="F25" s="132"/>
      <c r="G25" s="132"/>
      <c r="H25" s="132">
        <f t="shared" si="11"/>
        <v>0.86752136752136755</v>
      </c>
      <c r="I25" s="132">
        <f t="shared" si="12"/>
        <v>0.13247863247863248</v>
      </c>
      <c r="J25" s="132">
        <f t="shared" si="13"/>
        <v>0.55616942909760592</v>
      </c>
      <c r="K25" s="132">
        <f t="shared" si="14"/>
        <v>0.44383057090239408</v>
      </c>
      <c r="L25" s="132">
        <f t="shared" si="15"/>
        <v>0.12470023980815348</v>
      </c>
      <c r="M25" s="132">
        <f t="shared" si="16"/>
        <v>0.87529976019184652</v>
      </c>
      <c r="N25" s="703">
        <f t="shared" si="17"/>
        <v>0.13275323516287371</v>
      </c>
      <c r="O25" s="132">
        <f t="shared" si="18"/>
        <v>0.86724676483712626</v>
      </c>
      <c r="P25" s="703">
        <f t="shared" si="19"/>
        <v>0.13314613314613313</v>
      </c>
      <c r="Q25" s="713">
        <f t="shared" si="20"/>
        <v>0.86685386685386689</v>
      </c>
    </row>
    <row r="26" spans="1:17" x14ac:dyDescent="0.25">
      <c r="A26" s="5" t="str">
        <f t="shared" si="7"/>
        <v>2013-14</v>
      </c>
      <c r="B26" s="132">
        <f t="shared" si="8"/>
        <v>3.9740064983754063E-2</v>
      </c>
      <c r="C26" s="132">
        <f t="shared" si="9"/>
        <v>0.96025993501624596</v>
      </c>
      <c r="D26" s="132">
        <f t="shared" si="10"/>
        <v>6.0544217687074832E-2</v>
      </c>
      <c r="E26" s="132">
        <f t="shared" ref="E26" si="22">E13/(D13+E13)</f>
        <v>0.93945578231292515</v>
      </c>
      <c r="F26" s="132"/>
      <c r="G26" s="132"/>
      <c r="H26" s="132">
        <f t="shared" si="11"/>
        <v>0.8923766816143498</v>
      </c>
      <c r="I26" s="132">
        <f t="shared" si="12"/>
        <v>0.10762331838565023</v>
      </c>
      <c r="J26" s="132">
        <f t="shared" si="13"/>
        <v>0.56711758584807492</v>
      </c>
      <c r="K26" s="132">
        <f t="shared" si="14"/>
        <v>0.43288241415192508</v>
      </c>
      <c r="L26" s="132">
        <f t="shared" si="15"/>
        <v>0.14484679665738162</v>
      </c>
      <c r="M26" s="132">
        <f t="shared" si="16"/>
        <v>0.85515320334261835</v>
      </c>
      <c r="N26" s="703">
        <f t="shared" si="17"/>
        <v>0.13354549740688354</v>
      </c>
      <c r="O26" s="132">
        <f t="shared" si="18"/>
        <v>0.8664545025931164</v>
      </c>
      <c r="P26" s="703">
        <f t="shared" si="19"/>
        <v>0.13304615384615384</v>
      </c>
      <c r="Q26" s="713">
        <f t="shared" si="20"/>
        <v>0.86695384615384619</v>
      </c>
    </row>
    <row r="27" spans="1:17" x14ac:dyDescent="0.25">
      <c r="A27" s="5" t="str">
        <f t="shared" si="7"/>
        <v>2014-15</v>
      </c>
      <c r="B27" s="132">
        <f t="shared" si="8"/>
        <v>4.2531120331950209E-2</v>
      </c>
      <c r="C27" s="132">
        <f t="shared" si="9"/>
        <v>0.95746887966804983</v>
      </c>
      <c r="D27" s="132">
        <f t="shared" si="10"/>
        <v>5.8305084745762709E-2</v>
      </c>
      <c r="E27" s="132">
        <f t="shared" ref="E27" si="23">E14/(D14+E14)</f>
        <v>0.94169491525423732</v>
      </c>
      <c r="F27" s="132"/>
      <c r="G27" s="132"/>
      <c r="H27" s="132">
        <f t="shared" si="11"/>
        <v>0.83478260869565213</v>
      </c>
      <c r="I27" s="132">
        <f t="shared" si="12"/>
        <v>0.16521739130434782</v>
      </c>
      <c r="J27" s="132">
        <f t="shared" si="13"/>
        <v>0.55363321799307963</v>
      </c>
      <c r="K27" s="132">
        <f t="shared" si="14"/>
        <v>0.44636678200692043</v>
      </c>
      <c r="L27" s="132">
        <f t="shared" si="15"/>
        <v>0.14814814814814814</v>
      </c>
      <c r="M27" s="132">
        <f t="shared" si="16"/>
        <v>0.85185185185185186</v>
      </c>
      <c r="N27" s="703">
        <f t="shared" si="17"/>
        <v>0.12848689771766694</v>
      </c>
      <c r="O27" s="132">
        <f t="shared" si="18"/>
        <v>0.87151310228233303</v>
      </c>
      <c r="P27" s="703">
        <f t="shared" si="19"/>
        <v>0.1275465013286094</v>
      </c>
      <c r="Q27" s="713">
        <f t="shared" si="20"/>
        <v>0.87245349867139066</v>
      </c>
    </row>
    <row r="28" spans="1:17" x14ac:dyDescent="0.25">
      <c r="A28" s="5" t="str">
        <f t="shared" si="7"/>
        <v>2015-16</v>
      </c>
      <c r="B28" s="132">
        <f t="shared" si="8"/>
        <v>4.5257452574525743E-2</v>
      </c>
      <c r="C28" s="132">
        <f t="shared" si="9"/>
        <v>0.95474254742547426</v>
      </c>
      <c r="D28" s="132">
        <f t="shared" si="10"/>
        <v>5.6794425087108011E-2</v>
      </c>
      <c r="E28" s="132">
        <f t="shared" ref="E28" si="24">E15/(D15+E15)</f>
        <v>0.94320557491289203</v>
      </c>
      <c r="F28" s="132"/>
      <c r="G28" s="132"/>
      <c r="H28" s="132">
        <f t="shared" si="11"/>
        <v>0.8423645320197044</v>
      </c>
      <c r="I28" s="132">
        <f t="shared" si="12"/>
        <v>0.15763546798029557</v>
      </c>
      <c r="J28" s="132">
        <f t="shared" si="13"/>
        <v>0.5591787439613527</v>
      </c>
      <c r="K28" s="132">
        <f t="shared" si="14"/>
        <v>0.44082125603864736</v>
      </c>
      <c r="L28" s="132">
        <f t="shared" si="15"/>
        <v>0.16374269005847952</v>
      </c>
      <c r="M28" s="132">
        <f t="shared" si="16"/>
        <v>0.83625730994152048</v>
      </c>
      <c r="N28" s="703">
        <f t="shared" si="17"/>
        <v>0.12857683095928402</v>
      </c>
      <c r="O28" s="132">
        <f t="shared" si="18"/>
        <v>0.87142316904071604</v>
      </c>
      <c r="P28" s="703">
        <f t="shared" si="19"/>
        <v>0.12699249110789093</v>
      </c>
      <c r="Q28" s="713">
        <f t="shared" si="20"/>
        <v>0.8730075088921091</v>
      </c>
    </row>
    <row r="29" spans="1:17" x14ac:dyDescent="0.25">
      <c r="A29" s="5" t="str">
        <f t="shared" si="7"/>
        <v>2016-17</v>
      </c>
      <c r="B29" s="132">
        <f t="shared" si="8"/>
        <v>4.8834019204389574E-2</v>
      </c>
      <c r="C29" s="132">
        <f t="shared" si="9"/>
        <v>0.95116598079561043</v>
      </c>
      <c r="D29" s="132">
        <f t="shared" si="10"/>
        <v>5.5052264808362367E-2</v>
      </c>
      <c r="E29" s="132">
        <f t="shared" ref="E29" si="25">E16/(D16+E16)</f>
        <v>0.94494773519163766</v>
      </c>
      <c r="F29" s="132"/>
      <c r="G29" s="132"/>
      <c r="H29" s="132">
        <f t="shared" si="11"/>
        <v>0.84242424242424241</v>
      </c>
      <c r="I29" s="132">
        <f t="shared" si="12"/>
        <v>0.15757575757575756</v>
      </c>
      <c r="J29" s="132">
        <f t="shared" si="13"/>
        <v>0.55608591885441527</v>
      </c>
      <c r="K29" s="132">
        <f t="shared" si="14"/>
        <v>0.44391408114558473</v>
      </c>
      <c r="L29" s="132">
        <f t="shared" si="15"/>
        <v>0.15189873417721519</v>
      </c>
      <c r="M29" s="132">
        <f t="shared" si="16"/>
        <v>0.84810126582278478</v>
      </c>
      <c r="N29" s="703">
        <f t="shared" si="17"/>
        <v>0.12624457492979321</v>
      </c>
      <c r="O29" s="132">
        <f t="shared" si="18"/>
        <v>0.87375542507020676</v>
      </c>
      <c r="P29" s="703">
        <f t="shared" si="19"/>
        <v>0.12516626762436819</v>
      </c>
      <c r="Q29" s="713">
        <f t="shared" si="20"/>
        <v>0.87483373237563178</v>
      </c>
    </row>
    <row r="30" spans="1:17" x14ac:dyDescent="0.25">
      <c r="A30" s="133" t="str">
        <f t="shared" si="7"/>
        <v>2017-18</v>
      </c>
      <c r="B30" s="132">
        <f t="shared" si="8"/>
        <v>4.9351381838691484E-2</v>
      </c>
      <c r="C30" s="132">
        <f t="shared" si="9"/>
        <v>0.95064861816130852</v>
      </c>
      <c r="D30" s="132">
        <f t="shared" si="10"/>
        <v>5.9727558505064615E-2</v>
      </c>
      <c r="E30" s="132">
        <f t="shared" ref="E30" si="26">E17/(D17+E17)</f>
        <v>0.94027244149493538</v>
      </c>
      <c r="F30" s="132"/>
      <c r="G30" s="132"/>
      <c r="H30" s="132">
        <f t="shared" si="11"/>
        <v>0.83597883597883593</v>
      </c>
      <c r="I30" s="132">
        <f t="shared" si="12"/>
        <v>0.16402116402116401</v>
      </c>
      <c r="J30" s="132">
        <f t="shared" si="13"/>
        <v>0.56264775413711587</v>
      </c>
      <c r="K30" s="132">
        <f t="shared" si="14"/>
        <v>0.43735224586288418</v>
      </c>
      <c r="L30" s="132">
        <f t="shared" si="15"/>
        <v>0.16566265060240964</v>
      </c>
      <c r="M30" s="132">
        <f t="shared" si="16"/>
        <v>0.83433734939759041</v>
      </c>
      <c r="N30" s="703">
        <f t="shared" si="17"/>
        <v>0.13310185185185186</v>
      </c>
      <c r="O30" s="132">
        <f t="shared" si="18"/>
        <v>0.86689814814814814</v>
      </c>
      <c r="P30" s="703">
        <f t="shared" si="19"/>
        <v>0.13164965072541646</v>
      </c>
      <c r="Q30" s="713">
        <f t="shared" si="20"/>
        <v>0.86835034927458354</v>
      </c>
    </row>
    <row r="31" spans="1:17" x14ac:dyDescent="0.25">
      <c r="A31" s="133" t="str">
        <f t="shared" ref="A31:A32" si="27">A18</f>
        <v>2018-19</v>
      </c>
      <c r="B31" s="132">
        <f t="shared" ref="B31:B32" si="28">B18/(B18+C18)</f>
        <v>5.3890569150398679E-2</v>
      </c>
      <c r="C31" s="132">
        <f t="shared" ref="C31:C32" si="29">C18/(B18+C18)</f>
        <v>0.94610943084960131</v>
      </c>
      <c r="D31" s="132">
        <f t="shared" si="10"/>
        <v>6.8483816013628615E-2</v>
      </c>
      <c r="E31" s="132">
        <f>E18/(D18+E18)</f>
        <v>0.93151618398637137</v>
      </c>
      <c r="F31" s="132"/>
      <c r="G31" s="132"/>
      <c r="H31" s="132">
        <f t="shared" ref="H31:H32" si="30">H18/(H18+I18)</f>
        <v>0.83091787439613529</v>
      </c>
      <c r="I31" s="132">
        <f t="shared" ref="I31:I32" si="31">I18/(H18+I18)</f>
        <v>0.16908212560386474</v>
      </c>
      <c r="J31" s="132">
        <f t="shared" ref="J31:J32" si="32">J18/(J18+K18)</f>
        <v>0.53914141414141414</v>
      </c>
      <c r="K31" s="132">
        <f t="shared" ref="K31:K32" si="33">K18/(K18+J18)</f>
        <v>0.46085858585858586</v>
      </c>
      <c r="L31" s="132">
        <f t="shared" ref="L31:L32" si="34">L18/(L18+M18)</f>
        <v>0.17034700315457413</v>
      </c>
      <c r="M31" s="132">
        <f t="shared" ref="M31:M32" si="35">M18/(M18+L18)</f>
        <v>0.82965299684542582</v>
      </c>
      <c r="N31" s="703">
        <f t="shared" ref="N31:N32" si="36">N18/(N18+O18)</f>
        <v>0.13311359026369168</v>
      </c>
      <c r="O31" s="132">
        <f t="shared" ref="O31:O32" si="37">O18/(N18+O18)</f>
        <v>0.86688640973630826</v>
      </c>
      <c r="P31" s="703">
        <f t="shared" ref="P31" si="38">P18/(P18+Q18)</f>
        <v>0.13155461629903578</v>
      </c>
      <c r="Q31" s="713">
        <f t="shared" ref="Q31:Q32" si="39">Q18/(P18+Q18)</f>
        <v>0.86844538370096425</v>
      </c>
    </row>
    <row r="32" spans="1:17" x14ac:dyDescent="0.25">
      <c r="A32" s="134" t="str">
        <f t="shared" si="27"/>
        <v>2019-20</v>
      </c>
      <c r="B32" s="135">
        <f t="shared" si="28"/>
        <v>6.1056105610561059E-2</v>
      </c>
      <c r="C32" s="135">
        <f t="shared" si="29"/>
        <v>0.93894389438943893</v>
      </c>
      <c r="D32" s="135">
        <f t="shared" ref="D32" si="40">D19/(D19+E19)</f>
        <v>7.0820565202587671E-2</v>
      </c>
      <c r="E32" s="135">
        <f t="shared" ref="E32" si="41">E19/(D19+E19)</f>
        <v>0.92917943479741227</v>
      </c>
      <c r="F32" s="135">
        <f>F19/(G19+F19)</f>
        <v>0.19444444444444445</v>
      </c>
      <c r="G32" s="135">
        <f>G19/(F19+G19)</f>
        <v>0.80555555555555558</v>
      </c>
      <c r="H32" s="135">
        <f t="shared" si="30"/>
        <v>0.82978723404255317</v>
      </c>
      <c r="I32" s="135">
        <f t="shared" si="31"/>
        <v>0.1702127659574468</v>
      </c>
      <c r="J32" s="135">
        <f t="shared" si="32"/>
        <v>0.54645476772616142</v>
      </c>
      <c r="K32" s="135">
        <f t="shared" si="33"/>
        <v>0.45354523227383864</v>
      </c>
      <c r="L32" s="135">
        <f t="shared" si="34"/>
        <v>0.17142857142857143</v>
      </c>
      <c r="M32" s="135">
        <f t="shared" si="35"/>
        <v>0.82857142857142863</v>
      </c>
      <c r="N32" s="704">
        <f t="shared" si="36"/>
        <v>0.13769951862173802</v>
      </c>
      <c r="O32" s="135">
        <f t="shared" si="37"/>
        <v>0.86230048137826198</v>
      </c>
      <c r="P32" s="704">
        <f>P19/(P19+Q19)</f>
        <v>0.13629766459955139</v>
      </c>
      <c r="Q32" s="714">
        <f t="shared" si="39"/>
        <v>0.86370233540044861</v>
      </c>
    </row>
    <row r="33" spans="1:17" x14ac:dyDescent="0.25">
      <c r="A33" s="13"/>
      <c r="B33" s="13"/>
      <c r="C33" s="130"/>
      <c r="D33" s="130"/>
      <c r="E33" s="130"/>
      <c r="F33" s="130"/>
      <c r="G33" s="130"/>
      <c r="H33" s="130"/>
      <c r="I33" s="130"/>
      <c r="J33" s="130"/>
      <c r="K33" s="130"/>
      <c r="L33" s="130"/>
      <c r="M33" s="130"/>
      <c r="N33" s="130"/>
      <c r="O33" s="130"/>
      <c r="P33" s="130"/>
      <c r="Q33" s="130"/>
    </row>
    <row r="34" spans="1:17" ht="15" customHeight="1" x14ac:dyDescent="0.25">
      <c r="A34" s="1090" t="str">
        <f>"One Year Change " &amp; A18 &amp; " to " &amp; A19</f>
        <v>One Year Change 2018-19 to 2019-20</v>
      </c>
      <c r="B34" s="1090"/>
      <c r="C34" s="1090"/>
      <c r="D34" s="13"/>
      <c r="E34" s="13"/>
      <c r="F34" s="13"/>
      <c r="G34" s="13"/>
      <c r="H34" s="13"/>
      <c r="I34" s="13"/>
      <c r="J34" s="13"/>
      <c r="K34" s="13"/>
      <c r="L34" s="28"/>
      <c r="M34" s="125"/>
      <c r="N34" s="16"/>
      <c r="O34" s="16"/>
      <c r="P34" s="28"/>
      <c r="Q34" s="28"/>
    </row>
    <row r="35" spans="1:17" x14ac:dyDescent="0.25">
      <c r="A35" s="25" t="s">
        <v>6</v>
      </c>
      <c r="B35" s="136">
        <f>B19-B18</f>
        <v>26</v>
      </c>
      <c r="C35" s="136">
        <f t="shared" ref="C35:Q35" si="42">C19-C18</f>
        <v>-27</v>
      </c>
      <c r="D35" s="136">
        <f t="shared" si="42"/>
        <v>7</v>
      </c>
      <c r="E35" s="136">
        <f t="shared" si="42"/>
        <v>-5</v>
      </c>
      <c r="F35" s="136">
        <f t="shared" si="42"/>
        <v>7</v>
      </c>
      <c r="G35" s="136">
        <f t="shared" si="42"/>
        <v>29</v>
      </c>
      <c r="H35" s="136">
        <f t="shared" si="42"/>
        <v>-16</v>
      </c>
      <c r="I35" s="136">
        <f t="shared" si="42"/>
        <v>-3</v>
      </c>
      <c r="J35" s="136">
        <f t="shared" si="42"/>
        <v>20</v>
      </c>
      <c r="K35" s="136">
        <f t="shared" si="42"/>
        <v>6</v>
      </c>
      <c r="L35" s="136">
        <f t="shared" si="42"/>
        <v>0</v>
      </c>
      <c r="M35" s="136">
        <f t="shared" si="42"/>
        <v>-2</v>
      </c>
      <c r="N35" s="707">
        <f t="shared" si="42"/>
        <v>37</v>
      </c>
      <c r="O35" s="136">
        <f t="shared" si="42"/>
        <v>-31</v>
      </c>
      <c r="P35" s="707">
        <f t="shared" si="42"/>
        <v>37</v>
      </c>
      <c r="Q35" s="715">
        <f t="shared" si="42"/>
        <v>-29</v>
      </c>
    </row>
    <row r="36" spans="1:17" ht="15.75" thickBot="1" x14ac:dyDescent="0.3">
      <c r="A36" s="11" t="s">
        <v>7</v>
      </c>
      <c r="B36" s="12">
        <f>B35/B18</f>
        <v>0.1326530612244898</v>
      </c>
      <c r="C36" s="12">
        <f t="shared" ref="C36:Q36" si="43">C35/C18</f>
        <v>-7.8465562336530077E-3</v>
      </c>
      <c r="D36" s="12">
        <f t="shared" si="43"/>
        <v>3.482587064676617E-2</v>
      </c>
      <c r="E36" s="12">
        <f t="shared" si="43"/>
        <v>-1.8288222384784199E-3</v>
      </c>
      <c r="F36" s="12"/>
      <c r="G36" s="12"/>
      <c r="H36" s="12">
        <f t="shared" si="43"/>
        <v>-9.3023255813953487E-2</v>
      </c>
      <c r="I36" s="12">
        <f t="shared" si="43"/>
        <v>-8.5714285714285715E-2</v>
      </c>
      <c r="J36" s="12">
        <f t="shared" si="43"/>
        <v>4.6838407494145202E-2</v>
      </c>
      <c r="K36" s="12">
        <f t="shared" si="43"/>
        <v>1.643835616438356E-2</v>
      </c>
      <c r="L36" s="12">
        <f t="shared" si="43"/>
        <v>0</v>
      </c>
      <c r="M36" s="12">
        <f t="shared" si="43"/>
        <v>-7.6045627376425855E-3</v>
      </c>
      <c r="N36" s="708">
        <f t="shared" si="43"/>
        <v>3.5238095238095235E-2</v>
      </c>
      <c r="O36" s="12">
        <f t="shared" si="43"/>
        <v>-4.5334893243638491E-3</v>
      </c>
      <c r="P36" s="708">
        <f t="shared" si="43"/>
        <v>3.7148594377510037E-2</v>
      </c>
      <c r="Q36" s="716">
        <f t="shared" si="43"/>
        <v>-4.4106463878326998E-3</v>
      </c>
    </row>
    <row r="37" spans="1:17" x14ac:dyDescent="0.25">
      <c r="A37" s="13"/>
      <c r="B37" s="14"/>
      <c r="C37" s="14"/>
      <c r="D37" s="14"/>
      <c r="E37" s="14"/>
      <c r="F37" s="14"/>
      <c r="G37" s="14"/>
      <c r="H37" s="14"/>
      <c r="I37" s="14"/>
      <c r="J37" s="14"/>
      <c r="K37" s="13"/>
      <c r="L37" s="28"/>
      <c r="M37" s="125"/>
      <c r="N37" s="13"/>
      <c r="O37" s="13"/>
      <c r="P37" s="123"/>
      <c r="Q37" s="123"/>
    </row>
    <row r="38" spans="1:17" x14ac:dyDescent="0.25">
      <c r="A38" s="1090" t="str">
        <f>"Five Year Change " &amp; A14 &amp; " to " &amp; A19</f>
        <v>Five Year Change 2014-15 to 2019-20</v>
      </c>
      <c r="B38" s="1090"/>
      <c r="C38" s="1090"/>
      <c r="D38" s="13"/>
      <c r="E38" s="13"/>
      <c r="F38" s="13"/>
      <c r="G38" s="13"/>
      <c r="H38" s="13"/>
      <c r="I38" s="13"/>
      <c r="J38" s="13"/>
      <c r="K38" s="13"/>
      <c r="L38" s="28"/>
      <c r="M38" s="125"/>
      <c r="N38" s="16"/>
      <c r="O38" s="16"/>
      <c r="P38" s="28"/>
      <c r="Q38" s="28"/>
    </row>
    <row r="39" spans="1:17" x14ac:dyDescent="0.25">
      <c r="A39" s="25" t="s">
        <v>6</v>
      </c>
      <c r="B39" s="136">
        <f>B19-B14</f>
        <v>58</v>
      </c>
      <c r="C39" s="136">
        <f t="shared" ref="C39:P39" si="44">C19-C14</f>
        <v>-278</v>
      </c>
      <c r="D39" s="136">
        <f t="shared" si="44"/>
        <v>36</v>
      </c>
      <c r="E39" s="136">
        <f t="shared" si="44"/>
        <v>-49</v>
      </c>
      <c r="F39" s="136">
        <f t="shared" si="44"/>
        <v>7</v>
      </c>
      <c r="G39" s="136">
        <f t="shared" si="44"/>
        <v>29</v>
      </c>
      <c r="H39" s="136">
        <f t="shared" si="44"/>
        <v>-36</v>
      </c>
      <c r="I39" s="136">
        <f t="shared" si="44"/>
        <v>-6</v>
      </c>
      <c r="J39" s="136">
        <f t="shared" si="44"/>
        <v>-33</v>
      </c>
      <c r="K39" s="136">
        <f t="shared" si="44"/>
        <v>-16</v>
      </c>
      <c r="L39" s="136">
        <f t="shared" si="44"/>
        <v>-2</v>
      </c>
      <c r="M39" s="136">
        <f t="shared" si="44"/>
        <v>-61</v>
      </c>
      <c r="N39" s="707">
        <f t="shared" si="44"/>
        <v>23</v>
      </c>
      <c r="O39" s="136">
        <f t="shared" si="44"/>
        <v>-410</v>
      </c>
      <c r="P39" s="707">
        <f t="shared" si="44"/>
        <v>25</v>
      </c>
      <c r="Q39" s="715">
        <f>Q19-Q14</f>
        <v>-349</v>
      </c>
    </row>
    <row r="40" spans="1:17" ht="15.75" thickBot="1" x14ac:dyDescent="0.3">
      <c r="A40" s="11" t="s">
        <v>7</v>
      </c>
      <c r="B40" s="12">
        <f>B39/B14</f>
        <v>0.35365853658536583</v>
      </c>
      <c r="C40" s="12">
        <f t="shared" ref="C40:Q40" si="45">C39/C14</f>
        <v>-7.5297941495124587E-2</v>
      </c>
      <c r="D40" s="12">
        <f t="shared" si="45"/>
        <v>0.20930232558139536</v>
      </c>
      <c r="E40" s="12">
        <f t="shared" si="45"/>
        <v>-1.7638588912886968E-2</v>
      </c>
      <c r="F40" s="12"/>
      <c r="G40" s="12"/>
      <c r="H40" s="12">
        <f t="shared" si="45"/>
        <v>-0.1875</v>
      </c>
      <c r="I40" s="12">
        <f t="shared" si="45"/>
        <v>-0.15789473684210525</v>
      </c>
      <c r="J40" s="12">
        <f t="shared" si="45"/>
        <v>-6.8750000000000006E-2</v>
      </c>
      <c r="K40" s="12">
        <f t="shared" si="45"/>
        <v>-4.1343669250645997E-2</v>
      </c>
      <c r="L40" s="12">
        <f t="shared" si="45"/>
        <v>-3.5714285714285712E-2</v>
      </c>
      <c r="M40" s="12">
        <f t="shared" si="45"/>
        <v>-0.18944099378881987</v>
      </c>
      <c r="N40" s="708">
        <f t="shared" si="45"/>
        <v>2.1616541353383457E-2</v>
      </c>
      <c r="O40" s="12">
        <f t="shared" si="45"/>
        <v>-5.6810308992656225E-2</v>
      </c>
      <c r="P40" s="708">
        <f t="shared" si="45"/>
        <v>2.48015873015873E-2</v>
      </c>
      <c r="Q40" s="716">
        <f t="shared" si="45"/>
        <v>-5.0616388687454675E-2</v>
      </c>
    </row>
    <row r="42" spans="1:17" x14ac:dyDescent="0.25">
      <c r="A42" s="437" t="s">
        <v>1062</v>
      </c>
    </row>
    <row r="43" spans="1:17" ht="15" customHeight="1" x14ac:dyDescent="0.25">
      <c r="A43" s="677" t="s">
        <v>1063</v>
      </c>
      <c r="B43" s="677"/>
      <c r="C43" s="677"/>
      <c r="D43" s="677"/>
      <c r="E43" s="677"/>
      <c r="F43" s="677"/>
      <c r="G43" s="677"/>
    </row>
  </sheetData>
  <sheetProtection algorithmName="SHA-512" hashValue="xmg8DxivApxDh9K5aHhpiV/kD+OAWVQW5YVBC8UM2ai0L6MF7A5O0/B6z4efn1WoUkk9Ql4l0pGGSQ4rN5MBEA==" saltValue="m4Eam+xhtpDI2HxWWXUB4Q==" spinCount="100000" sheet="1" scenarios="1" formatCells="0" formatColumns="0" formatRows="0" sort="0" autoFilter="0" pivotTables="0"/>
  <mergeCells count="20">
    <mergeCell ref="A38:C38"/>
    <mergeCell ref="A34:C34"/>
    <mergeCell ref="B22:C22"/>
    <mergeCell ref="D22:E22"/>
    <mergeCell ref="H22:I22"/>
    <mergeCell ref="N9:O9"/>
    <mergeCell ref="P9:Q9"/>
    <mergeCell ref="A1:E1"/>
    <mergeCell ref="L22:M22"/>
    <mergeCell ref="N22:O22"/>
    <mergeCell ref="P22:Q22"/>
    <mergeCell ref="J22:K22"/>
    <mergeCell ref="A4:Q4"/>
    <mergeCell ref="B9:C9"/>
    <mergeCell ref="D9:E9"/>
    <mergeCell ref="H9:I9"/>
    <mergeCell ref="J9:K9"/>
    <mergeCell ref="L9:M9"/>
    <mergeCell ref="F9:G9"/>
    <mergeCell ref="F22:G22"/>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3"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G19"/>
  <sheetViews>
    <sheetView showGridLines="0" workbookViewId="0">
      <pane ySplit="2" topLeftCell="A3" activePane="bottomLeft" state="frozen"/>
      <selection pane="bottomLeft" sqref="A1:C1"/>
    </sheetView>
  </sheetViews>
  <sheetFormatPr defaultRowHeight="15" x14ac:dyDescent="0.25"/>
  <cols>
    <col min="1" max="1" width="25" customWidth="1"/>
    <col min="2" max="3" width="7.7109375" customWidth="1"/>
    <col min="4" max="4" width="11.42578125" customWidth="1"/>
    <col min="5" max="6" width="7.7109375" customWidth="1"/>
    <col min="7" max="7" width="11.5703125" customWidth="1"/>
  </cols>
  <sheetData>
    <row r="1" spans="1:7" ht="15.75" x14ac:dyDescent="0.25">
      <c r="A1" s="1077" t="s">
        <v>505</v>
      </c>
      <c r="B1" s="1077"/>
      <c r="C1" s="1077"/>
    </row>
    <row r="2" spans="1:7" x14ac:dyDescent="0.25">
      <c r="A2" s="772" t="s">
        <v>578</v>
      </c>
    </row>
    <row r="3" spans="1:7" x14ac:dyDescent="0.25">
      <c r="A3" s="31"/>
      <c r="B3" s="31"/>
      <c r="C3" s="31"/>
      <c r="D3" s="31"/>
      <c r="E3" s="31"/>
      <c r="F3" s="31"/>
      <c r="G3" s="31"/>
    </row>
    <row r="4" spans="1:7" ht="22.5" customHeight="1" x14ac:dyDescent="0.25">
      <c r="A4" s="1105" t="s">
        <v>519</v>
      </c>
      <c r="B4" s="1105"/>
      <c r="C4" s="1105"/>
      <c r="D4" s="1105"/>
      <c r="E4" s="1105"/>
      <c r="F4" s="1105"/>
      <c r="G4" s="1105"/>
    </row>
    <row r="5" spans="1:7" ht="15" customHeight="1" x14ac:dyDescent="0.25">
      <c r="A5" t="s">
        <v>363</v>
      </c>
      <c r="B5" t="s">
        <v>756</v>
      </c>
      <c r="C5" s="621"/>
      <c r="D5" s="630"/>
      <c r="E5" s="630"/>
      <c r="F5" s="630"/>
      <c r="G5" s="630"/>
    </row>
    <row r="6" spans="1:7" ht="15" customHeight="1" x14ac:dyDescent="0.25">
      <c r="A6" t="s">
        <v>364</v>
      </c>
      <c r="B6" t="s">
        <v>366</v>
      </c>
      <c r="C6" s="621"/>
      <c r="D6" s="630"/>
      <c r="E6" s="630"/>
      <c r="F6" s="630"/>
      <c r="G6" s="630"/>
    </row>
    <row r="7" spans="1:7" ht="15" customHeight="1" x14ac:dyDescent="0.25">
      <c r="A7" t="s">
        <v>365</v>
      </c>
      <c r="B7" t="s">
        <v>367</v>
      </c>
      <c r="C7" s="621"/>
      <c r="D7" s="630"/>
      <c r="E7" s="630"/>
      <c r="F7" s="630"/>
      <c r="G7" s="630"/>
    </row>
    <row r="8" spans="1:7" x14ac:dyDescent="0.25">
      <c r="A8" s="181"/>
      <c r="B8" s="181"/>
      <c r="C8" s="181"/>
      <c r="D8" s="546" t="s">
        <v>6</v>
      </c>
      <c r="E8" s="78"/>
      <c r="F8" s="78"/>
      <c r="G8" s="182" t="s">
        <v>7</v>
      </c>
    </row>
    <row r="9" spans="1:7" ht="25.5" x14ac:dyDescent="0.25">
      <c r="A9" s="183" t="s">
        <v>523</v>
      </c>
      <c r="B9" s="184" t="s">
        <v>92</v>
      </c>
      <c r="C9" s="184" t="s">
        <v>93</v>
      </c>
      <c r="D9" s="184" t="s">
        <v>26</v>
      </c>
      <c r="E9" s="727" t="s">
        <v>92</v>
      </c>
      <c r="F9" s="184" t="s">
        <v>93</v>
      </c>
      <c r="G9" s="184" t="s">
        <v>26</v>
      </c>
    </row>
    <row r="10" spans="1:7" x14ac:dyDescent="0.25">
      <c r="A10" s="151" t="s">
        <v>27</v>
      </c>
      <c r="B10" s="186">
        <f>GETPIVOTDATA("Sum of Female",'h8'!$A$4,"Type","WT")</f>
        <v>222</v>
      </c>
      <c r="C10" s="186">
        <f>GETPIVOTDATA("Sum of Male",'h8'!$A$4,"Type","WT")</f>
        <v>3414</v>
      </c>
      <c r="D10" s="188">
        <f t="shared" ref="D10:D15" si="0">B10+C10</f>
        <v>3636</v>
      </c>
      <c r="E10" s="728">
        <f t="shared" ref="E10:E16" si="1">B10/D10</f>
        <v>6.1056105610561059E-2</v>
      </c>
      <c r="F10" s="189">
        <f t="shared" ref="F10:F16" si="2">C10/D10</f>
        <v>0.93894389438943893</v>
      </c>
      <c r="G10" s="189">
        <f t="shared" ref="G10:G15" si="3">D10/$D$16</f>
        <v>0.45851197982345521</v>
      </c>
    </row>
    <row r="11" spans="1:7" x14ac:dyDescent="0.25">
      <c r="A11" s="438" t="s">
        <v>28</v>
      </c>
      <c r="B11" s="186">
        <f>GETPIVOTDATA("Sum of Female",'h8'!$A$4,"Type","RDS")</f>
        <v>208</v>
      </c>
      <c r="C11" s="186">
        <f>GETPIVOTDATA("Sum of Male",'h8'!$A$4,"Type","RDS")</f>
        <v>2729</v>
      </c>
      <c r="D11" s="188">
        <f t="shared" si="0"/>
        <v>2937</v>
      </c>
      <c r="E11" s="728">
        <f t="shared" si="1"/>
        <v>7.0820565202587671E-2</v>
      </c>
      <c r="F11" s="189">
        <f t="shared" si="2"/>
        <v>0.92917943479741227</v>
      </c>
      <c r="G11" s="189">
        <f t="shared" si="3"/>
        <v>0.37036569987389661</v>
      </c>
    </row>
    <row r="12" spans="1:7" x14ac:dyDescent="0.25">
      <c r="A12" s="438" t="s">
        <v>850</v>
      </c>
      <c r="B12" s="186">
        <f>IFERROR(GETPIVOTDATA("Sum of Female",'h8'!$A$4,"Type","RDS Fulltime"),0)</f>
        <v>7</v>
      </c>
      <c r="C12" s="186">
        <f>IFERROR(GETPIVOTDATA("Sum of Male",'h8'!$A$4,"Type","RDS Fulltime"),0)</f>
        <v>29</v>
      </c>
      <c r="D12" s="188">
        <f t="shared" si="0"/>
        <v>36</v>
      </c>
      <c r="E12" s="728">
        <f>IFERROR(B12/D12,"")</f>
        <v>0.19444444444444445</v>
      </c>
      <c r="F12" s="189">
        <f>IFERROR(C12/D12,"")</f>
        <v>0.80555555555555558</v>
      </c>
      <c r="G12" s="189">
        <f t="shared" si="3"/>
        <v>4.5397225725094578E-3</v>
      </c>
    </row>
    <row r="13" spans="1:7" x14ac:dyDescent="0.25">
      <c r="A13" s="438" t="s">
        <v>2</v>
      </c>
      <c r="B13" s="186">
        <f>GETPIVOTDATA("Sum of Female",'h8'!$A$4,"Type","Control")</f>
        <v>156</v>
      </c>
      <c r="C13" s="186">
        <f>GETPIVOTDATA("Sum of Male",'h8'!$A$4,"Type","Control")</f>
        <v>32</v>
      </c>
      <c r="D13" s="188">
        <f t="shared" si="0"/>
        <v>188</v>
      </c>
      <c r="E13" s="728">
        <f t="shared" si="1"/>
        <v>0.82978723404255317</v>
      </c>
      <c r="F13" s="189">
        <f t="shared" si="2"/>
        <v>0.1702127659574468</v>
      </c>
      <c r="G13" s="189">
        <f t="shared" si="3"/>
        <v>2.3707440100882726E-2</v>
      </c>
    </row>
    <row r="14" spans="1:7" x14ac:dyDescent="0.25">
      <c r="A14" s="438" t="s">
        <v>90</v>
      </c>
      <c r="B14" s="186">
        <f>GETPIVOTDATA("Sum of Female",'h8'!$A$4,"Type","Support")</f>
        <v>447</v>
      </c>
      <c r="C14" s="186">
        <f>GETPIVOTDATA("Sum of Male",'h8'!$A$4,"Type","Support")</f>
        <v>371</v>
      </c>
      <c r="D14" s="188">
        <f t="shared" si="0"/>
        <v>818</v>
      </c>
      <c r="E14" s="728">
        <f t="shared" si="1"/>
        <v>0.54645476772616142</v>
      </c>
      <c r="F14" s="189">
        <f t="shared" si="2"/>
        <v>0.45354523227383864</v>
      </c>
      <c r="G14" s="189">
        <f t="shared" si="3"/>
        <v>0.10315258511979823</v>
      </c>
    </row>
    <row r="15" spans="1:7" x14ac:dyDescent="0.25">
      <c r="A15" s="438" t="s">
        <v>29</v>
      </c>
      <c r="B15" s="187">
        <f>GETPIVOTDATA("Sum of Female",'h8'!$A$4,"Type","Vol")</f>
        <v>54</v>
      </c>
      <c r="C15" s="187">
        <f>GETPIVOTDATA("Sum of Male",'h8'!$A$4,"Type","Vol")</f>
        <v>261</v>
      </c>
      <c r="D15" s="188">
        <f t="shared" si="0"/>
        <v>315</v>
      </c>
      <c r="E15" s="728">
        <f t="shared" si="1"/>
        <v>0.17142857142857143</v>
      </c>
      <c r="F15" s="189">
        <f t="shared" si="2"/>
        <v>0.82857142857142863</v>
      </c>
      <c r="G15" s="189">
        <f t="shared" si="3"/>
        <v>3.9722572509457758E-2</v>
      </c>
    </row>
    <row r="16" spans="1:7" ht="15.75" thickBot="1" x14ac:dyDescent="0.3">
      <c r="A16" s="190" t="s">
        <v>101</v>
      </c>
      <c r="B16" s="191">
        <f>SUM(B10:B15)</f>
        <v>1094</v>
      </c>
      <c r="C16" s="191">
        <f>SUM(C10:C15)</f>
        <v>6836</v>
      </c>
      <c r="D16" s="191">
        <f>C16+B16</f>
        <v>7930</v>
      </c>
      <c r="E16" s="729">
        <f t="shared" si="1"/>
        <v>0.13795712484237074</v>
      </c>
      <c r="F16" s="192">
        <f t="shared" si="2"/>
        <v>0.86204287515762923</v>
      </c>
      <c r="G16" s="192">
        <f t="shared" ref="G16" si="4">D16/$D$16</f>
        <v>1</v>
      </c>
    </row>
    <row r="17" spans="1:7" x14ac:dyDescent="0.25">
      <c r="A17" s="31"/>
      <c r="B17" s="31"/>
      <c r="C17" s="31"/>
      <c r="D17" s="31"/>
      <c r="E17" s="31"/>
      <c r="F17" s="31"/>
      <c r="G17" s="31"/>
    </row>
    <row r="18" spans="1:7" x14ac:dyDescent="0.25">
      <c r="A18" s="438" t="s">
        <v>1062</v>
      </c>
      <c r="B18" s="31"/>
      <c r="C18" s="31"/>
      <c r="D18" s="31"/>
      <c r="E18" s="31"/>
      <c r="F18" s="31"/>
      <c r="G18" s="31"/>
    </row>
    <row r="19" spans="1:7" ht="27" customHeight="1" x14ac:dyDescent="0.25">
      <c r="A19" s="1076" t="s">
        <v>1063</v>
      </c>
      <c r="B19" s="1076"/>
      <c r="C19" s="1076"/>
      <c r="D19" s="1076"/>
      <c r="E19" s="1076"/>
      <c r="F19" s="1076"/>
      <c r="G19" s="1076"/>
    </row>
  </sheetData>
  <sheetProtection algorithmName="SHA-512" hashValue="G8AvHY5Nh5O33MhI4vJUfc2Qwwv4YMoQrVE38l6yVlP1neg7TDD12VVx/jewPq8gBTmRkSNcpAyVm/AQoJoh4A==" saltValue="VRlUB9pcj6lsGzhq1us9dQ==" spinCount="100000" sheet="1" scenarios="1" formatCells="0" formatColumns="0" formatRows="0" sort="0" autoFilter="0" pivotTables="0"/>
  <mergeCells count="3">
    <mergeCell ref="A4:G4"/>
    <mergeCell ref="A1:C1"/>
    <mergeCell ref="A19:G1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0" orientation="portrait" r:id="rId1"/>
  <drawing r:id="rId2"/>
  <extLst>
    <ext xmlns:x14="http://schemas.microsoft.com/office/spreadsheetml/2009/9/main" uri="{A8765BA9-456A-4dab-B4F3-ACF838C121DE}">
      <x14:slicerList>
        <x14:slicer r:id="rId3"/>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E36"/>
  <sheetViews>
    <sheetView workbookViewId="0">
      <selection activeCell="C5" sqref="C5"/>
    </sheetView>
  </sheetViews>
  <sheetFormatPr defaultRowHeight="15" x14ac:dyDescent="0.25"/>
  <cols>
    <col min="1" max="1" width="25.5703125" customWidth="1"/>
    <col min="2" max="2" width="25" bestFit="1" customWidth="1"/>
    <col min="3" max="3" width="23.85546875" bestFit="1" customWidth="1"/>
    <col min="4" max="4" width="17.28515625" customWidth="1"/>
    <col min="5" max="5" width="12" customWidth="1"/>
    <col min="6" max="6" width="16" customWidth="1"/>
    <col min="7" max="7" width="12.5703125" customWidth="1"/>
    <col min="8" max="8" width="17.140625" customWidth="1"/>
  </cols>
  <sheetData>
    <row r="2" spans="1:5" x14ac:dyDescent="0.25">
      <c r="A2" s="565" t="s">
        <v>270</v>
      </c>
      <c r="B2" t="s">
        <v>851</v>
      </c>
      <c r="D2" t="str">
        <f>B2</f>
        <v>2019-20</v>
      </c>
    </row>
    <row r="4" spans="1:5" x14ac:dyDescent="0.25">
      <c r="A4" s="565" t="s">
        <v>246</v>
      </c>
      <c r="B4" t="s">
        <v>980</v>
      </c>
      <c r="C4" t="s">
        <v>981</v>
      </c>
      <c r="D4" t="s">
        <v>269</v>
      </c>
      <c r="E4" t="s">
        <v>252</v>
      </c>
    </row>
    <row r="5" spans="1:5" x14ac:dyDescent="0.25">
      <c r="A5" s="1068" t="s">
        <v>247</v>
      </c>
      <c r="B5" s="567">
        <v>473</v>
      </c>
      <c r="C5" s="567">
        <v>924</v>
      </c>
      <c r="D5" s="567">
        <v>3711</v>
      </c>
      <c r="E5" s="567">
        <v>5099</v>
      </c>
    </row>
    <row r="6" spans="1:5" x14ac:dyDescent="0.25">
      <c r="A6" s="568" t="s">
        <v>31</v>
      </c>
      <c r="B6" s="567">
        <v>1</v>
      </c>
      <c r="C6" s="567">
        <v>2</v>
      </c>
      <c r="D6" s="567">
        <v>3</v>
      </c>
      <c r="E6" s="567">
        <v>6</v>
      </c>
    </row>
    <row r="7" spans="1:5" x14ac:dyDescent="0.25">
      <c r="A7" s="568" t="s">
        <v>32</v>
      </c>
      <c r="B7" s="567">
        <v>22</v>
      </c>
      <c r="C7" s="567">
        <v>58</v>
      </c>
      <c r="D7" s="567">
        <v>172</v>
      </c>
      <c r="E7" s="567">
        <v>252</v>
      </c>
    </row>
    <row r="8" spans="1:5" x14ac:dyDescent="0.25">
      <c r="A8" s="568" t="s">
        <v>281</v>
      </c>
      <c r="B8" s="567">
        <v>236</v>
      </c>
      <c r="C8" s="567">
        <v>460</v>
      </c>
      <c r="D8" s="567">
        <v>1855</v>
      </c>
      <c r="E8" s="567">
        <v>2552</v>
      </c>
    </row>
    <row r="9" spans="1:5" x14ac:dyDescent="0.25">
      <c r="A9" s="568" t="s">
        <v>33</v>
      </c>
      <c r="B9" s="567">
        <v>6</v>
      </c>
      <c r="C9" s="567">
        <v>14</v>
      </c>
      <c r="D9" s="567">
        <v>67</v>
      </c>
      <c r="E9" s="567">
        <v>86</v>
      </c>
    </row>
    <row r="10" spans="1:5" x14ac:dyDescent="0.25">
      <c r="A10" s="568" t="s">
        <v>34</v>
      </c>
      <c r="B10" s="567">
        <v>12</v>
      </c>
      <c r="C10" s="567">
        <v>22</v>
      </c>
      <c r="D10" s="567">
        <v>126</v>
      </c>
      <c r="E10" s="567">
        <v>160</v>
      </c>
    </row>
    <row r="11" spans="1:5" x14ac:dyDescent="0.25">
      <c r="A11" s="568" t="s">
        <v>258</v>
      </c>
      <c r="B11" s="567">
        <v>1</v>
      </c>
      <c r="C11" s="567">
        <v>1</v>
      </c>
      <c r="D11" s="567">
        <v>3</v>
      </c>
      <c r="E11" s="567">
        <v>5</v>
      </c>
    </row>
    <row r="12" spans="1:5" x14ac:dyDescent="0.25">
      <c r="A12" s="568" t="s">
        <v>35</v>
      </c>
      <c r="B12" s="567">
        <v>2</v>
      </c>
      <c r="C12" s="567">
        <v>4</v>
      </c>
      <c r="D12" s="567">
        <v>13</v>
      </c>
      <c r="E12" s="567">
        <v>19</v>
      </c>
    </row>
    <row r="13" spans="1:5" x14ac:dyDescent="0.25">
      <c r="A13" s="568" t="s">
        <v>36</v>
      </c>
      <c r="B13" s="567">
        <v>14</v>
      </c>
      <c r="C13" s="567">
        <v>30</v>
      </c>
      <c r="D13" s="567">
        <v>119</v>
      </c>
      <c r="E13" s="567">
        <v>163</v>
      </c>
    </row>
    <row r="14" spans="1:5" x14ac:dyDescent="0.25">
      <c r="A14" s="568" t="s">
        <v>37</v>
      </c>
      <c r="B14" s="567">
        <v>1</v>
      </c>
      <c r="C14" s="567">
        <v>2</v>
      </c>
      <c r="D14" s="567">
        <v>8</v>
      </c>
      <c r="E14" s="567">
        <v>10</v>
      </c>
    </row>
    <row r="15" spans="1:5" x14ac:dyDescent="0.25">
      <c r="A15" s="568" t="s">
        <v>38</v>
      </c>
      <c r="B15" s="567">
        <v>6</v>
      </c>
      <c r="C15" s="567">
        <v>7</v>
      </c>
      <c r="D15" s="567">
        <v>51</v>
      </c>
      <c r="E15" s="567">
        <v>64</v>
      </c>
    </row>
    <row r="16" spans="1:5" x14ac:dyDescent="0.25">
      <c r="A16" s="568" t="s">
        <v>40</v>
      </c>
      <c r="B16" s="567">
        <v>4</v>
      </c>
      <c r="C16" s="567">
        <v>10</v>
      </c>
      <c r="D16" s="567">
        <v>38</v>
      </c>
      <c r="E16" s="567">
        <v>52</v>
      </c>
    </row>
    <row r="17" spans="1:5" x14ac:dyDescent="0.25">
      <c r="A17" s="568" t="s">
        <v>42</v>
      </c>
      <c r="B17" s="567">
        <v>3</v>
      </c>
      <c r="C17" s="567">
        <v>8</v>
      </c>
      <c r="D17" s="567">
        <v>32</v>
      </c>
      <c r="E17" s="567">
        <v>42</v>
      </c>
    </row>
    <row r="18" spans="1:5" x14ac:dyDescent="0.25">
      <c r="A18" s="568" t="s">
        <v>43</v>
      </c>
      <c r="B18" s="567">
        <v>9</v>
      </c>
      <c r="C18" s="567">
        <v>17</v>
      </c>
      <c r="D18" s="567">
        <v>71</v>
      </c>
      <c r="E18" s="567">
        <v>97</v>
      </c>
    </row>
    <row r="19" spans="1:5" x14ac:dyDescent="0.25">
      <c r="A19" s="568" t="s">
        <v>44</v>
      </c>
      <c r="B19" s="567">
        <v>50</v>
      </c>
      <c r="C19" s="567">
        <v>87</v>
      </c>
      <c r="D19" s="567">
        <v>340</v>
      </c>
      <c r="E19" s="567">
        <v>477</v>
      </c>
    </row>
    <row r="20" spans="1:5" x14ac:dyDescent="0.25">
      <c r="A20" s="568" t="s">
        <v>45</v>
      </c>
      <c r="B20" s="567">
        <v>3</v>
      </c>
      <c r="C20" s="567">
        <v>5</v>
      </c>
      <c r="D20" s="567">
        <v>27</v>
      </c>
      <c r="E20" s="567">
        <v>34</v>
      </c>
    </row>
    <row r="21" spans="1:5" x14ac:dyDescent="0.25">
      <c r="A21" s="568" t="s">
        <v>46</v>
      </c>
      <c r="B21" s="567">
        <v>1</v>
      </c>
      <c r="C21" s="567">
        <v>2</v>
      </c>
      <c r="D21" s="567">
        <v>8</v>
      </c>
      <c r="E21" s="567">
        <v>10</v>
      </c>
    </row>
    <row r="22" spans="1:5" x14ac:dyDescent="0.25">
      <c r="A22" s="568" t="s">
        <v>47</v>
      </c>
      <c r="B22" s="567">
        <v>10</v>
      </c>
      <c r="C22" s="567">
        <v>24</v>
      </c>
      <c r="D22" s="567">
        <v>76</v>
      </c>
      <c r="E22" s="567">
        <v>109</v>
      </c>
    </row>
    <row r="23" spans="1:5" x14ac:dyDescent="0.25">
      <c r="A23" s="568" t="s">
        <v>48</v>
      </c>
      <c r="B23" s="567">
        <v>14</v>
      </c>
      <c r="C23" s="567">
        <v>29</v>
      </c>
      <c r="D23" s="567">
        <v>86</v>
      </c>
      <c r="E23" s="567">
        <v>128</v>
      </c>
    </row>
    <row r="24" spans="1:5" x14ac:dyDescent="0.25">
      <c r="A24" s="568" t="s">
        <v>49</v>
      </c>
      <c r="B24" s="567">
        <v>10</v>
      </c>
      <c r="C24" s="567">
        <v>10</v>
      </c>
      <c r="D24" s="567">
        <v>68</v>
      </c>
      <c r="E24" s="567">
        <v>88</v>
      </c>
    </row>
    <row r="25" spans="1:5" x14ac:dyDescent="0.25">
      <c r="A25" s="568" t="s">
        <v>50</v>
      </c>
      <c r="B25" s="567">
        <v>2</v>
      </c>
      <c r="C25" s="567">
        <v>4</v>
      </c>
      <c r="D25" s="567">
        <v>21</v>
      </c>
      <c r="E25" s="567">
        <v>27</v>
      </c>
    </row>
    <row r="26" spans="1:5" x14ac:dyDescent="0.25">
      <c r="A26" s="568" t="s">
        <v>51</v>
      </c>
      <c r="B26" s="567">
        <v>9</v>
      </c>
      <c r="C26" s="567">
        <v>22</v>
      </c>
      <c r="D26" s="567">
        <v>76</v>
      </c>
      <c r="E26" s="567">
        <v>106</v>
      </c>
    </row>
    <row r="27" spans="1:5" x14ac:dyDescent="0.25">
      <c r="A27" s="568" t="s">
        <v>52</v>
      </c>
      <c r="B27" s="567">
        <v>9</v>
      </c>
      <c r="C27" s="567">
        <v>20</v>
      </c>
      <c r="D27" s="567">
        <v>83</v>
      </c>
      <c r="E27" s="567">
        <v>112</v>
      </c>
    </row>
    <row r="28" spans="1:5" x14ac:dyDescent="0.25">
      <c r="A28" s="568" t="s">
        <v>53</v>
      </c>
      <c r="B28" s="567">
        <v>1</v>
      </c>
      <c r="C28" s="567">
        <v>2</v>
      </c>
      <c r="D28" s="567">
        <v>9</v>
      </c>
      <c r="E28" s="567">
        <v>11</v>
      </c>
    </row>
    <row r="29" spans="1:5" x14ac:dyDescent="0.25">
      <c r="A29" s="568" t="s">
        <v>54</v>
      </c>
      <c r="B29" s="567">
        <v>11</v>
      </c>
      <c r="C29" s="567">
        <v>25</v>
      </c>
      <c r="D29" s="567">
        <v>85</v>
      </c>
      <c r="E29" s="567">
        <v>121</v>
      </c>
    </row>
    <row r="30" spans="1:5" x14ac:dyDescent="0.25">
      <c r="A30" s="568" t="s">
        <v>55</v>
      </c>
      <c r="B30" s="567">
        <v>11</v>
      </c>
      <c r="C30" s="567">
        <v>23</v>
      </c>
      <c r="D30" s="567">
        <v>88</v>
      </c>
      <c r="E30" s="567">
        <v>121</v>
      </c>
    </row>
    <row r="31" spans="1:5" x14ac:dyDescent="0.25">
      <c r="A31" s="568" t="s">
        <v>56</v>
      </c>
      <c r="B31" s="567">
        <v>4</v>
      </c>
      <c r="C31" s="567">
        <v>6</v>
      </c>
      <c r="D31" s="567">
        <v>36</v>
      </c>
      <c r="E31" s="567">
        <v>46</v>
      </c>
    </row>
    <row r="32" spans="1:5" x14ac:dyDescent="0.25">
      <c r="A32" s="568" t="s">
        <v>57</v>
      </c>
      <c r="B32" s="567">
        <v>6</v>
      </c>
      <c r="C32" s="567">
        <v>7</v>
      </c>
      <c r="D32" s="567">
        <v>56</v>
      </c>
      <c r="E32" s="567">
        <v>70</v>
      </c>
    </row>
    <row r="33" spans="1:5" x14ac:dyDescent="0.25">
      <c r="A33" s="568" t="s">
        <v>58</v>
      </c>
      <c r="B33" s="567">
        <v>8</v>
      </c>
      <c r="C33" s="567">
        <v>13</v>
      </c>
      <c r="D33" s="567">
        <v>44</v>
      </c>
      <c r="E33" s="567">
        <v>65</v>
      </c>
    </row>
    <row r="34" spans="1:5" x14ac:dyDescent="0.25">
      <c r="A34" s="568" t="s">
        <v>59</v>
      </c>
      <c r="B34" s="567">
        <v>2</v>
      </c>
      <c r="C34" s="567">
        <v>2</v>
      </c>
      <c r="D34" s="567">
        <v>13</v>
      </c>
      <c r="E34" s="567">
        <v>16</v>
      </c>
    </row>
    <row r="35" spans="1:5" x14ac:dyDescent="0.25">
      <c r="A35" s="568" t="s">
        <v>60</v>
      </c>
      <c r="B35" s="567">
        <v>5</v>
      </c>
      <c r="C35" s="567">
        <v>8</v>
      </c>
      <c r="D35" s="567">
        <v>37</v>
      </c>
      <c r="E35" s="567">
        <v>50</v>
      </c>
    </row>
    <row r="36" spans="1:5" x14ac:dyDescent="0.25">
      <c r="A36" s="1068" t="s">
        <v>251</v>
      </c>
      <c r="B36" s="567">
        <v>473</v>
      </c>
      <c r="C36" s="567">
        <v>924</v>
      </c>
      <c r="D36" s="567">
        <v>3711</v>
      </c>
      <c r="E36" s="567">
        <v>5099</v>
      </c>
    </row>
  </sheetData>
  <sheetProtection algorithmName="SHA-512" hashValue="sWzIixAWHLaiMhCHpuw++T2pJDOkKFyz7Snl4ewq2u6qf2l/vDMZ7Yxp09wsM1vNMVG019m9BiyQ2zGmdyH69A==" saltValue="5fxOwjKnK7/Rop1HUwIYQw=="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40"/>
  <sheetViews>
    <sheetView topLeftCell="A7" workbookViewId="0">
      <selection activeCell="C32" sqref="C32"/>
    </sheetView>
  </sheetViews>
  <sheetFormatPr defaultRowHeight="15" x14ac:dyDescent="0.25"/>
  <cols>
    <col min="1" max="1" width="13.140625" customWidth="1"/>
    <col min="2" max="2" width="20.28515625" bestFit="1" customWidth="1"/>
    <col min="3" max="3" width="21.85546875" bestFit="1" customWidth="1"/>
    <col min="4" max="4" width="22.5703125" bestFit="1" customWidth="1"/>
    <col min="5" max="5" width="22" bestFit="1" customWidth="1"/>
    <col min="6" max="6" width="20.7109375" bestFit="1" customWidth="1"/>
    <col min="7" max="7" width="23" bestFit="1" customWidth="1"/>
    <col min="8" max="9" width="12" bestFit="1" customWidth="1"/>
  </cols>
  <sheetData>
    <row r="1" spans="1:8" x14ac:dyDescent="0.25">
      <c r="A1" s="565" t="s">
        <v>270</v>
      </c>
      <c r="B1" t="s">
        <v>851</v>
      </c>
    </row>
    <row r="3" spans="1:8" x14ac:dyDescent="0.25">
      <c r="A3" s="565" t="s">
        <v>246</v>
      </c>
      <c r="B3" t="s">
        <v>265</v>
      </c>
      <c r="C3" t="s">
        <v>266</v>
      </c>
      <c r="D3" t="s">
        <v>267</v>
      </c>
      <c r="E3" t="s">
        <v>256</v>
      </c>
      <c r="F3" t="s">
        <v>268</v>
      </c>
      <c r="G3" t="s">
        <v>272</v>
      </c>
      <c r="H3" t="s">
        <v>252</v>
      </c>
    </row>
    <row r="4" spans="1:8" x14ac:dyDescent="0.25">
      <c r="A4" s="1068" t="s">
        <v>250</v>
      </c>
      <c r="B4" s="567">
        <v>1</v>
      </c>
      <c r="C4" s="567">
        <v>4</v>
      </c>
      <c r="D4" s="567">
        <v>8</v>
      </c>
      <c r="E4" s="567">
        <v>45</v>
      </c>
      <c r="F4" s="567">
        <v>26</v>
      </c>
      <c r="G4" s="567">
        <v>100</v>
      </c>
      <c r="H4" s="567">
        <v>184</v>
      </c>
    </row>
    <row r="5" spans="1:8" x14ac:dyDescent="0.25">
      <c r="A5" s="568" t="s">
        <v>259</v>
      </c>
      <c r="B5" s="567">
        <v>1</v>
      </c>
      <c r="C5" s="567">
        <v>4</v>
      </c>
      <c r="D5" s="567">
        <v>8</v>
      </c>
      <c r="E5" s="567">
        <v>45</v>
      </c>
      <c r="F5" s="567">
        <v>26</v>
      </c>
      <c r="G5" s="567">
        <v>100</v>
      </c>
      <c r="H5" s="567">
        <v>184</v>
      </c>
    </row>
    <row r="6" spans="1:8" x14ac:dyDescent="0.25">
      <c r="A6" s="1068" t="s">
        <v>251</v>
      </c>
      <c r="B6" s="567">
        <v>1</v>
      </c>
      <c r="C6" s="567">
        <v>4</v>
      </c>
      <c r="D6" s="567">
        <v>8</v>
      </c>
      <c r="E6" s="567">
        <v>45</v>
      </c>
      <c r="F6" s="567">
        <v>26</v>
      </c>
      <c r="G6" s="567">
        <v>100</v>
      </c>
      <c r="H6" s="567">
        <v>184</v>
      </c>
    </row>
    <row r="7" spans="1:8" x14ac:dyDescent="0.25">
      <c r="D7" s="567"/>
      <c r="E7" s="567"/>
    </row>
    <row r="28" spans="1:9" x14ac:dyDescent="0.25">
      <c r="A28" s="565" t="s">
        <v>270</v>
      </c>
      <c r="B28" t="s">
        <v>851</v>
      </c>
    </row>
    <row r="30" spans="1:9" x14ac:dyDescent="0.25">
      <c r="A30" s="565" t="s">
        <v>246</v>
      </c>
      <c r="B30" t="s">
        <v>274</v>
      </c>
      <c r="C30" t="s">
        <v>275</v>
      </c>
      <c r="D30" t="s">
        <v>276</v>
      </c>
      <c r="E30" t="s">
        <v>277</v>
      </c>
      <c r="F30" t="s">
        <v>278</v>
      </c>
      <c r="G30" t="s">
        <v>279</v>
      </c>
      <c r="H30" t="s">
        <v>280</v>
      </c>
      <c r="I30" t="s">
        <v>252</v>
      </c>
    </row>
    <row r="31" spans="1:9" x14ac:dyDescent="0.25">
      <c r="A31" s="1068" t="s">
        <v>249</v>
      </c>
      <c r="B31" s="567"/>
      <c r="C31" s="567">
        <v>12</v>
      </c>
      <c r="D31" s="567">
        <v>46</v>
      </c>
      <c r="E31" s="567">
        <v>38</v>
      </c>
      <c r="F31" s="567">
        <v>487</v>
      </c>
      <c r="G31" s="567">
        <v>111</v>
      </c>
      <c r="H31" s="567">
        <v>171</v>
      </c>
      <c r="I31" s="567">
        <v>866</v>
      </c>
    </row>
    <row r="32" spans="1:9" x14ac:dyDescent="0.25">
      <c r="A32" s="568" t="s">
        <v>281</v>
      </c>
      <c r="B32" s="567"/>
      <c r="C32" s="567">
        <v>6</v>
      </c>
      <c r="D32" s="567">
        <v>23</v>
      </c>
      <c r="E32" s="567">
        <v>19</v>
      </c>
      <c r="F32" s="567">
        <v>243</v>
      </c>
      <c r="G32" s="567">
        <v>56</v>
      </c>
      <c r="H32" s="567">
        <v>86</v>
      </c>
      <c r="I32" s="567">
        <v>433</v>
      </c>
    </row>
    <row r="33" spans="1:9" x14ac:dyDescent="0.25">
      <c r="A33" s="568" t="s">
        <v>174</v>
      </c>
      <c r="B33" s="567"/>
      <c r="C33" s="567">
        <v>2</v>
      </c>
      <c r="D33" s="567">
        <v>5</v>
      </c>
      <c r="E33" s="567">
        <v>6</v>
      </c>
      <c r="F33" s="567">
        <v>44</v>
      </c>
      <c r="G33" s="567">
        <v>15</v>
      </c>
      <c r="H33" s="567">
        <v>17</v>
      </c>
      <c r="I33" s="567">
        <v>90</v>
      </c>
    </row>
    <row r="34" spans="1:9" x14ac:dyDescent="0.25">
      <c r="A34" s="568" t="s">
        <v>172</v>
      </c>
      <c r="B34" s="567"/>
      <c r="C34" s="567">
        <v>2</v>
      </c>
      <c r="D34" s="567">
        <v>9</v>
      </c>
      <c r="E34" s="567">
        <v>5</v>
      </c>
      <c r="F34" s="567">
        <v>70</v>
      </c>
      <c r="G34" s="567">
        <v>15</v>
      </c>
      <c r="H34" s="567">
        <v>23</v>
      </c>
      <c r="I34" s="567">
        <v>124</v>
      </c>
    </row>
    <row r="35" spans="1:9" x14ac:dyDescent="0.25">
      <c r="A35" s="568" t="s">
        <v>173</v>
      </c>
      <c r="B35" s="567"/>
      <c r="C35" s="567">
        <v>2</v>
      </c>
      <c r="D35" s="567">
        <v>9</v>
      </c>
      <c r="E35" s="567">
        <v>8</v>
      </c>
      <c r="F35" s="567">
        <v>130</v>
      </c>
      <c r="G35" s="567">
        <v>25</v>
      </c>
      <c r="H35" s="567">
        <v>45</v>
      </c>
      <c r="I35" s="567">
        <v>219</v>
      </c>
    </row>
    <row r="36" spans="1:9" x14ac:dyDescent="0.25">
      <c r="A36" s="1068" t="s">
        <v>250</v>
      </c>
      <c r="B36" s="567">
        <v>3</v>
      </c>
      <c r="C36" s="567">
        <v>41</v>
      </c>
      <c r="D36" s="567">
        <v>9</v>
      </c>
      <c r="E36" s="567">
        <v>70</v>
      </c>
      <c r="F36" s="567">
        <v>139</v>
      </c>
      <c r="G36" s="567">
        <v>1</v>
      </c>
      <c r="H36" s="567">
        <v>70</v>
      </c>
      <c r="I36" s="567">
        <v>333</v>
      </c>
    </row>
    <row r="37" spans="1:9" x14ac:dyDescent="0.25">
      <c r="A37" s="568" t="s">
        <v>259</v>
      </c>
      <c r="B37" s="567">
        <v>3</v>
      </c>
      <c r="C37" s="567">
        <v>41</v>
      </c>
      <c r="D37" s="567">
        <v>9</v>
      </c>
      <c r="E37" s="567">
        <v>70</v>
      </c>
      <c r="F37" s="567">
        <v>139</v>
      </c>
      <c r="G37" s="567">
        <v>1</v>
      </c>
      <c r="H37" s="567">
        <v>70</v>
      </c>
      <c r="I37" s="567">
        <v>333</v>
      </c>
    </row>
    <row r="38" spans="1:9" x14ac:dyDescent="0.25">
      <c r="A38" s="1068" t="s">
        <v>26</v>
      </c>
      <c r="B38" s="567">
        <v>3</v>
      </c>
      <c r="C38" s="567">
        <v>47</v>
      </c>
      <c r="D38" s="567">
        <v>32</v>
      </c>
      <c r="E38" s="567">
        <v>89</v>
      </c>
      <c r="F38" s="567">
        <v>383</v>
      </c>
      <c r="G38" s="567">
        <v>57</v>
      </c>
      <c r="H38" s="567">
        <v>155</v>
      </c>
      <c r="I38" s="567">
        <v>765</v>
      </c>
    </row>
    <row r="39" spans="1:9" x14ac:dyDescent="0.25">
      <c r="A39" s="568" t="s">
        <v>259</v>
      </c>
      <c r="B39" s="567">
        <v>3</v>
      </c>
      <c r="C39" s="567">
        <v>47</v>
      </c>
      <c r="D39" s="567">
        <v>32</v>
      </c>
      <c r="E39" s="567">
        <v>89</v>
      </c>
      <c r="F39" s="567">
        <v>383</v>
      </c>
      <c r="G39" s="567">
        <v>57</v>
      </c>
      <c r="H39" s="567">
        <v>155</v>
      </c>
      <c r="I39" s="567">
        <v>765</v>
      </c>
    </row>
    <row r="40" spans="1:9" x14ac:dyDescent="0.25">
      <c r="A40" s="1068" t="s">
        <v>251</v>
      </c>
      <c r="B40" s="567">
        <v>6</v>
      </c>
      <c r="C40" s="567">
        <v>100</v>
      </c>
      <c r="D40" s="567">
        <v>87</v>
      </c>
      <c r="E40" s="567">
        <v>197</v>
      </c>
      <c r="F40" s="567">
        <v>1009</v>
      </c>
      <c r="G40" s="567">
        <v>169</v>
      </c>
      <c r="H40" s="567">
        <v>396</v>
      </c>
      <c r="I40" s="567">
        <v>1964</v>
      </c>
    </row>
  </sheetData>
  <sheetProtection algorithmName="SHA-512" hashValue="VlA1x+3HBLuKlOOf16m/RrJUqlct4bo4StUb+b63jQEdvqu1Edec1k07mgPAaHiX6cUmobOt+3QUx5AlOo8pZA==" saltValue="wOejUdK+yNfHbZSlgJ3QHw==" spinCount="100000" sheet="1" scenarios="1" formatCells="0" formatColumns="0" formatRows="0" sort="0" autoFilter="0" pivotTables="0"/>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D38"/>
  <sheetViews>
    <sheetView workbookViewId="0">
      <selection activeCell="B7" sqref="B7"/>
    </sheetView>
  </sheetViews>
  <sheetFormatPr defaultRowHeight="15" x14ac:dyDescent="0.25"/>
  <cols>
    <col min="1" max="1" width="22.140625" bestFit="1" customWidth="1"/>
    <col min="2" max="2" width="14.28515625" bestFit="1" customWidth="1"/>
    <col min="3" max="3" width="12.140625" bestFit="1" customWidth="1"/>
    <col min="4" max="4" width="12" bestFit="1" customWidth="1"/>
    <col min="5" max="5" width="16.28515625" bestFit="1" customWidth="1"/>
    <col min="6" max="6" width="11.28515625" bestFit="1" customWidth="1"/>
  </cols>
  <sheetData>
    <row r="2" spans="1:4" x14ac:dyDescent="0.25">
      <c r="A2" s="565" t="s">
        <v>270</v>
      </c>
      <c r="B2" t="s">
        <v>851</v>
      </c>
    </row>
    <row r="4" spans="1:4" x14ac:dyDescent="0.25">
      <c r="A4" s="565" t="s">
        <v>246</v>
      </c>
      <c r="B4" t="s">
        <v>319</v>
      </c>
      <c r="C4" t="s">
        <v>320</v>
      </c>
      <c r="D4" t="s">
        <v>252</v>
      </c>
    </row>
    <row r="5" spans="1:4" x14ac:dyDescent="0.25">
      <c r="A5" s="1068" t="s">
        <v>2</v>
      </c>
      <c r="B5" s="567">
        <v>156</v>
      </c>
      <c r="C5" s="567">
        <v>32</v>
      </c>
      <c r="D5" s="567">
        <v>188</v>
      </c>
    </row>
    <row r="6" spans="1:4" x14ac:dyDescent="0.25">
      <c r="A6" s="568" t="s">
        <v>18</v>
      </c>
      <c r="B6" s="567">
        <v>1</v>
      </c>
      <c r="C6" s="567"/>
      <c r="D6" s="567">
        <v>1</v>
      </c>
    </row>
    <row r="7" spans="1:4" x14ac:dyDescent="0.25">
      <c r="A7" s="568" t="s">
        <v>22</v>
      </c>
      <c r="B7" s="567">
        <v>21</v>
      </c>
      <c r="C7" s="567">
        <v>5</v>
      </c>
      <c r="D7" s="567">
        <v>26</v>
      </c>
    </row>
    <row r="8" spans="1:4" x14ac:dyDescent="0.25">
      <c r="A8" s="568" t="s">
        <v>23</v>
      </c>
      <c r="B8" s="567">
        <v>86</v>
      </c>
      <c r="C8" s="567">
        <v>18</v>
      </c>
      <c r="D8" s="567">
        <v>104</v>
      </c>
    </row>
    <row r="9" spans="1:4" x14ac:dyDescent="0.25">
      <c r="A9" s="568" t="s">
        <v>19</v>
      </c>
      <c r="B9" s="567">
        <v>3</v>
      </c>
      <c r="C9" s="567">
        <v>1</v>
      </c>
      <c r="D9" s="567">
        <v>4</v>
      </c>
    </row>
    <row r="10" spans="1:4" x14ac:dyDescent="0.25">
      <c r="A10" s="568" t="s">
        <v>20</v>
      </c>
      <c r="B10" s="567">
        <v>7</v>
      </c>
      <c r="C10" s="567">
        <v>1</v>
      </c>
      <c r="D10" s="567">
        <v>8</v>
      </c>
    </row>
    <row r="11" spans="1:4" x14ac:dyDescent="0.25">
      <c r="A11" s="568" t="s">
        <v>21</v>
      </c>
      <c r="B11" s="567">
        <v>38</v>
      </c>
      <c r="C11" s="567">
        <v>7</v>
      </c>
      <c r="D11" s="567">
        <v>45</v>
      </c>
    </row>
    <row r="12" spans="1:4" x14ac:dyDescent="0.25">
      <c r="A12" s="1068" t="s">
        <v>9</v>
      </c>
      <c r="B12" s="567">
        <v>208</v>
      </c>
      <c r="C12" s="567">
        <v>2729</v>
      </c>
      <c r="D12" s="567">
        <v>2937</v>
      </c>
    </row>
    <row r="13" spans="1:4" x14ac:dyDescent="0.25">
      <c r="A13" s="568" t="s">
        <v>22</v>
      </c>
      <c r="B13" s="567">
        <v>20</v>
      </c>
      <c r="C13" s="567">
        <v>500</v>
      </c>
      <c r="D13" s="567">
        <v>520</v>
      </c>
    </row>
    <row r="14" spans="1:4" x14ac:dyDescent="0.25">
      <c r="A14" s="568" t="s">
        <v>23</v>
      </c>
      <c r="B14" s="567">
        <v>175</v>
      </c>
      <c r="C14" s="567">
        <v>1980</v>
      </c>
      <c r="D14" s="567">
        <v>2155</v>
      </c>
    </row>
    <row r="15" spans="1:4" x14ac:dyDescent="0.25">
      <c r="A15" s="568" t="s">
        <v>21</v>
      </c>
      <c r="B15" s="567">
        <v>13</v>
      </c>
      <c r="C15" s="567">
        <v>249</v>
      </c>
      <c r="D15" s="567">
        <v>262</v>
      </c>
    </row>
    <row r="16" spans="1:4" x14ac:dyDescent="0.25">
      <c r="A16" s="1068" t="s">
        <v>3</v>
      </c>
      <c r="B16" s="567">
        <v>447</v>
      </c>
      <c r="C16" s="567">
        <v>371</v>
      </c>
      <c r="D16" s="567">
        <v>818</v>
      </c>
    </row>
    <row r="17" spans="1:4" x14ac:dyDescent="0.25">
      <c r="A17" s="568" t="s">
        <v>98</v>
      </c>
      <c r="B17" s="567">
        <v>172</v>
      </c>
      <c r="C17" s="567">
        <v>11</v>
      </c>
      <c r="D17" s="567">
        <v>183</v>
      </c>
    </row>
    <row r="18" spans="1:4" x14ac:dyDescent="0.25">
      <c r="A18" s="568" t="s">
        <v>210</v>
      </c>
      <c r="B18" s="567">
        <v>2</v>
      </c>
      <c r="C18" s="567">
        <v>1</v>
      </c>
      <c r="D18" s="567">
        <v>3</v>
      </c>
    </row>
    <row r="19" spans="1:4" x14ac:dyDescent="0.25">
      <c r="A19" s="568" t="s">
        <v>83</v>
      </c>
      <c r="B19" s="567">
        <v>61</v>
      </c>
      <c r="C19" s="567">
        <v>29</v>
      </c>
      <c r="D19" s="567">
        <v>90</v>
      </c>
    </row>
    <row r="20" spans="1:4" x14ac:dyDescent="0.25">
      <c r="A20" s="568" t="s">
        <v>81</v>
      </c>
      <c r="B20" s="567">
        <v>14</v>
      </c>
      <c r="C20" s="567">
        <v>33</v>
      </c>
      <c r="D20" s="567">
        <v>47</v>
      </c>
    </row>
    <row r="21" spans="1:4" x14ac:dyDescent="0.25">
      <c r="A21" s="568" t="s">
        <v>317</v>
      </c>
      <c r="B21" s="567">
        <v>152</v>
      </c>
      <c r="C21" s="567">
        <v>248</v>
      </c>
      <c r="D21" s="567">
        <v>400</v>
      </c>
    </row>
    <row r="22" spans="1:4" x14ac:dyDescent="0.25">
      <c r="A22" s="568" t="s">
        <v>87</v>
      </c>
      <c r="B22" s="567">
        <v>20</v>
      </c>
      <c r="C22" s="567">
        <v>12</v>
      </c>
      <c r="D22" s="567">
        <v>32</v>
      </c>
    </row>
    <row r="23" spans="1:4" x14ac:dyDescent="0.25">
      <c r="A23" s="568" t="s">
        <v>318</v>
      </c>
      <c r="B23" s="567">
        <v>26</v>
      </c>
      <c r="C23" s="567">
        <v>37</v>
      </c>
      <c r="D23" s="567">
        <v>63</v>
      </c>
    </row>
    <row r="24" spans="1:4" x14ac:dyDescent="0.25">
      <c r="A24" s="1068" t="s">
        <v>315</v>
      </c>
      <c r="B24" s="567">
        <v>54</v>
      </c>
      <c r="C24" s="567">
        <v>261</v>
      </c>
      <c r="D24" s="567">
        <v>315</v>
      </c>
    </row>
    <row r="25" spans="1:4" x14ac:dyDescent="0.25">
      <c r="A25" s="568" t="s">
        <v>22</v>
      </c>
      <c r="B25" s="567">
        <v>1</v>
      </c>
      <c r="C25" s="567">
        <v>40</v>
      </c>
      <c r="D25" s="567">
        <v>41</v>
      </c>
    </row>
    <row r="26" spans="1:4" x14ac:dyDescent="0.25">
      <c r="A26" s="568" t="s">
        <v>23</v>
      </c>
      <c r="B26" s="567">
        <v>48</v>
      </c>
      <c r="C26" s="567">
        <v>189</v>
      </c>
      <c r="D26" s="567">
        <v>237</v>
      </c>
    </row>
    <row r="27" spans="1:4" x14ac:dyDescent="0.25">
      <c r="A27" s="568" t="s">
        <v>21</v>
      </c>
      <c r="B27" s="567">
        <v>5</v>
      </c>
      <c r="C27" s="567">
        <v>32</v>
      </c>
      <c r="D27" s="567">
        <v>37</v>
      </c>
    </row>
    <row r="28" spans="1:4" x14ac:dyDescent="0.25">
      <c r="A28" s="1068" t="s">
        <v>316</v>
      </c>
      <c r="B28" s="567">
        <v>222</v>
      </c>
      <c r="C28" s="567">
        <v>3414</v>
      </c>
      <c r="D28" s="567">
        <v>3636</v>
      </c>
    </row>
    <row r="29" spans="1:4" x14ac:dyDescent="0.25">
      <c r="A29" s="568" t="s">
        <v>18</v>
      </c>
      <c r="B29" s="567"/>
      <c r="C29" s="567">
        <v>31</v>
      </c>
      <c r="D29" s="567">
        <v>31</v>
      </c>
    </row>
    <row r="30" spans="1:4" x14ac:dyDescent="0.25">
      <c r="A30" s="568" t="s">
        <v>209</v>
      </c>
      <c r="B30" s="567"/>
      <c r="C30" s="567">
        <v>6</v>
      </c>
      <c r="D30" s="567">
        <v>6</v>
      </c>
    </row>
    <row r="31" spans="1:4" x14ac:dyDescent="0.25">
      <c r="A31" s="568" t="s">
        <v>22</v>
      </c>
      <c r="B31" s="567">
        <v>31</v>
      </c>
      <c r="C31" s="567">
        <v>657</v>
      </c>
      <c r="D31" s="567">
        <v>688</v>
      </c>
    </row>
    <row r="32" spans="1:4" x14ac:dyDescent="0.25">
      <c r="A32" s="568" t="s">
        <v>23</v>
      </c>
      <c r="B32" s="567">
        <v>154</v>
      </c>
      <c r="C32" s="567">
        <v>1916</v>
      </c>
      <c r="D32" s="567">
        <v>2070</v>
      </c>
    </row>
    <row r="33" spans="1:4" x14ac:dyDescent="0.25">
      <c r="A33" s="568" t="s">
        <v>19</v>
      </c>
      <c r="B33" s="567">
        <v>2</v>
      </c>
      <c r="C33" s="567">
        <v>78</v>
      </c>
      <c r="D33" s="567">
        <v>80</v>
      </c>
    </row>
    <row r="34" spans="1:4" x14ac:dyDescent="0.25">
      <c r="A34" s="568" t="s">
        <v>20</v>
      </c>
      <c r="B34" s="567">
        <v>5</v>
      </c>
      <c r="C34" s="567">
        <v>148</v>
      </c>
      <c r="D34" s="567">
        <v>153</v>
      </c>
    </row>
    <row r="35" spans="1:4" x14ac:dyDescent="0.25">
      <c r="A35" s="568" t="s">
        <v>21</v>
      </c>
      <c r="B35" s="567">
        <v>30</v>
      </c>
      <c r="C35" s="567">
        <v>578</v>
      </c>
      <c r="D35" s="567">
        <v>608</v>
      </c>
    </row>
    <row r="36" spans="1:4" x14ac:dyDescent="0.25">
      <c r="A36" s="1068" t="s">
        <v>852</v>
      </c>
      <c r="B36" s="567">
        <v>7</v>
      </c>
      <c r="C36" s="567">
        <v>29</v>
      </c>
      <c r="D36" s="567">
        <v>36</v>
      </c>
    </row>
    <row r="37" spans="1:4" x14ac:dyDescent="0.25">
      <c r="A37" s="568" t="s">
        <v>21</v>
      </c>
      <c r="B37" s="567">
        <v>7</v>
      </c>
      <c r="C37" s="567">
        <v>29</v>
      </c>
      <c r="D37" s="567">
        <v>36</v>
      </c>
    </row>
    <row r="38" spans="1:4" x14ac:dyDescent="0.25">
      <c r="A38" s="1068" t="s">
        <v>251</v>
      </c>
      <c r="B38" s="567">
        <v>1094</v>
      </c>
      <c r="C38" s="567">
        <v>6836</v>
      </c>
      <c r="D38" s="567">
        <v>7930</v>
      </c>
    </row>
  </sheetData>
  <sheetProtection algorithmName="SHA-512" hashValue="wnh/Dfg+VVCaL6nsUuQ8hQCEPtAcHSCz9JV4r+a6d9PIzG5+GodrX1CLhR1+gINqX1Hwce6MtxvVS6zGhOwIDg==" saltValue="5c0Co518gu99f+QwioYYnA=="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C4" sqref="C4"/>
    </sheetView>
  </sheetViews>
  <sheetFormatPr defaultRowHeight="15" x14ac:dyDescent="0.25"/>
  <cols>
    <col min="1" max="1" width="11" customWidth="1"/>
    <col min="3" max="4" width="13.140625" bestFit="1" customWidth="1"/>
    <col min="5" max="5" width="16.28515625" bestFit="1" customWidth="1"/>
    <col min="6" max="6" width="11.28515625" bestFit="1" customWidth="1"/>
  </cols>
  <sheetData>
    <row r="1" spans="1:4" x14ac:dyDescent="0.25">
      <c r="A1" t="s">
        <v>329</v>
      </c>
    </row>
    <row r="2" spans="1:4" x14ac:dyDescent="0.25">
      <c r="A2" t="s">
        <v>254</v>
      </c>
      <c r="D2" s="565" t="s">
        <v>246</v>
      </c>
    </row>
    <row r="3" spans="1:4" x14ac:dyDescent="0.25">
      <c r="A3" t="s">
        <v>851</v>
      </c>
      <c r="C3" t="str">
        <f>D3</f>
        <v>2019-20</v>
      </c>
      <c r="D3" s="1068" t="s">
        <v>851</v>
      </c>
    </row>
    <row r="4" spans="1:4" x14ac:dyDescent="0.25">
      <c r="D4" s="1068" t="s">
        <v>251</v>
      </c>
    </row>
  </sheetData>
  <sheetProtection algorithmName="SHA-512" hashValue="uk0WG0HiwAbNCU8t/JWWhzMQBISaZ3mCSdgjj/ignK8YeMA48D15udwu2UUWV5SDEIv1zIUWT5m+upIjU7Fh+g==" saltValue="HDkUTG1BgM/FCh+mYwvh0A==" spinCount="100000" sheet="1" scenarios="1" formatCells="0" formatColumns="0" formatRows="0" sort="0" autoFilter="0" pivotTables="0"/>
  <pageMargins left="0.7" right="0.7" top="0.75" bottom="0.75" header="0.3" footer="0.3"/>
  <drawing r:id="rId2"/>
  <tableParts count="1">
    <tablePart r:id="rId3"/>
  </tableParts>
  <extLst>
    <ext xmlns:x14="http://schemas.microsoft.com/office/spreadsheetml/2009/9/main" uri="{A8765BA9-456A-4dab-B4F3-ACF838C121DE}">
      <x14:slicerList>
        <x14:slicer r:id="rId4"/>
      </x14:slicerList>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D11"/>
  <sheetViews>
    <sheetView workbookViewId="0">
      <selection activeCell="B10" sqref="B10"/>
    </sheetView>
  </sheetViews>
  <sheetFormatPr defaultRowHeight="15" x14ac:dyDescent="0.25"/>
  <cols>
    <col min="1" max="1" width="13.140625" customWidth="1"/>
    <col min="2" max="2" width="14.28515625" customWidth="1"/>
    <col min="3" max="3" width="12.140625" bestFit="1" customWidth="1"/>
    <col min="4" max="4" width="12" bestFit="1" customWidth="1"/>
  </cols>
  <sheetData>
    <row r="2" spans="1:4" x14ac:dyDescent="0.25">
      <c r="A2" s="565" t="s">
        <v>270</v>
      </c>
      <c r="B2" t="s">
        <v>851</v>
      </c>
    </row>
    <row r="4" spans="1:4" x14ac:dyDescent="0.25">
      <c r="A4" s="565" t="s">
        <v>246</v>
      </c>
      <c r="B4" t="s">
        <v>319</v>
      </c>
      <c r="C4" t="s">
        <v>320</v>
      </c>
      <c r="D4" t="s">
        <v>252</v>
      </c>
    </row>
    <row r="5" spans="1:4" x14ac:dyDescent="0.25">
      <c r="A5" s="1068" t="s">
        <v>2</v>
      </c>
      <c r="B5" s="567">
        <v>156</v>
      </c>
      <c r="C5" s="567">
        <v>32</v>
      </c>
      <c r="D5" s="567">
        <v>188</v>
      </c>
    </row>
    <row r="6" spans="1:4" x14ac:dyDescent="0.25">
      <c r="A6" s="1068" t="s">
        <v>9</v>
      </c>
      <c r="B6" s="567">
        <v>208</v>
      </c>
      <c r="C6" s="567">
        <v>2729</v>
      </c>
      <c r="D6" s="567">
        <v>2937</v>
      </c>
    </row>
    <row r="7" spans="1:4" x14ac:dyDescent="0.25">
      <c r="A7" s="1068" t="s">
        <v>3</v>
      </c>
      <c r="B7" s="567">
        <v>447</v>
      </c>
      <c r="C7" s="567">
        <v>371</v>
      </c>
      <c r="D7" s="567">
        <v>818</v>
      </c>
    </row>
    <row r="8" spans="1:4" x14ac:dyDescent="0.25">
      <c r="A8" s="1068" t="s">
        <v>315</v>
      </c>
      <c r="B8" s="567">
        <v>54</v>
      </c>
      <c r="C8" s="567">
        <v>261</v>
      </c>
      <c r="D8" s="567">
        <v>315</v>
      </c>
    </row>
    <row r="9" spans="1:4" x14ac:dyDescent="0.25">
      <c r="A9" s="1068" t="s">
        <v>316</v>
      </c>
      <c r="B9" s="567">
        <v>222</v>
      </c>
      <c r="C9" s="567">
        <v>3414</v>
      </c>
      <c r="D9" s="567">
        <v>3636</v>
      </c>
    </row>
    <row r="10" spans="1:4" x14ac:dyDescent="0.25">
      <c r="A10" s="1068" t="s">
        <v>852</v>
      </c>
      <c r="B10" s="567">
        <v>7</v>
      </c>
      <c r="C10" s="567">
        <v>29</v>
      </c>
      <c r="D10" s="567">
        <v>36</v>
      </c>
    </row>
    <row r="11" spans="1:4" x14ac:dyDescent="0.25">
      <c r="A11" s="1068" t="s">
        <v>251</v>
      </c>
      <c r="B11" s="567">
        <v>1094</v>
      </c>
      <c r="C11" s="567">
        <v>6836</v>
      </c>
      <c r="D11" s="567">
        <v>7930</v>
      </c>
    </row>
  </sheetData>
  <sheetProtection algorithmName="SHA-512" hashValue="cz9bP5jrpLVKLjcPTgKigR2svqw7WBWFP7cO9A/RFgPu48b8jtTvhrzBg5Lb2uDvPNissGVmn7Qle6Z8q2THXQ==" saltValue="RR1OngGeqfp88EH5X4evJA=="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pageSetUpPr fitToPage="1"/>
  </sheetPr>
  <dimension ref="A1:I60"/>
  <sheetViews>
    <sheetView showGridLines="0" workbookViewId="0">
      <pane ySplit="2" topLeftCell="A3" activePane="bottomLeft" state="frozen"/>
      <selection pane="bottomLeft" sqref="A1:C1"/>
    </sheetView>
  </sheetViews>
  <sheetFormatPr defaultRowHeight="15" x14ac:dyDescent="0.25"/>
  <cols>
    <col min="1" max="1" width="36.85546875" customWidth="1"/>
    <col min="2" max="6" width="14" customWidth="1"/>
  </cols>
  <sheetData>
    <row r="1" spans="1:6" ht="15.75" x14ac:dyDescent="0.25">
      <c r="A1" s="1077" t="s">
        <v>505</v>
      </c>
      <c r="B1" s="1077"/>
      <c r="C1" s="1077"/>
    </row>
    <row r="2" spans="1:6" x14ac:dyDescent="0.25">
      <c r="A2" s="772" t="s">
        <v>578</v>
      </c>
    </row>
    <row r="3" spans="1:6" x14ac:dyDescent="0.25">
      <c r="A3" s="31"/>
      <c r="B3" s="31"/>
      <c r="C3" s="31"/>
      <c r="D3" s="31"/>
      <c r="E3" s="31"/>
      <c r="F3" s="31"/>
    </row>
    <row r="4" spans="1:6" ht="15.75" customHeight="1" x14ac:dyDescent="0.25">
      <c r="A4" s="1106" t="s">
        <v>520</v>
      </c>
      <c r="B4" s="1106"/>
      <c r="C4" s="1106"/>
      <c r="D4" s="1106"/>
      <c r="E4" s="1106"/>
      <c r="F4" s="1106"/>
    </row>
    <row r="5" spans="1:6" ht="15" customHeight="1" x14ac:dyDescent="0.25">
      <c r="A5" t="s">
        <v>363</v>
      </c>
      <c r="B5" t="s">
        <v>757</v>
      </c>
      <c r="C5" s="629"/>
      <c r="E5" s="629"/>
      <c r="F5" s="629"/>
    </row>
    <row r="6" spans="1:6" ht="15" customHeight="1" x14ac:dyDescent="0.25">
      <c r="A6" t="s">
        <v>364</v>
      </c>
      <c r="B6" t="s">
        <v>366</v>
      </c>
      <c r="C6" s="629"/>
      <c r="E6" s="629"/>
      <c r="F6" s="629"/>
    </row>
    <row r="7" spans="1:6" ht="15" customHeight="1" x14ac:dyDescent="0.25">
      <c r="A7" t="s">
        <v>365</v>
      </c>
      <c r="B7" t="s">
        <v>367</v>
      </c>
      <c r="C7" s="629"/>
      <c r="D7" s="629"/>
      <c r="E7" s="629"/>
      <c r="F7" s="629"/>
    </row>
    <row r="8" spans="1:6" ht="15.75" x14ac:dyDescent="0.25">
      <c r="A8" s="78"/>
      <c r="B8" s="137"/>
      <c r="C8" s="137"/>
      <c r="D8" s="550" t="s">
        <v>6</v>
      </c>
      <c r="E8" s="137"/>
      <c r="F8" s="138" t="s">
        <v>7</v>
      </c>
    </row>
    <row r="9" spans="1:6" x14ac:dyDescent="0.25">
      <c r="A9" s="717" t="s">
        <v>27</v>
      </c>
      <c r="B9" s="720" t="s">
        <v>92</v>
      </c>
      <c r="C9" s="720" t="s">
        <v>93</v>
      </c>
      <c r="D9" s="720" t="s">
        <v>26</v>
      </c>
      <c r="E9" s="721" t="s">
        <v>92</v>
      </c>
      <c r="F9" s="720" t="s">
        <v>93</v>
      </c>
    </row>
    <row r="10" spans="1:6" x14ac:dyDescent="0.25">
      <c r="A10" s="144" t="s">
        <v>967</v>
      </c>
      <c r="B10" s="146">
        <f>GETPIVOTDATA("Sum of Female",'h7'!$A$4,"Type","WT","PostConv","Brigade Manager")</f>
        <v>0</v>
      </c>
      <c r="C10" s="146">
        <f>GETPIVOTDATA("Sum of Male",'h7'!$A$4,"Type","WT","PostConv","Brigade Manager")</f>
        <v>6</v>
      </c>
      <c r="D10" s="718">
        <f>SUM(B10:C10)</f>
        <v>6</v>
      </c>
      <c r="E10" s="147">
        <f t="shared" ref="E10:E17" si="0">B10/(B10+C10)</f>
        <v>0</v>
      </c>
      <c r="F10" s="147">
        <f t="shared" ref="F10:F17" si="1">C10/(B10+C10)</f>
        <v>1</v>
      </c>
    </row>
    <row r="11" spans="1:6" x14ac:dyDescent="0.25">
      <c r="A11" s="144" t="s">
        <v>968</v>
      </c>
      <c r="B11" s="148">
        <f>GETPIVOTDATA("Sum of Female",'h7'!$A$4,"Type","WT","PostConv","Area Manager")</f>
        <v>0</v>
      </c>
      <c r="C11" s="148">
        <f>GETPIVOTDATA("Sum of Male",'h7'!$A$4,"Type","WT","PostConv","Area Manager")</f>
        <v>31</v>
      </c>
      <c r="D11" s="718">
        <f t="shared" ref="D11:D16" si="2">SUM(B11:C11)</f>
        <v>31</v>
      </c>
      <c r="E11" s="147">
        <f t="shared" si="0"/>
        <v>0</v>
      </c>
      <c r="F11" s="147">
        <f t="shared" si="1"/>
        <v>1</v>
      </c>
    </row>
    <row r="12" spans="1:6" x14ac:dyDescent="0.25">
      <c r="A12" s="144" t="s">
        <v>969</v>
      </c>
      <c r="B12" s="149">
        <f>GETPIVOTDATA("Sum of Female",'h7'!$A$4,"Type","WT","PostConv","Group Manager")</f>
        <v>2</v>
      </c>
      <c r="C12" s="149">
        <f>GETPIVOTDATA("Sum of Male",'h7'!$A$4,"Type","WT","PostConv","Group Manager")</f>
        <v>78</v>
      </c>
      <c r="D12" s="150">
        <f>SUM(B12:C12)</f>
        <v>80</v>
      </c>
      <c r="E12" s="147">
        <f t="shared" si="0"/>
        <v>2.5000000000000001E-2</v>
      </c>
      <c r="F12" s="147">
        <f t="shared" si="1"/>
        <v>0.97499999999999998</v>
      </c>
    </row>
    <row r="13" spans="1:6" x14ac:dyDescent="0.25">
      <c r="A13" s="144" t="s">
        <v>970</v>
      </c>
      <c r="B13" s="149">
        <f>GETPIVOTDATA("Sum of Female",'h7'!$A$4,"Type","WT","PostConv","Station Manager")</f>
        <v>5</v>
      </c>
      <c r="C13" s="149">
        <f>GETPIVOTDATA("Sum of Male",'h7'!$A$4,"Type","WT","PostConv","Station Manager")</f>
        <v>148</v>
      </c>
      <c r="D13" s="150">
        <f t="shared" si="2"/>
        <v>153</v>
      </c>
      <c r="E13" s="147">
        <f t="shared" si="0"/>
        <v>3.2679738562091505E-2</v>
      </c>
      <c r="F13" s="147">
        <f t="shared" si="1"/>
        <v>0.9673202614379085</v>
      </c>
    </row>
    <row r="14" spans="1:6" x14ac:dyDescent="0.25">
      <c r="A14" s="144" t="s">
        <v>971</v>
      </c>
      <c r="B14" s="149">
        <f>GETPIVOTDATA("Sum of Female",'h7'!$A$4,"Type","WT","PostConv","Watch Manager")</f>
        <v>30</v>
      </c>
      <c r="C14" s="149">
        <f>GETPIVOTDATA("Sum of Male",'h7'!$A$4,"Type","WT","PostConv","Watch Manager")</f>
        <v>578</v>
      </c>
      <c r="D14" s="150">
        <f t="shared" si="2"/>
        <v>608</v>
      </c>
      <c r="E14" s="147">
        <f t="shared" si="0"/>
        <v>4.9342105263157895E-2</v>
      </c>
      <c r="F14" s="147">
        <f t="shared" si="1"/>
        <v>0.95065789473684215</v>
      </c>
    </row>
    <row r="15" spans="1:6" x14ac:dyDescent="0.25">
      <c r="A15" s="144" t="s">
        <v>972</v>
      </c>
      <c r="B15" s="149">
        <f>GETPIVOTDATA("Sum of Female",'h7'!$A$4,"Type","WT","PostConv","Crew Manager")</f>
        <v>31</v>
      </c>
      <c r="C15" s="149">
        <f>GETPIVOTDATA("Sum of Male",'h7'!$A$4,"Type","WT","PostConv","Crew Manager")</f>
        <v>657</v>
      </c>
      <c r="D15" s="150">
        <f t="shared" si="2"/>
        <v>688</v>
      </c>
      <c r="E15" s="147">
        <f t="shared" si="0"/>
        <v>4.5058139534883718E-2</v>
      </c>
      <c r="F15" s="147">
        <f t="shared" si="1"/>
        <v>0.95494186046511631</v>
      </c>
    </row>
    <row r="16" spans="1:6" x14ac:dyDescent="0.25">
      <c r="A16" s="144" t="s">
        <v>23</v>
      </c>
      <c r="B16" s="149">
        <f>GETPIVOTDATA("Sum of Female",'h7'!$A$4,"Type","WT","PostConv","Firefighter")</f>
        <v>154</v>
      </c>
      <c r="C16" s="149">
        <f>GETPIVOTDATA("Sum of Male",'h7'!$A$4,"Type","WT","PostConv","Firefighter")</f>
        <v>1916</v>
      </c>
      <c r="D16" s="150">
        <f t="shared" si="2"/>
        <v>2070</v>
      </c>
      <c r="E16" s="147">
        <f t="shared" si="0"/>
        <v>7.4396135265700478E-2</v>
      </c>
      <c r="F16" s="147">
        <f t="shared" si="1"/>
        <v>0.92560386473429956</v>
      </c>
    </row>
    <row r="17" spans="1:6" ht="15.75" thickBot="1" x14ac:dyDescent="0.3">
      <c r="A17" s="152" t="s">
        <v>521</v>
      </c>
      <c r="B17" s="153">
        <f>SUM(B10:B16)</f>
        <v>222</v>
      </c>
      <c r="C17" s="153">
        <f>SUM(C10:C16)</f>
        <v>3414</v>
      </c>
      <c r="D17" s="153">
        <f>SUM(B17:C17)</f>
        <v>3636</v>
      </c>
      <c r="E17" s="154">
        <f t="shared" si="0"/>
        <v>6.1056105610561059E-2</v>
      </c>
      <c r="F17" s="154">
        <f t="shared" si="1"/>
        <v>0.93894389438943893</v>
      </c>
    </row>
    <row r="18" spans="1:6" x14ac:dyDescent="0.25">
      <c r="A18" s="145"/>
      <c r="B18" s="155"/>
      <c r="C18" s="155"/>
      <c r="D18" s="150"/>
      <c r="E18" s="157"/>
      <c r="F18" s="157"/>
    </row>
    <row r="19" spans="1:6" x14ac:dyDescent="0.25">
      <c r="A19" s="140" t="s">
        <v>28</v>
      </c>
      <c r="B19" s="158"/>
      <c r="C19" s="167"/>
      <c r="D19" s="150"/>
      <c r="E19" s="423"/>
      <c r="F19" s="423"/>
    </row>
    <row r="20" spans="1:6" x14ac:dyDescent="0.25">
      <c r="A20" s="144" t="s">
        <v>971</v>
      </c>
      <c r="B20" s="162">
        <f>GETPIVOTDATA("Sum of Female",'h7'!$A$4,"Type","RDS","PostConv","Watch Manager")</f>
        <v>13</v>
      </c>
      <c r="C20" s="420">
        <f>GETPIVOTDATA("Sum of Male",'h7'!$A$4,"Type","RDS","PostConv","Watch Manager")</f>
        <v>249</v>
      </c>
      <c r="D20" s="719">
        <f>SUM(B20:C20)</f>
        <v>262</v>
      </c>
      <c r="E20" s="422">
        <f>B20/(B20+C20)</f>
        <v>4.9618320610687022E-2</v>
      </c>
      <c r="F20" s="422">
        <f>C20/(B20+C20)</f>
        <v>0.95038167938931295</v>
      </c>
    </row>
    <row r="21" spans="1:6" x14ac:dyDescent="0.25">
      <c r="A21" s="144" t="s">
        <v>972</v>
      </c>
      <c r="B21" s="162">
        <f>GETPIVOTDATA("Sum of Female",'h7'!$A$4,"Type","RDS","PostConv","Crew Manager")</f>
        <v>20</v>
      </c>
      <c r="C21" s="162">
        <f>GETPIVOTDATA("Sum of Male",'h7'!$A$4,"Type","RDS","PostConv","Crew Manager")</f>
        <v>500</v>
      </c>
      <c r="D21" s="718">
        <f>SUM(B21:C21)</f>
        <v>520</v>
      </c>
      <c r="E21" s="147">
        <f>B21/(B21+C21)</f>
        <v>3.8461538461538464E-2</v>
      </c>
      <c r="F21" s="147">
        <f>C21/(B21+C21)</f>
        <v>0.96153846153846156</v>
      </c>
    </row>
    <row r="22" spans="1:6" x14ac:dyDescent="0.25">
      <c r="A22" s="144" t="s">
        <v>23</v>
      </c>
      <c r="B22" s="162">
        <f>GETPIVOTDATA("Sum of Female",'h7'!$A$4,"Type","RDS","PostConv","Firefighter")</f>
        <v>175</v>
      </c>
      <c r="C22" s="162">
        <f>GETPIVOTDATA("Sum of Male",'h7'!$A$4,"Type","RDS","PostConv","Firefighter")</f>
        <v>1980</v>
      </c>
      <c r="D22" s="718">
        <f>SUM(B22:C22)</f>
        <v>2155</v>
      </c>
      <c r="E22" s="147">
        <f>B22/(B22+C22)</f>
        <v>8.1206496519721574E-2</v>
      </c>
      <c r="F22" s="147">
        <f>C22/(B22+C22)</f>
        <v>0.91879350348027844</v>
      </c>
    </row>
    <row r="23" spans="1:6" ht="15.75" thickBot="1" x14ac:dyDescent="0.3">
      <c r="A23" s="152" t="s">
        <v>94</v>
      </c>
      <c r="B23" s="153">
        <f>SUM(B20:B22)</f>
        <v>208</v>
      </c>
      <c r="C23" s="153">
        <f>SUM(C20:C22)</f>
        <v>2729</v>
      </c>
      <c r="D23" s="153">
        <f>SUM(B23:C23)</f>
        <v>2937</v>
      </c>
      <c r="E23" s="154">
        <f>B23/(B23+C23)</f>
        <v>7.0820565202587671E-2</v>
      </c>
      <c r="F23" s="154">
        <f>C23/(B23+C23)</f>
        <v>0.92917943479741227</v>
      </c>
    </row>
    <row r="24" spans="1:6" x14ac:dyDescent="0.25">
      <c r="A24" s="145"/>
      <c r="B24" s="155"/>
      <c r="C24" s="155"/>
      <c r="D24" s="150"/>
      <c r="E24" s="157"/>
      <c r="F24" s="157"/>
    </row>
    <row r="25" spans="1:6" x14ac:dyDescent="0.25">
      <c r="A25" s="140" t="s">
        <v>95</v>
      </c>
      <c r="B25" s="158"/>
      <c r="C25" s="158"/>
      <c r="D25" s="158"/>
      <c r="E25" s="158"/>
      <c r="F25" s="158"/>
    </row>
    <row r="26" spans="1:6" x14ac:dyDescent="0.25">
      <c r="A26" s="144" t="s">
        <v>968</v>
      </c>
      <c r="B26" s="148">
        <f>IFERROR(GETPIVOTDATA("Sum of Female",'h7'!$A$4,"Type","Control","PostConv","Area Manager"),0)</f>
        <v>1</v>
      </c>
      <c r="C26" s="148">
        <f>IFERROR(GETPIVOTDATA("Sum of Male",'h7'!$A$4,"Type","Control","PostConv","Area Manager"),0)</f>
        <v>0</v>
      </c>
      <c r="D26" s="718">
        <f t="shared" ref="D26:D32" si="3">SUM(B26:C26)</f>
        <v>1</v>
      </c>
      <c r="E26" s="147">
        <f>IFERROR(B26/(B26+C26),0)</f>
        <v>1</v>
      </c>
      <c r="F26" s="147">
        <f>IFERROR(C26/(B26+C26),0)</f>
        <v>0</v>
      </c>
    </row>
    <row r="27" spans="1:6" x14ac:dyDescent="0.25">
      <c r="A27" s="144" t="s">
        <v>969</v>
      </c>
      <c r="B27" s="162">
        <f>GETPIVOTDATA("Sum of Female",'h7'!$A$4,"Type","Control","PostConv","Group Manager")</f>
        <v>3</v>
      </c>
      <c r="C27" s="162">
        <f>GETPIVOTDATA("Sum of Male",'h7'!$A$4,"Type","Control","PostConv","Group Manager")</f>
        <v>1</v>
      </c>
      <c r="D27" s="718">
        <f t="shared" si="3"/>
        <v>4</v>
      </c>
      <c r="E27" s="147">
        <f t="shared" ref="E27:E32" si="4">B27/(B27+C27)</f>
        <v>0.75</v>
      </c>
      <c r="F27" s="147">
        <f t="shared" ref="F27:F32" si="5">C27/(B27+C27)</f>
        <v>0.25</v>
      </c>
    </row>
    <row r="28" spans="1:6" x14ac:dyDescent="0.25">
      <c r="A28" s="144" t="s">
        <v>970</v>
      </c>
      <c r="B28" s="162">
        <f>GETPIVOTDATA("Sum of Female",'h7'!$A$4,"Type","Control","PostConv","Station Manager")</f>
        <v>7</v>
      </c>
      <c r="C28" s="162">
        <f>GETPIVOTDATA("Sum of Male",'h7'!$A$4,"Type","Control","PostConv","Station Manager")</f>
        <v>1</v>
      </c>
      <c r="D28" s="718">
        <f t="shared" si="3"/>
        <v>8</v>
      </c>
      <c r="E28" s="147">
        <f t="shared" si="4"/>
        <v>0.875</v>
      </c>
      <c r="F28" s="147">
        <f t="shared" si="5"/>
        <v>0.125</v>
      </c>
    </row>
    <row r="29" spans="1:6" x14ac:dyDescent="0.25">
      <c r="A29" s="144" t="s">
        <v>971</v>
      </c>
      <c r="B29" s="162">
        <f>GETPIVOTDATA("Sum of Female",'h7'!$A$4,"Type","Control","PostConv","Watch Manager")</f>
        <v>38</v>
      </c>
      <c r="C29" s="162">
        <f>GETPIVOTDATA("Sum of Male",'h7'!$A$4,"Type","Control","PostConv","Watch Manager")</f>
        <v>7</v>
      </c>
      <c r="D29" s="718">
        <f t="shared" si="3"/>
        <v>45</v>
      </c>
      <c r="E29" s="147">
        <f t="shared" si="4"/>
        <v>0.84444444444444444</v>
      </c>
      <c r="F29" s="147">
        <f t="shared" si="5"/>
        <v>0.15555555555555556</v>
      </c>
    </row>
    <row r="30" spans="1:6" x14ac:dyDescent="0.25">
      <c r="A30" s="144" t="s">
        <v>972</v>
      </c>
      <c r="B30" s="162">
        <f>GETPIVOTDATA("Sum of Female",'h7'!$A$4,"Type","Control","PostConv","Crew Manager")</f>
        <v>21</v>
      </c>
      <c r="C30" s="162">
        <f>GETPIVOTDATA("Sum of Male",'h7'!$A$4,"Type","Control","PostConv","Crew Manager")</f>
        <v>5</v>
      </c>
      <c r="D30" s="718">
        <f t="shared" si="3"/>
        <v>26</v>
      </c>
      <c r="E30" s="147">
        <f t="shared" si="4"/>
        <v>0.80769230769230771</v>
      </c>
      <c r="F30" s="147">
        <f t="shared" si="5"/>
        <v>0.19230769230769232</v>
      </c>
    </row>
    <row r="31" spans="1:6" x14ac:dyDescent="0.25">
      <c r="A31" s="144" t="s">
        <v>80</v>
      </c>
      <c r="B31" s="162">
        <f>GETPIVOTDATA("Sum of Female",'h7'!$A$4,"Type","Control","PostConv","Firefighter")</f>
        <v>86</v>
      </c>
      <c r="C31" s="162">
        <f>GETPIVOTDATA("Sum of Male",'h7'!$A$4,"Type","Control","PostConv","Firefighter")</f>
        <v>18</v>
      </c>
      <c r="D31" s="718">
        <f t="shared" si="3"/>
        <v>104</v>
      </c>
      <c r="E31" s="147">
        <f t="shared" si="4"/>
        <v>0.82692307692307687</v>
      </c>
      <c r="F31" s="147">
        <f t="shared" si="5"/>
        <v>0.17307692307692307</v>
      </c>
    </row>
    <row r="32" spans="1:6" ht="15.75" thickBot="1" x14ac:dyDescent="0.3">
      <c r="A32" s="163" t="s">
        <v>96</v>
      </c>
      <c r="B32" s="153">
        <f>SUM(B26:B31)</f>
        <v>156</v>
      </c>
      <c r="C32" s="153">
        <f>SUM(C26:C31)</f>
        <v>32</v>
      </c>
      <c r="D32" s="153">
        <f t="shared" si="3"/>
        <v>188</v>
      </c>
      <c r="E32" s="154">
        <f t="shared" si="4"/>
        <v>0.82978723404255317</v>
      </c>
      <c r="F32" s="154">
        <f t="shared" si="5"/>
        <v>0.1702127659574468</v>
      </c>
    </row>
    <row r="33" spans="1:6" x14ac:dyDescent="0.25">
      <c r="A33" s="145"/>
      <c r="B33" s="155"/>
      <c r="C33" s="155"/>
      <c r="D33" s="150"/>
      <c r="E33" s="157"/>
      <c r="F33" s="157"/>
    </row>
    <row r="34" spans="1:6" x14ac:dyDescent="0.25">
      <c r="A34" s="164" t="s">
        <v>90</v>
      </c>
      <c r="B34" s="141"/>
      <c r="C34" s="150"/>
      <c r="D34" s="150"/>
      <c r="E34" s="423"/>
      <c r="F34" s="423"/>
    </row>
    <row r="35" spans="1:6" x14ac:dyDescent="0.25">
      <c r="A35" s="144" t="s">
        <v>210</v>
      </c>
      <c r="B35" s="156">
        <f>GETPIVOTDATA("Sum of Female",'h7'!$A$4,"Type","Support","PostConv","Director")</f>
        <v>2</v>
      </c>
      <c r="C35" s="421">
        <f>GETPIVOTDATA("Sum of Male",'h7'!$A$4,"Type","Support","PostConv","Director")</f>
        <v>1</v>
      </c>
      <c r="D35" s="424">
        <f>SUM(B35:C35)</f>
        <v>3</v>
      </c>
      <c r="E35" s="422">
        <f t="shared" ref="E35:E41" si="6">B35/(B35+C35)</f>
        <v>0.66666666666666663</v>
      </c>
      <c r="F35" s="422">
        <f t="shared" ref="F35:F41" si="7">C35/(B35+C35)</f>
        <v>0.33333333333333331</v>
      </c>
    </row>
    <row r="36" spans="1:6" x14ac:dyDescent="0.25">
      <c r="A36" s="144" t="s">
        <v>81</v>
      </c>
      <c r="B36" s="156">
        <f>GETPIVOTDATA("Sum of Female",'h7'!$A$4,"Type","Support","PostConv","Service Manager")</f>
        <v>14</v>
      </c>
      <c r="C36" s="156">
        <f>GETPIVOTDATA("Sum of Male",'h7'!$A$4,"Type","Support","PostConv","Service Manager")</f>
        <v>33</v>
      </c>
      <c r="D36" s="150">
        <f t="shared" ref="D36:D41" si="8">SUM(B36:C36)</f>
        <v>47</v>
      </c>
      <c r="E36" s="147">
        <f t="shared" si="6"/>
        <v>0.2978723404255319</v>
      </c>
      <c r="F36" s="147">
        <f t="shared" si="7"/>
        <v>0.7021276595744681</v>
      </c>
    </row>
    <row r="37" spans="1:6" x14ac:dyDescent="0.25">
      <c r="A37" s="144" t="s">
        <v>87</v>
      </c>
      <c r="B37" s="156">
        <f>GETPIVOTDATA("Sum of Female",'h7'!$A$4,"Type","Support","PostConv","Team Leader")</f>
        <v>20</v>
      </c>
      <c r="C37" s="156">
        <f>GETPIVOTDATA("Sum of Male",'h7'!$A$4,"Type","Support","PostConv","Team Leader")</f>
        <v>12</v>
      </c>
      <c r="D37" s="150">
        <f t="shared" si="8"/>
        <v>32</v>
      </c>
      <c r="E37" s="147">
        <f t="shared" si="6"/>
        <v>0.625</v>
      </c>
      <c r="F37" s="147">
        <f t="shared" si="7"/>
        <v>0.375</v>
      </c>
    </row>
    <row r="38" spans="1:6" x14ac:dyDescent="0.25">
      <c r="A38" s="144" t="s">
        <v>83</v>
      </c>
      <c r="B38" s="156">
        <f>GETPIVOTDATA("Sum of Female",'h7'!$A$4,"Type","Support","PostConv","Professional")</f>
        <v>61</v>
      </c>
      <c r="C38" s="156">
        <f>GETPIVOTDATA("Sum of Male",'h7'!$A$4,"Type","Support","PostConv","Professional")</f>
        <v>29</v>
      </c>
      <c r="D38" s="150">
        <f t="shared" si="8"/>
        <v>90</v>
      </c>
      <c r="E38" s="147">
        <f t="shared" si="6"/>
        <v>0.67777777777777781</v>
      </c>
      <c r="F38" s="147">
        <f t="shared" si="7"/>
        <v>0.32222222222222224</v>
      </c>
    </row>
    <row r="39" spans="1:6" x14ac:dyDescent="0.25">
      <c r="A39" s="144" t="s">
        <v>97</v>
      </c>
      <c r="B39" s="156">
        <f>GETPIVOTDATA("Sum of Female",'h7'!$A$4,"Type","Support","PostConv","Specialist Technical")</f>
        <v>152</v>
      </c>
      <c r="C39" s="156">
        <f>GETPIVOTDATA("Sum of Male",'h7'!$A$4,"Type","Support","PostConv","Specialist Technical")</f>
        <v>248</v>
      </c>
      <c r="D39" s="150">
        <f t="shared" si="8"/>
        <v>400</v>
      </c>
      <c r="E39" s="147">
        <f t="shared" si="6"/>
        <v>0.38</v>
      </c>
      <c r="F39" s="147">
        <f t="shared" si="7"/>
        <v>0.62</v>
      </c>
    </row>
    <row r="40" spans="1:6" x14ac:dyDescent="0.25">
      <c r="A40" s="144" t="s">
        <v>85</v>
      </c>
      <c r="B40" s="155">
        <f>GETPIVOTDATA("Sum of Female",'h7'!$A$4,"Type","Support","PostConv","Tech Support")</f>
        <v>26</v>
      </c>
      <c r="C40" s="155">
        <f>GETPIVOTDATA("Sum of Male",'h7'!$A$4,"Type","Support","PostConv","Tech Support")</f>
        <v>37</v>
      </c>
      <c r="D40" s="150">
        <f t="shared" si="8"/>
        <v>63</v>
      </c>
      <c r="E40" s="147">
        <f t="shared" si="6"/>
        <v>0.41269841269841268</v>
      </c>
      <c r="F40" s="147">
        <f t="shared" si="7"/>
        <v>0.58730158730158732</v>
      </c>
    </row>
    <row r="41" spans="1:6" x14ac:dyDescent="0.25">
      <c r="A41" s="144" t="s">
        <v>98</v>
      </c>
      <c r="B41" s="155">
        <f>GETPIVOTDATA("Sum of Female",'h7'!$A$4,"Type","Support","PostConv","Administration")</f>
        <v>172</v>
      </c>
      <c r="C41" s="155">
        <f>GETPIVOTDATA("Sum of Male",'h7'!$A$4,"Type","Support","PostConv","Administration")</f>
        <v>11</v>
      </c>
      <c r="D41" s="150">
        <f t="shared" si="8"/>
        <v>183</v>
      </c>
      <c r="E41" s="147">
        <f t="shared" si="6"/>
        <v>0.93989071038251371</v>
      </c>
      <c r="F41" s="147">
        <f t="shared" si="7"/>
        <v>6.0109289617486336E-2</v>
      </c>
    </row>
    <row r="42" spans="1:6" ht="15.75" thickBot="1" x14ac:dyDescent="0.3">
      <c r="A42" s="163" t="s">
        <v>99</v>
      </c>
      <c r="B42" s="153">
        <f>SUM(B35:B41)</f>
        <v>447</v>
      </c>
      <c r="C42" s="153">
        <f>SUM(C35:C41)</f>
        <v>371</v>
      </c>
      <c r="D42" s="153">
        <f>SUM(B42:C42)</f>
        <v>818</v>
      </c>
      <c r="E42" s="154">
        <f>B42/(B42+C42)</f>
        <v>0.54645476772616142</v>
      </c>
      <c r="F42" s="154">
        <f>C42/(B42+C42)</f>
        <v>0.45354523227383864</v>
      </c>
    </row>
    <row r="43" spans="1:6" x14ac:dyDescent="0.25">
      <c r="A43" s="31"/>
      <c r="B43" s="167"/>
      <c r="C43" s="167"/>
      <c r="D43" s="150"/>
      <c r="E43" s="157"/>
      <c r="F43" s="157"/>
    </row>
    <row r="44" spans="1:6" x14ac:dyDescent="0.25">
      <c r="A44" s="164" t="s">
        <v>29</v>
      </c>
      <c r="B44" s="158"/>
      <c r="C44" s="167"/>
      <c r="D44" s="150"/>
      <c r="E44" s="423"/>
      <c r="F44" s="423"/>
    </row>
    <row r="45" spans="1:6" x14ac:dyDescent="0.25">
      <c r="A45" s="151" t="s">
        <v>222</v>
      </c>
      <c r="B45" s="155">
        <f>GETPIVOTDATA("Sum of Female",'h7'!$A$4,"Type","Vol","PostConv","Watch Manager")</f>
        <v>5</v>
      </c>
      <c r="C45" s="425">
        <f>GETPIVOTDATA("Sum of Male",'h7'!$A$4,"Type","Vol","PostConv","Watch Manager")</f>
        <v>32</v>
      </c>
      <c r="D45" s="426">
        <f>SUM(B45:C45)</f>
        <v>37</v>
      </c>
      <c r="E45" s="422">
        <f>B45/(B45+C45)</f>
        <v>0.13513513513513514</v>
      </c>
      <c r="F45" s="422">
        <f>C45/(B45+C45)</f>
        <v>0.86486486486486491</v>
      </c>
    </row>
    <row r="46" spans="1:6" x14ac:dyDescent="0.25">
      <c r="A46" s="151" t="s">
        <v>223</v>
      </c>
      <c r="B46" s="155">
        <f>GETPIVOTDATA("Sum of Female",'h7'!$A$4,"Type","Vol","PostConv","Crew Manager")</f>
        <v>1</v>
      </c>
      <c r="C46" s="155">
        <f>GETPIVOTDATA("Sum of Male",'h7'!$A$4,"Type","Vol","PostConv","Crew Manager")</f>
        <v>40</v>
      </c>
      <c r="D46" s="168">
        <f t="shared" ref="D46:D47" si="9">SUM(B46:C46)</f>
        <v>41</v>
      </c>
      <c r="E46" s="147">
        <f>B46/(B46+C46)</f>
        <v>2.4390243902439025E-2</v>
      </c>
      <c r="F46" s="147">
        <f>C46/(B46+C46)</f>
        <v>0.97560975609756095</v>
      </c>
    </row>
    <row r="47" spans="1:6" x14ac:dyDescent="0.25">
      <c r="A47" s="151" t="s">
        <v>224</v>
      </c>
      <c r="B47" s="155">
        <f>GETPIVOTDATA("Sum of Female",'h7'!$A$4,"Type","Vol","PostConv","Firefighter")</f>
        <v>48</v>
      </c>
      <c r="C47" s="155">
        <f>GETPIVOTDATA("Sum of Male",'h7'!$A$4,"Type","Vol","PostConv","Firefighter")</f>
        <v>189</v>
      </c>
      <c r="D47" s="168">
        <f t="shared" si="9"/>
        <v>237</v>
      </c>
      <c r="E47" s="147">
        <f>B47/(B47+C47)</f>
        <v>0.20253164556962025</v>
      </c>
      <c r="F47" s="147">
        <f>C47/(B47+C47)</f>
        <v>0.79746835443037978</v>
      </c>
    </row>
    <row r="48" spans="1:6" ht="15.75" thickBot="1" x14ac:dyDescent="0.3">
      <c r="A48" s="163" t="s">
        <v>100</v>
      </c>
      <c r="B48" s="153">
        <f>SUM(B45:B47)</f>
        <v>54</v>
      </c>
      <c r="C48" s="153">
        <f>SUM(C45:C47)</f>
        <v>261</v>
      </c>
      <c r="D48" s="153">
        <f>SUM(B48:C48)</f>
        <v>315</v>
      </c>
      <c r="E48" s="154">
        <f>B48/(B48+C48)</f>
        <v>0.17142857142857143</v>
      </c>
      <c r="F48" s="154">
        <f>C48/(B48+C48)</f>
        <v>0.82857142857142863</v>
      </c>
    </row>
    <row r="49" spans="1:9" x14ac:dyDescent="0.25">
      <c r="A49" s="169"/>
      <c r="B49" s="170"/>
      <c r="C49" s="170"/>
      <c r="D49" s="171"/>
      <c r="E49" s="172"/>
      <c r="F49" s="172"/>
    </row>
    <row r="50" spans="1:9" ht="15.75" thickBot="1" x14ac:dyDescent="0.3">
      <c r="A50" s="173" t="s">
        <v>101</v>
      </c>
      <c r="B50" s="174">
        <f>B48+B42+B32+B23+B17</f>
        <v>1087</v>
      </c>
      <c r="C50" s="174">
        <f>C48+C42+C32+C23+C17</f>
        <v>6807</v>
      </c>
      <c r="D50" s="174">
        <f>D48+D42+D32+D23+D17</f>
        <v>7894</v>
      </c>
      <c r="E50" s="154">
        <f>B50/(B50+C50)</f>
        <v>0.13769951862173802</v>
      </c>
      <c r="F50" s="154">
        <f>C50/(B50+C50)</f>
        <v>0.86230048137826198</v>
      </c>
    </row>
    <row r="51" spans="1:9" x14ac:dyDescent="0.25">
      <c r="A51" s="175"/>
      <c r="B51" s="176"/>
      <c r="C51" s="176"/>
      <c r="D51" s="176"/>
      <c r="E51" s="172"/>
      <c r="F51" s="172"/>
    </row>
    <row r="52" spans="1:9" ht="15.75" thickBot="1" x14ac:dyDescent="0.3">
      <c r="A52" s="177" t="s">
        <v>102</v>
      </c>
      <c r="B52" s="174">
        <f>B50-B48</f>
        <v>1033</v>
      </c>
      <c r="C52" s="174">
        <f>C50-C48</f>
        <v>6546</v>
      </c>
      <c r="D52" s="153">
        <f>SUM(B52:C52)</f>
        <v>7579</v>
      </c>
      <c r="E52" s="154">
        <f>B52/(B52+C52)</f>
        <v>0.13629766459955139</v>
      </c>
      <c r="F52" s="154">
        <f>C52/(B52+C52)</f>
        <v>0.86370233540044861</v>
      </c>
    </row>
    <row r="53" spans="1:9" x14ac:dyDescent="0.25">
      <c r="A53" s="178"/>
      <c r="B53" s="178"/>
      <c r="C53" s="178"/>
      <c r="D53" s="179"/>
      <c r="E53" s="180" t="s">
        <v>103</v>
      </c>
      <c r="F53" s="31"/>
    </row>
    <row r="54" spans="1:9" x14ac:dyDescent="0.25">
      <c r="A54" s="491" t="s">
        <v>8</v>
      </c>
      <c r="B54" s="500"/>
      <c r="C54" s="500"/>
      <c r="D54" s="501"/>
      <c r="E54" s="502"/>
      <c r="F54" s="498"/>
      <c r="G54" s="498"/>
    </row>
    <row r="55" spans="1:9" ht="29.25" customHeight="1" x14ac:dyDescent="0.25">
      <c r="A55" s="1076" t="s">
        <v>1063</v>
      </c>
      <c r="B55" s="1076"/>
      <c r="C55" s="1076"/>
      <c r="D55" s="1076"/>
      <c r="E55" s="1076"/>
      <c r="F55" s="1076"/>
      <c r="G55" s="1076"/>
    </row>
    <row r="56" spans="1:9" ht="48.75" customHeight="1" x14ac:dyDescent="0.25">
      <c r="A56" s="1096" t="s">
        <v>974</v>
      </c>
      <c r="B56" s="1096"/>
      <c r="C56" s="1096"/>
      <c r="D56" s="1096"/>
      <c r="E56" s="1096"/>
      <c r="F56" s="1096"/>
      <c r="G56" s="1096"/>
      <c r="H56" s="1018"/>
      <c r="I56" s="1018"/>
    </row>
    <row r="57" spans="1:9" ht="45" customHeight="1" x14ac:dyDescent="0.25">
      <c r="A57" s="1095" t="s">
        <v>228</v>
      </c>
      <c r="B57" s="1095"/>
      <c r="C57" s="1095"/>
      <c r="D57" s="1095"/>
      <c r="E57" s="1095"/>
      <c r="F57" s="1095"/>
      <c r="G57" s="1095"/>
    </row>
    <row r="58" spans="1:9" ht="30" customHeight="1" x14ac:dyDescent="0.25">
      <c r="A58" s="1107" t="s">
        <v>229</v>
      </c>
      <c r="B58" s="1107"/>
      <c r="C58" s="1107"/>
      <c r="D58" s="1107"/>
      <c r="E58" s="1107"/>
      <c r="F58" s="1107"/>
      <c r="G58" s="498"/>
    </row>
    <row r="59" spans="1:9" ht="45" customHeight="1" x14ac:dyDescent="0.25">
      <c r="A59" s="1108" t="s">
        <v>230</v>
      </c>
      <c r="B59" s="1108"/>
      <c r="C59" s="1108"/>
      <c r="D59" s="1108"/>
      <c r="E59" s="1108"/>
      <c r="F59" s="1108"/>
      <c r="G59" s="498"/>
    </row>
    <row r="60" spans="1:9" x14ac:dyDescent="0.25">
      <c r="A60" s="949" t="s">
        <v>808</v>
      </c>
    </row>
  </sheetData>
  <sheetProtection algorithmName="SHA-512" hashValue="XAzEQe4NI+PEc4LyDHxtrMXgFFHthLy69Gh8hLk1/pTid1pk5bHRRg0sic3A+MgOkZAJ4JG0B7r0a9/GnTneLg==" saltValue="zqwN4nxHO5QEVBO6iSjUzA==" spinCount="100000" sheet="1" scenarios="1" formatCells="0" formatColumns="0" formatRows="0" sort="0" autoFilter="0" pivotTables="0"/>
  <mergeCells count="7">
    <mergeCell ref="A1:C1"/>
    <mergeCell ref="A56:G56"/>
    <mergeCell ref="A4:F4"/>
    <mergeCell ref="A58:F58"/>
    <mergeCell ref="A59:F59"/>
    <mergeCell ref="A57:G57"/>
    <mergeCell ref="A55:G5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3" orientation="portrait" r:id="rId1"/>
  <drawing r:id="rId2"/>
  <extLst>
    <ext xmlns:x14="http://schemas.microsoft.com/office/spreadsheetml/2009/9/main" uri="{A8765BA9-456A-4dab-B4F3-ACF838C121DE}">
      <x14:slicerList>
        <x14:slicer r:id="rId3"/>
      </x14:slicerList>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39997558519241921"/>
    <pageSetUpPr fitToPage="1"/>
  </sheetPr>
  <dimension ref="A1:Q59"/>
  <sheetViews>
    <sheetView showGridLines="0" workbookViewId="0">
      <pane ySplit="2" topLeftCell="A3" activePane="bottomLeft" state="frozen"/>
      <selection pane="bottomLeft"/>
    </sheetView>
  </sheetViews>
  <sheetFormatPr defaultRowHeight="15" x14ac:dyDescent="0.25"/>
  <cols>
    <col min="1" max="1" width="37.28515625" bestFit="1" customWidth="1"/>
    <col min="2" max="6" width="13.42578125" customWidth="1"/>
  </cols>
  <sheetData>
    <row r="1" spans="1:6" ht="15.75" x14ac:dyDescent="0.25">
      <c r="A1" s="802" t="s">
        <v>505</v>
      </c>
      <c r="B1" s="802"/>
      <c r="C1" s="802"/>
    </row>
    <row r="2" spans="1:6" x14ac:dyDescent="0.25">
      <c r="A2" s="772" t="s">
        <v>578</v>
      </c>
    </row>
    <row r="3" spans="1:6" x14ac:dyDescent="0.25">
      <c r="A3" s="31"/>
      <c r="B3" s="31"/>
      <c r="C3" s="31"/>
    </row>
    <row r="4" spans="1:6" ht="15.75" customHeight="1" x14ac:dyDescent="0.25">
      <c r="A4" s="1105" t="s">
        <v>524</v>
      </c>
      <c r="B4" s="1105"/>
      <c r="C4" s="1105"/>
      <c r="D4" s="1105"/>
      <c r="E4" s="1105"/>
      <c r="F4" s="1105"/>
    </row>
    <row r="5" spans="1:6" ht="15" customHeight="1" x14ac:dyDescent="0.25">
      <c r="A5" t="s">
        <v>363</v>
      </c>
      <c r="B5" t="s">
        <v>758</v>
      </c>
      <c r="C5" s="621"/>
      <c r="D5" s="630"/>
      <c r="E5" s="630"/>
      <c r="F5" s="630"/>
    </row>
    <row r="6" spans="1:6" ht="15" customHeight="1" x14ac:dyDescent="0.25">
      <c r="A6" t="s">
        <v>364</v>
      </c>
      <c r="B6" t="s">
        <v>366</v>
      </c>
      <c r="C6" s="621"/>
      <c r="D6" s="630"/>
      <c r="E6" s="630"/>
      <c r="F6" s="630"/>
    </row>
    <row r="7" spans="1:6" ht="15" customHeight="1" x14ac:dyDescent="0.25">
      <c r="A7" t="s">
        <v>365</v>
      </c>
      <c r="B7" t="s">
        <v>367</v>
      </c>
      <c r="C7" s="621"/>
      <c r="D7" s="630"/>
      <c r="E7" s="630"/>
      <c r="F7" s="630"/>
    </row>
    <row r="8" spans="1:6" ht="15.75" x14ac:dyDescent="0.25">
      <c r="A8" s="212"/>
      <c r="B8" s="210"/>
      <c r="C8" s="210"/>
      <c r="D8" s="222" t="s">
        <v>6</v>
      </c>
      <c r="E8" s="413"/>
      <c r="F8" s="138" t="s">
        <v>7</v>
      </c>
    </row>
    <row r="9" spans="1:6" x14ac:dyDescent="0.25">
      <c r="A9" s="427" t="s">
        <v>27</v>
      </c>
      <c r="B9" s="316" t="s">
        <v>92</v>
      </c>
      <c r="C9" s="316" t="s">
        <v>93</v>
      </c>
      <c r="D9" s="430" t="s">
        <v>26</v>
      </c>
      <c r="E9" s="431" t="s">
        <v>92</v>
      </c>
      <c r="F9" s="316" t="s">
        <v>93</v>
      </c>
    </row>
    <row r="10" spans="1:6" x14ac:dyDescent="0.25">
      <c r="A10" s="428" t="s">
        <v>967</v>
      </c>
      <c r="B10" s="429">
        <f>GETPIVOTDATA("Sum of Female",'h9'!$A$3,"Type","WT","PostConv","Brigade Manager")</f>
        <v>0</v>
      </c>
      <c r="C10" s="444">
        <f>GETPIVOTDATA("Sum of Male",'h9'!$A$3,"Type","WT","PostConv","Brigade Manager")</f>
        <v>6</v>
      </c>
      <c r="D10" s="455">
        <f>GETPIVOTDATA("Sum of Total",'h9'!$A$3,"Type","WT","PostConv","Brigade Manager")</f>
        <v>6</v>
      </c>
      <c r="E10" s="422">
        <f t="shared" ref="E10:E17" si="0">B10/(B10+C10)</f>
        <v>0</v>
      </c>
      <c r="F10" s="422">
        <f t="shared" ref="F10:F17" si="1">C10/(B10+C10)</f>
        <v>1</v>
      </c>
    </row>
    <row r="11" spans="1:6" x14ac:dyDescent="0.25">
      <c r="A11" s="144" t="s">
        <v>968</v>
      </c>
      <c r="B11" s="148">
        <f>GETPIVOTDATA("Sum of Female",'h9'!$A$3,"Type","WT","PostConv","Area Manager")</f>
        <v>0</v>
      </c>
      <c r="C11" s="445">
        <f>GETPIVOTDATA("Sum of Male",'h9'!$A$3,"Type","WT","PostConv","Area Manager")</f>
        <v>31</v>
      </c>
      <c r="D11" s="456">
        <f>GETPIVOTDATA("Sum of Total",'h9'!$A$3,"Type","WT","PostConv","Area Manager")</f>
        <v>31</v>
      </c>
      <c r="E11" s="147">
        <f t="shared" si="0"/>
        <v>0</v>
      </c>
      <c r="F11" s="147">
        <f t="shared" si="1"/>
        <v>1</v>
      </c>
    </row>
    <row r="12" spans="1:6" x14ac:dyDescent="0.25">
      <c r="A12" s="144" t="s">
        <v>969</v>
      </c>
      <c r="B12" s="446">
        <f>GETPIVOTDATA("Sum of Female",'h9'!$A$3,"Type","WT","PostConv","Group Manager")</f>
        <v>2</v>
      </c>
      <c r="C12" s="446">
        <f>GETPIVOTDATA("Sum of Male",'h9'!$A$3,"Type","WT","PostConv","Group Manager")</f>
        <v>78</v>
      </c>
      <c r="D12" s="457">
        <f>GETPIVOTDATA("Sum of Total",'h9'!$A$3,"Type","WT","PostConv","Group Manager")</f>
        <v>80</v>
      </c>
      <c r="E12" s="147">
        <f t="shared" si="0"/>
        <v>2.5000000000000001E-2</v>
      </c>
      <c r="F12" s="147">
        <f t="shared" si="1"/>
        <v>0.97499999999999998</v>
      </c>
    </row>
    <row r="13" spans="1:6" x14ac:dyDescent="0.25">
      <c r="A13" s="144" t="s">
        <v>970</v>
      </c>
      <c r="B13" s="446">
        <f>GETPIVOTDATA("Sum of Female",'h9'!$A$3,"Type","WT","PostConv","Station Manager")</f>
        <v>5</v>
      </c>
      <c r="C13" s="446">
        <f>GETPIVOTDATA("Sum of Male",'h9'!$A$3,"Type","WT","PostConv","Station Manager")</f>
        <v>148</v>
      </c>
      <c r="D13" s="457">
        <f>GETPIVOTDATA("Sum of Total",'h9'!$A$3,"Type","WT","PostConv","Station Manager")</f>
        <v>153</v>
      </c>
      <c r="E13" s="147">
        <f t="shared" si="0"/>
        <v>3.2679738562091505E-2</v>
      </c>
      <c r="F13" s="147">
        <f t="shared" si="1"/>
        <v>0.9673202614379085</v>
      </c>
    </row>
    <row r="14" spans="1:6" x14ac:dyDescent="0.25">
      <c r="A14" s="144" t="s">
        <v>971</v>
      </c>
      <c r="B14" s="446">
        <f>GETPIVOTDATA("Sum of Female",'h9'!$A$3,"Type","WT","PostConv","Watch Manager")</f>
        <v>30</v>
      </c>
      <c r="C14" s="446">
        <f>GETPIVOTDATA("Sum of Male",'h9'!$A$3,"Type","WT","PostConv","Watch Manager")</f>
        <v>578</v>
      </c>
      <c r="D14" s="457">
        <f>GETPIVOTDATA("Sum of Total",'h9'!$A$3,"Type","WT","PostConv","Watch Manager")</f>
        <v>608</v>
      </c>
      <c r="E14" s="147">
        <f t="shared" si="0"/>
        <v>4.9342105263157895E-2</v>
      </c>
      <c r="F14" s="147">
        <f t="shared" si="1"/>
        <v>0.95065789473684215</v>
      </c>
    </row>
    <row r="15" spans="1:6" x14ac:dyDescent="0.25">
      <c r="A15" s="144" t="s">
        <v>972</v>
      </c>
      <c r="B15" s="446">
        <f>GETPIVOTDATA("Sum of Female",'h9'!$A$3,"Type","WT","PostConv","Crew Manager")</f>
        <v>31</v>
      </c>
      <c r="C15" s="446">
        <f>GETPIVOTDATA("Sum of Male",'h9'!$A$3,"Type","WT","PostConv","Crew Manager")</f>
        <v>657</v>
      </c>
      <c r="D15" s="457">
        <f>GETPIVOTDATA("Sum of Total",'h9'!$A$3,"Type","WT","PostConv","Crew Manager")</f>
        <v>688</v>
      </c>
      <c r="E15" s="147">
        <f t="shared" si="0"/>
        <v>4.5058139534883718E-2</v>
      </c>
      <c r="F15" s="147">
        <f t="shared" si="1"/>
        <v>0.95494186046511631</v>
      </c>
    </row>
    <row r="16" spans="1:6" x14ac:dyDescent="0.25">
      <c r="A16" s="144" t="s">
        <v>23</v>
      </c>
      <c r="B16" s="446">
        <f>GETPIVOTDATA("Sum of Female",'h9'!$A$3,"Type","WT","PostConv","Firefighter")</f>
        <v>152.93</v>
      </c>
      <c r="C16" s="446">
        <f>GETPIVOTDATA("Sum of Male",'h9'!$A$3,"Type","WT","PostConv","Firefighter")</f>
        <v>1915</v>
      </c>
      <c r="D16" s="457">
        <f>GETPIVOTDATA("Sum of Total",'h9'!$A$3,"Type","WT","PostConv","Firefighter")</f>
        <v>2067.9299999999998</v>
      </c>
      <c r="E16" s="147">
        <f t="shared" si="0"/>
        <v>7.3953180233373481E-2</v>
      </c>
      <c r="F16" s="147">
        <f t="shared" si="1"/>
        <v>0.92604681976662662</v>
      </c>
    </row>
    <row r="17" spans="1:6" ht="15.75" thickBot="1" x14ac:dyDescent="0.3">
      <c r="A17" s="152" t="s">
        <v>521</v>
      </c>
      <c r="B17" s="447">
        <f>GETPIVOTDATA("Sum of Female",'h9'!$A$3,"Type","WT")</f>
        <v>220.93</v>
      </c>
      <c r="C17" s="447">
        <f>GETPIVOTDATA("Sum of Male",'h9'!$A$3,"Type","WT")</f>
        <v>3413</v>
      </c>
      <c r="D17" s="458">
        <f>SUM(B17:C17)</f>
        <v>3633.93</v>
      </c>
      <c r="E17" s="154">
        <f t="shared" si="0"/>
        <v>6.0796438016142311E-2</v>
      </c>
      <c r="F17" s="154">
        <f t="shared" si="1"/>
        <v>0.93920356198385779</v>
      </c>
    </row>
    <row r="18" spans="1:6" x14ac:dyDescent="0.25">
      <c r="A18" s="145"/>
      <c r="B18" s="214"/>
      <c r="C18" s="214"/>
      <c r="D18" s="452"/>
      <c r="E18" s="157"/>
      <c r="F18" s="157"/>
    </row>
    <row r="19" spans="1:6" x14ac:dyDescent="0.25">
      <c r="A19" s="427" t="s">
        <v>28</v>
      </c>
      <c r="B19" s="218"/>
      <c r="C19" s="218"/>
      <c r="D19" s="452"/>
      <c r="E19" s="423"/>
      <c r="F19" s="423"/>
    </row>
    <row r="20" spans="1:6" x14ac:dyDescent="0.25">
      <c r="A20" s="428" t="s">
        <v>971</v>
      </c>
      <c r="B20" s="448">
        <f>GETPIVOTDATA("Sum of Female",'h9'!$A$3,"Type","RDS","PostConv","Watch Manager")</f>
        <v>11.75</v>
      </c>
      <c r="C20" s="448">
        <f>GETPIVOTDATA("Sum of Male",'h9'!$A$3,"Type","RDS","PostConv","Watch Manager")</f>
        <v>224.75</v>
      </c>
      <c r="D20" s="450">
        <f>GETPIVOTDATA("Sum of Total",'h9'!$A$3,"Type","RDS","PostConv","Watch Manager")</f>
        <v>236.5</v>
      </c>
      <c r="E20" s="422">
        <f>B20/(B20+C20)</f>
        <v>4.9682875264270614E-2</v>
      </c>
      <c r="F20" s="422">
        <f>C20/(B20+C20)</f>
        <v>0.95031712473572938</v>
      </c>
    </row>
    <row r="21" spans="1:6" x14ac:dyDescent="0.25">
      <c r="A21" s="144" t="s">
        <v>972</v>
      </c>
      <c r="B21" s="449">
        <f>GETPIVOTDATA("Sum of Female",'h9'!$A$3,"Type","RDS","PostConv","Crew Manager")</f>
        <v>17</v>
      </c>
      <c r="C21" s="449">
        <f>GETPIVOTDATA("Sum of Male",'h9'!$A$3,"Type","RDS","PostConv","Crew Manager")</f>
        <v>442.93</v>
      </c>
      <c r="D21" s="451">
        <f>GETPIVOTDATA("Sum of Total",'h9'!$A$3,"Type","RDS","PostConv","Crew Manager")</f>
        <v>459.93</v>
      </c>
      <c r="E21" s="147">
        <f>B21/(B21+C21)</f>
        <v>3.6962146413584675E-2</v>
      </c>
      <c r="F21" s="147">
        <f>C21/(B21+C21)</f>
        <v>0.96303785358641536</v>
      </c>
    </row>
    <row r="22" spans="1:6" x14ac:dyDescent="0.25">
      <c r="A22" s="144" t="s">
        <v>23</v>
      </c>
      <c r="B22" s="449">
        <f>GETPIVOTDATA("Sum of Female",'h9'!$A$3,"Type","RDS","PostConv","Firefighter")</f>
        <v>153.15</v>
      </c>
      <c r="C22" s="449">
        <f>GETPIVOTDATA("Sum of Male",'h9'!$A$3,"Type","RDS","PostConv","Firefighter")</f>
        <v>1702.15</v>
      </c>
      <c r="D22" s="451">
        <f>GETPIVOTDATA("Sum of Total",'h9'!$A$3,"Type","RDS","PostConv","Firefighter")</f>
        <v>1855.3</v>
      </c>
      <c r="E22" s="147">
        <f>B22/(B22+C22)</f>
        <v>8.2547296933110539E-2</v>
      </c>
      <c r="F22" s="147">
        <f>C22/(B22+C22)</f>
        <v>0.91745270306688942</v>
      </c>
    </row>
    <row r="23" spans="1:6" ht="15.75" thickBot="1" x14ac:dyDescent="0.3">
      <c r="A23" s="152" t="s">
        <v>94</v>
      </c>
      <c r="B23" s="447">
        <f>GETPIVOTDATA("Sum of Female",'h9'!$A$3,"Type","RDS")</f>
        <v>181.9</v>
      </c>
      <c r="C23" s="447">
        <f>GETPIVOTDATA("Sum of Male",'h9'!$A$3,"Type","RDS")</f>
        <v>2369.83</v>
      </c>
      <c r="D23" s="459">
        <f>GETPIVOTDATA("Sum of Total",'h9'!$A$3,"Type","RDS")</f>
        <v>2551.73</v>
      </c>
      <c r="E23" s="154">
        <f>B23/(B23+C23)</f>
        <v>7.128497137236306E-2</v>
      </c>
      <c r="F23" s="154">
        <f>C23/(B23+C23)</f>
        <v>0.92871502862763688</v>
      </c>
    </row>
    <row r="24" spans="1:6" x14ac:dyDescent="0.25">
      <c r="A24" s="145"/>
      <c r="B24" s="214"/>
      <c r="C24" s="214"/>
      <c r="D24" s="451"/>
      <c r="E24" s="157"/>
      <c r="F24" s="157"/>
    </row>
    <row r="25" spans="1:6" x14ac:dyDescent="0.25">
      <c r="A25" s="140" t="s">
        <v>95</v>
      </c>
      <c r="B25" s="218"/>
      <c r="C25" s="218"/>
      <c r="D25" s="451"/>
      <c r="E25" s="160"/>
      <c r="F25" s="423"/>
    </row>
    <row r="26" spans="1:6" x14ac:dyDescent="0.25">
      <c r="A26" s="144" t="s">
        <v>968</v>
      </c>
      <c r="B26" s="429">
        <f>IFERROR(GETPIVOTDATA("Sum of Female",'h9'!$A$3,"Type","Control","PostConv","Area Manager"),0)</f>
        <v>1</v>
      </c>
      <c r="C26" s="429">
        <f>IFERROR(GETPIVOTDATA("Sum of Male",'h9'!$A$3,"Type","Control","PostConv","Area Manager"),0)</f>
        <v>0</v>
      </c>
      <c r="D26" s="581">
        <f>IFERROR(GETPIVOTDATA("Sum of Total",'h9'!$A$3,"Type","Control","PostConv","Area Manager"),0)</f>
        <v>1</v>
      </c>
      <c r="E26" s="147">
        <f>IFERROR(B26/(B26+C26),0)</f>
        <v>1</v>
      </c>
      <c r="F26" s="422">
        <f>IFERROR(C26/(B26+C26),0)</f>
        <v>0</v>
      </c>
    </row>
    <row r="27" spans="1:6" x14ac:dyDescent="0.25">
      <c r="A27" s="144" t="s">
        <v>969</v>
      </c>
      <c r="B27" s="215">
        <f>GETPIVOTDATA("Sum of Female",'h9'!$A$3,"Type","Control","PostConv","Group Manager")</f>
        <v>3</v>
      </c>
      <c r="C27" s="215">
        <f>GETPIVOTDATA("Sum of Male",'h9'!$A$3,"Type","Control","PostConv","Group Manager")</f>
        <v>1</v>
      </c>
      <c r="D27" s="451">
        <f>GETPIVOTDATA("Sum of Total",'h9'!$A$3,"Type","Control","PostConv","Group Manager")</f>
        <v>4</v>
      </c>
      <c r="E27" s="147">
        <f t="shared" ref="E27:E32" si="2">B27/(B27+C27)</f>
        <v>0.75</v>
      </c>
      <c r="F27" s="147">
        <f t="shared" ref="F27:F32" si="3">C27/(B27+C27)</f>
        <v>0.25</v>
      </c>
    </row>
    <row r="28" spans="1:6" x14ac:dyDescent="0.25">
      <c r="A28" s="144" t="s">
        <v>970</v>
      </c>
      <c r="B28" s="449">
        <f>GETPIVOTDATA("Sum of Female",'h9'!$A$3,"Type","Control","PostConv","Station Manager")</f>
        <v>7</v>
      </c>
      <c r="C28" s="449">
        <f>GETPIVOTDATA("Sum of Male",'h9'!$A$3,"Type","Control","PostConv","Station Manager")</f>
        <v>1</v>
      </c>
      <c r="D28" s="451">
        <f>GETPIVOTDATA("Sum of Total",'h9'!$A$3,"Type","Control","PostConv","Station Manager")</f>
        <v>8</v>
      </c>
      <c r="E28" s="147">
        <f t="shared" si="2"/>
        <v>0.875</v>
      </c>
      <c r="F28" s="147">
        <f t="shared" si="3"/>
        <v>0.125</v>
      </c>
    </row>
    <row r="29" spans="1:6" x14ac:dyDescent="0.25">
      <c r="A29" s="144" t="s">
        <v>971</v>
      </c>
      <c r="B29" s="449">
        <f>GETPIVOTDATA("Sum of Female",'h9'!$A$3,"Type","Control","PostConv","Watch Manager")</f>
        <v>38</v>
      </c>
      <c r="C29" s="449">
        <f>GETPIVOTDATA("Sum of Male",'h9'!$A$3,"Type","Control","PostConv","Watch Manager")</f>
        <v>7</v>
      </c>
      <c r="D29" s="451">
        <f>GETPIVOTDATA("Sum of Total",'h9'!$A$3,"Type","Control","PostConv","Watch Manager")</f>
        <v>45</v>
      </c>
      <c r="E29" s="147">
        <f t="shared" si="2"/>
        <v>0.84444444444444444</v>
      </c>
      <c r="F29" s="147">
        <f t="shared" si="3"/>
        <v>0.15555555555555556</v>
      </c>
    </row>
    <row r="30" spans="1:6" x14ac:dyDescent="0.25">
      <c r="A30" s="144" t="s">
        <v>972</v>
      </c>
      <c r="B30" s="449">
        <f>GETPIVOTDATA("Sum of Female",'h9'!$A$3,"Type","Control","PostConv","Crew Manager")</f>
        <v>21</v>
      </c>
      <c r="C30" s="449">
        <f>GETPIVOTDATA("Sum of Male",'h9'!$A$3,"Type","Control","PostConv","Crew Manager")</f>
        <v>5</v>
      </c>
      <c r="D30" s="451">
        <f>GETPIVOTDATA("Sum of Total",'h9'!$A$3,"Type","Control","PostConv","Crew Manager")</f>
        <v>26</v>
      </c>
      <c r="E30" s="147">
        <f t="shared" si="2"/>
        <v>0.80769230769230771</v>
      </c>
      <c r="F30" s="147">
        <f t="shared" si="3"/>
        <v>0.19230769230769232</v>
      </c>
    </row>
    <row r="31" spans="1:6" x14ac:dyDescent="0.25">
      <c r="A31" s="144" t="s">
        <v>80</v>
      </c>
      <c r="B31" s="449">
        <f>GETPIVOTDATA("Sum of Female",'h9'!$A$3,"Type","Control","PostConv","Firefighter")</f>
        <v>81.83</v>
      </c>
      <c r="C31" s="449">
        <f>GETPIVOTDATA("Sum of Male",'h9'!$A$3,"Type","Control","PostConv","Firefighter")</f>
        <v>18</v>
      </c>
      <c r="D31" s="451">
        <f>GETPIVOTDATA("Sum of Total",'h9'!$A$3,"Type","Control","PostConv","Firefighter")</f>
        <v>99.83</v>
      </c>
      <c r="E31" s="147">
        <f t="shared" si="2"/>
        <v>0.81969347891415401</v>
      </c>
      <c r="F31" s="147">
        <f t="shared" si="3"/>
        <v>0.18030652108584594</v>
      </c>
    </row>
    <row r="32" spans="1:6" ht="15.75" thickBot="1" x14ac:dyDescent="0.3">
      <c r="A32" s="163" t="s">
        <v>96</v>
      </c>
      <c r="B32" s="447">
        <f>GETPIVOTDATA("Sum of Female",'h9'!$A$3,"Type","Control")</f>
        <v>151.82999999999998</v>
      </c>
      <c r="C32" s="447">
        <f>GETPIVOTDATA("Sum of Male",'h9'!$A$3,"Type","Control")</f>
        <v>32</v>
      </c>
      <c r="D32" s="453">
        <f>GETPIVOTDATA("Sum of Total",'h9'!$A$3,"Type","Control")</f>
        <v>183.82999999999998</v>
      </c>
      <c r="E32" s="154">
        <f t="shared" si="2"/>
        <v>0.82592612740031546</v>
      </c>
      <c r="F32" s="154">
        <f t="shared" si="3"/>
        <v>0.17407387259968451</v>
      </c>
    </row>
    <row r="33" spans="1:9" x14ac:dyDescent="0.25">
      <c r="A33" s="145"/>
      <c r="B33" s="214"/>
      <c r="C33" s="215"/>
      <c r="D33" s="451"/>
      <c r="E33" s="157"/>
      <c r="F33" s="157"/>
    </row>
    <row r="34" spans="1:9" x14ac:dyDescent="0.25">
      <c r="A34" s="175" t="s">
        <v>90</v>
      </c>
      <c r="B34" s="216"/>
      <c r="C34" s="215"/>
      <c r="D34" s="451"/>
      <c r="E34" s="157"/>
      <c r="F34" s="157"/>
    </row>
    <row r="35" spans="1:9" x14ac:dyDescent="0.25">
      <c r="A35" s="428" t="s">
        <v>210</v>
      </c>
      <c r="B35" s="448">
        <f>GETPIVOTDATA("Sum of Female",'h9'!$A$3,"Type","Support","PostConv","Director")</f>
        <v>2</v>
      </c>
      <c r="C35" s="448">
        <f>GETPIVOTDATA("Sum of Male",'h9'!$A$3,"Type","Support","PostConv","Director")</f>
        <v>1</v>
      </c>
      <c r="D35" s="450">
        <f>GETPIVOTDATA("Sum of Total",'h9'!$A$3,"Type","Support","PostConv","Director")</f>
        <v>3</v>
      </c>
      <c r="E35" s="422">
        <f>IFERROR(B35/(B35+C35),0)</f>
        <v>0.66666666666666663</v>
      </c>
      <c r="F35" s="422">
        <f>IFERROR(C35/(B35+C35),0)</f>
        <v>0.33333333333333331</v>
      </c>
    </row>
    <row r="36" spans="1:9" x14ac:dyDescent="0.25">
      <c r="A36" s="144" t="s">
        <v>81</v>
      </c>
      <c r="B36" s="215">
        <f>GETPIVOTDATA("Sum of Female",'h9'!$A$3,"Type","Support","PostConv","Service Manager")</f>
        <v>14</v>
      </c>
      <c r="C36" s="215">
        <f>GETPIVOTDATA("Sum of Male",'h9'!$A$3,"Type","Support","PostConv","Service Manager")</f>
        <v>33</v>
      </c>
      <c r="D36" s="451">
        <f>GETPIVOTDATA("Sum of Total",'h9'!$A$3,"Type","Support","PostConv","Service Manager")</f>
        <v>47</v>
      </c>
      <c r="E36" s="147">
        <f t="shared" ref="E36:E41" si="4">B36/(B36+C36)</f>
        <v>0.2978723404255319</v>
      </c>
      <c r="F36" s="147">
        <f t="shared" ref="F36:F41" si="5">C36/(B36+C36)</f>
        <v>0.7021276595744681</v>
      </c>
    </row>
    <row r="37" spans="1:9" x14ac:dyDescent="0.25">
      <c r="A37" s="144" t="s">
        <v>87</v>
      </c>
      <c r="B37" s="215">
        <f>GETPIVOTDATA("Sum of Female",'h9'!$A$3,"Type","Support","PostConv","Team Leader")</f>
        <v>20</v>
      </c>
      <c r="C37" s="215">
        <f>GETPIVOTDATA("Sum of Male",'h9'!$A$3,"Type","Support","PostConv","Team Leader")</f>
        <v>12</v>
      </c>
      <c r="D37" s="451">
        <f>GETPIVOTDATA("Sum of Total",'h9'!$A$3,"Type","Support","PostConv","Team Leader")</f>
        <v>32</v>
      </c>
      <c r="E37" s="147">
        <f t="shared" si="4"/>
        <v>0.625</v>
      </c>
      <c r="F37" s="147">
        <f t="shared" si="5"/>
        <v>0.375</v>
      </c>
    </row>
    <row r="38" spans="1:9" x14ac:dyDescent="0.25">
      <c r="A38" s="144" t="s">
        <v>83</v>
      </c>
      <c r="B38" s="215">
        <f>GETPIVOTDATA("Sum of Female",'h9'!$A$3,"Type","Support","PostConv","Professional")</f>
        <v>59.61</v>
      </c>
      <c r="C38" s="215">
        <f>GETPIVOTDATA("Sum of Male",'h9'!$A$3,"Type","Support","PostConv","Professional")</f>
        <v>29</v>
      </c>
      <c r="D38" s="451">
        <f>GETPIVOTDATA("Sum of Total",'h9'!$A$3,"Type","Support","PostConv","Professional")</f>
        <v>88.61</v>
      </c>
      <c r="E38" s="147">
        <f t="shared" si="4"/>
        <v>0.67272316894255724</v>
      </c>
      <c r="F38" s="147">
        <f t="shared" si="5"/>
        <v>0.32727683105744271</v>
      </c>
    </row>
    <row r="39" spans="1:9" x14ac:dyDescent="0.25">
      <c r="A39" s="144" t="s">
        <v>97</v>
      </c>
      <c r="B39" s="215">
        <f>GETPIVOTDATA("Sum of Female",'h9'!$A$3,"Type","Support","PostConv","Specialist Technical")</f>
        <v>142.84</v>
      </c>
      <c r="C39" s="215">
        <f>GETPIVOTDATA("Sum of Male",'h9'!$A$3,"Type","Support","PostConv","Specialist Technical")</f>
        <v>239.66</v>
      </c>
      <c r="D39" s="451">
        <f>GETPIVOTDATA("Sum of Total",'h9'!$A$3,"Type","Support","PostConv","Specialist Technical")</f>
        <v>382.5</v>
      </c>
      <c r="E39" s="147">
        <f t="shared" si="4"/>
        <v>0.37343790849673203</v>
      </c>
      <c r="F39" s="147">
        <f t="shared" si="5"/>
        <v>0.62656209150326792</v>
      </c>
    </row>
    <row r="40" spans="1:9" x14ac:dyDescent="0.25">
      <c r="A40" s="144" t="s">
        <v>85</v>
      </c>
      <c r="B40" s="214">
        <f>GETPIVOTDATA("Sum of Female",'h9'!$A$3,"Type","Support","PostConv","Tech Support")</f>
        <v>20.6</v>
      </c>
      <c r="C40" s="214">
        <f>GETPIVOTDATA("Sum of Male",'h9'!$A$3,"Type","Support","PostConv","Tech Support")</f>
        <v>36.35</v>
      </c>
      <c r="D40" s="451">
        <f>GETPIVOTDATA("Sum of Total",'h9'!$A$3,"Type","Support","PostConv","Tech Support")</f>
        <v>56.95</v>
      </c>
      <c r="E40" s="147">
        <f t="shared" si="4"/>
        <v>0.36172080772607551</v>
      </c>
      <c r="F40" s="147">
        <f t="shared" si="5"/>
        <v>0.63827919227392449</v>
      </c>
    </row>
    <row r="41" spans="1:9" x14ac:dyDescent="0.25">
      <c r="A41" s="144" t="s">
        <v>98</v>
      </c>
      <c r="B41" s="214">
        <f>GETPIVOTDATA("Sum of Female",'h9'!$A$3,"Type","Support","PostConv","Administration")</f>
        <v>144.79</v>
      </c>
      <c r="C41" s="214">
        <f>GETPIVOTDATA("Sum of Male",'h9'!$A$3,"Type","Support","PostConv","Administration")</f>
        <v>10.55</v>
      </c>
      <c r="D41" s="451">
        <f>GETPIVOTDATA("Sum of Total",'h9'!$A$3,"Type","Support","PostConv","Administration")</f>
        <v>155.34</v>
      </c>
      <c r="E41" s="147">
        <f t="shared" si="4"/>
        <v>0.93208445989442501</v>
      </c>
      <c r="F41" s="147">
        <f t="shared" si="5"/>
        <v>6.7915540105574865E-2</v>
      </c>
    </row>
    <row r="42" spans="1:9" ht="15.75" thickBot="1" x14ac:dyDescent="0.3">
      <c r="A42" s="163" t="s">
        <v>99</v>
      </c>
      <c r="B42" s="447">
        <f>GETPIVOTDATA("Sum of Female",'h9'!$A$3,"Type","Support")</f>
        <v>403.84000000000003</v>
      </c>
      <c r="C42" s="447">
        <f>GETPIVOTDATA("Sum of Male",'h9'!$A$3,"Type","Support")</f>
        <v>361.56</v>
      </c>
      <c r="D42" s="453">
        <f>GETPIVOTDATA("Sum of Total",'h9'!$A$3,"Type","Support")</f>
        <v>765.40000000000009</v>
      </c>
      <c r="E42" s="154">
        <f>B42/(B42+C42)</f>
        <v>0.52761954533577216</v>
      </c>
      <c r="F42" s="154">
        <f>C42/(B42+C42)</f>
        <v>0.47238045466422779</v>
      </c>
    </row>
    <row r="43" spans="1:9" x14ac:dyDescent="0.25">
      <c r="A43" s="159"/>
      <c r="B43" s="218"/>
      <c r="C43" s="215"/>
      <c r="D43" s="451"/>
      <c r="E43" s="213"/>
      <c r="F43" s="213"/>
    </row>
    <row r="44" spans="1:9" ht="15.75" thickBot="1" x14ac:dyDescent="0.3">
      <c r="A44" s="173" t="s">
        <v>101</v>
      </c>
      <c r="B44" s="217">
        <f>GETPIVOTDATA("Sum of Female",'h9'!$A$3,"Type","Control")+GETPIVOTDATA("Sum of Female",'h9'!$A$3,"Type","RDS")+GETPIVOTDATA("Sum of Female",'h9'!$A$3,"Type","Support")+GETPIVOTDATA("Sum of Female",'h9'!$A$3,"Type","WT")</f>
        <v>958.5</v>
      </c>
      <c r="C44" s="217">
        <f>GETPIVOTDATA("Sum of Male",'h9'!$A$3,"Type","Control")+GETPIVOTDATA("Sum of Male",'h9'!$A$3,"Type","RDS")+GETPIVOTDATA("Sum of Male",'h9'!$A$3,"Type","Support")+GETPIVOTDATA("Sum of Male",'h9'!$A$3,"Type","WT")</f>
        <v>6176.3899999999994</v>
      </c>
      <c r="D44" s="454">
        <f>GETPIVOTDATA("Sum of Total",'h9'!$A$3)</f>
        <v>7170.8899999999994</v>
      </c>
      <c r="E44" s="154">
        <f>B44/(B44+C44)</f>
        <v>0.13433984266050353</v>
      </c>
      <c r="F44" s="154">
        <f>C44/(B44+C44)</f>
        <v>0.86566015733949642</v>
      </c>
    </row>
    <row r="45" spans="1:9" x14ac:dyDescent="0.25">
      <c r="A45" s="31"/>
      <c r="B45" s="31"/>
      <c r="C45" s="31"/>
      <c r="D45" s="31"/>
      <c r="E45" s="31"/>
      <c r="F45" s="31"/>
    </row>
    <row r="46" spans="1:9" x14ac:dyDescent="0.25">
      <c r="A46" s="497" t="s">
        <v>8</v>
      </c>
      <c r="B46" s="498"/>
      <c r="C46" s="498"/>
      <c r="D46" s="498"/>
      <c r="E46" s="498"/>
      <c r="F46" s="498"/>
    </row>
    <row r="47" spans="1:9" ht="60" customHeight="1" x14ac:dyDescent="0.25">
      <c r="A47" s="1096" t="s">
        <v>974</v>
      </c>
      <c r="B47" s="1096"/>
      <c r="C47" s="1096"/>
      <c r="D47" s="1096"/>
      <c r="E47" s="1096"/>
      <c r="F47" s="1096"/>
      <c r="G47" s="1096"/>
    </row>
    <row r="48" spans="1:9" ht="45.75" customHeight="1" x14ac:dyDescent="0.25">
      <c r="A48" s="1095" t="s">
        <v>228</v>
      </c>
      <c r="B48" s="1095"/>
      <c r="C48" s="1095"/>
      <c r="D48" s="1095"/>
      <c r="E48" s="1095"/>
      <c r="F48" s="1095"/>
      <c r="G48" s="1095"/>
      <c r="H48" s="1095"/>
      <c r="I48" s="1095"/>
    </row>
    <row r="49" spans="1:17" x14ac:dyDescent="0.25">
      <c r="A49" s="673" t="s">
        <v>229</v>
      </c>
      <c r="H49" s="506"/>
    </row>
    <row r="50" spans="1:17" x14ac:dyDescent="0.25">
      <c r="A50" s="1108" t="s">
        <v>230</v>
      </c>
      <c r="B50" s="1108"/>
      <c r="C50" s="1108"/>
      <c r="D50" s="1108"/>
      <c r="E50" s="1108"/>
      <c r="F50" s="1108"/>
      <c r="H50" s="506"/>
    </row>
    <row r="51" spans="1:17" x14ac:dyDescent="0.25">
      <c r="A51" s="949" t="s">
        <v>808</v>
      </c>
      <c r="H51" s="506"/>
    </row>
    <row r="52" spans="1:17" ht="15" customHeight="1" x14ac:dyDescent="0.25">
      <c r="A52" s="687" t="s">
        <v>226</v>
      </c>
      <c r="H52" s="552"/>
    </row>
    <row r="53" spans="1:17" ht="15" customHeight="1" x14ac:dyDescent="0.25">
      <c r="A53" s="544" t="s">
        <v>227</v>
      </c>
      <c r="H53" s="673"/>
    </row>
    <row r="54" spans="1:17" ht="15" customHeight="1" x14ac:dyDescent="0.25">
      <c r="A54" s="730" t="s">
        <v>225</v>
      </c>
      <c r="B54" s="730"/>
      <c r="C54" s="730"/>
      <c r="D54" s="730"/>
      <c r="E54" s="730"/>
      <c r="F54" s="730"/>
      <c r="H54" s="687"/>
    </row>
    <row r="55" spans="1:17" x14ac:dyDescent="0.25">
      <c r="H55" s="544"/>
    </row>
    <row r="56" spans="1:17" ht="15" customHeight="1" x14ac:dyDescent="0.25">
      <c r="A56" s="1018"/>
      <c r="B56" s="1018"/>
      <c r="C56" s="1018"/>
      <c r="D56" s="1018"/>
      <c r="E56" s="1018"/>
      <c r="F56" s="1018"/>
      <c r="G56" s="1018"/>
      <c r="H56" s="1018"/>
      <c r="I56" s="1018"/>
      <c r="J56" s="730"/>
      <c r="K56" s="730"/>
      <c r="L56" s="730"/>
      <c r="M56" s="730"/>
      <c r="N56" s="730"/>
      <c r="O56" s="730"/>
      <c r="P56" s="730"/>
      <c r="Q56" s="730"/>
    </row>
    <row r="57" spans="1:17" x14ac:dyDescent="0.25">
      <c r="A57" s="1095"/>
      <c r="B57" s="1095"/>
      <c r="C57" s="1095"/>
      <c r="D57" s="1095"/>
      <c r="E57" s="1095"/>
      <c r="F57" s="1095"/>
      <c r="G57" s="1095"/>
      <c r="H57" s="498"/>
    </row>
    <row r="58" spans="1:17" x14ac:dyDescent="0.25">
      <c r="A58" s="1107"/>
      <c r="B58" s="1107"/>
      <c r="C58" s="1107"/>
      <c r="D58" s="1107"/>
      <c r="E58" s="1107"/>
      <c r="F58" s="1107"/>
      <c r="G58" s="498"/>
    </row>
    <row r="59" spans="1:17" x14ac:dyDescent="0.25">
      <c r="G59" s="498"/>
    </row>
  </sheetData>
  <sheetProtection algorithmName="SHA-512" hashValue="SDm9mKZWZrx+bHu3m/prqqwJnnPHnUWkRcLbHXBiOcaJ9jCzv7fInel6khOvVujBrtAVlKupqCDcgg1gfKXP0Q==" saltValue="Y3OfK+Zhk2RsxHkIp/Y5aA==" spinCount="100000" sheet="1" scenarios="1" formatCells="0" formatColumns="0" formatRows="0" sort="0" autoFilter="0" pivotTables="0"/>
  <mergeCells count="6">
    <mergeCell ref="A4:F4"/>
    <mergeCell ref="A57:G57"/>
    <mergeCell ref="A58:F58"/>
    <mergeCell ref="A50:F50"/>
    <mergeCell ref="A48:I48"/>
    <mergeCell ref="A47:G47"/>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extLst>
    <ext xmlns:x14="http://schemas.microsoft.com/office/spreadsheetml/2009/9/main" uri="{A8765BA9-456A-4dab-B4F3-ACF838C121DE}">
      <x14:slicerList>
        <x14:slicer r:id="rId3"/>
      </x14:slicerList>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33"/>
  <sheetViews>
    <sheetView workbookViewId="0">
      <selection activeCell="B14" sqref="B14"/>
    </sheetView>
  </sheetViews>
  <sheetFormatPr defaultRowHeight="15" x14ac:dyDescent="0.25"/>
  <cols>
    <col min="1" max="1" width="22.140625" bestFit="1" customWidth="1"/>
    <col min="2" max="2" width="14.28515625" bestFit="1" customWidth="1"/>
    <col min="3" max="3" width="12.140625" bestFit="1" customWidth="1"/>
    <col min="4" max="4" width="12" bestFit="1" customWidth="1"/>
  </cols>
  <sheetData>
    <row r="1" spans="1:4" x14ac:dyDescent="0.25">
      <c r="A1" s="565" t="s">
        <v>270</v>
      </c>
      <c r="B1" t="s">
        <v>851</v>
      </c>
    </row>
    <row r="3" spans="1:4" x14ac:dyDescent="0.25">
      <c r="A3" s="565" t="s">
        <v>246</v>
      </c>
      <c r="B3" t="s">
        <v>319</v>
      </c>
      <c r="C3" t="s">
        <v>320</v>
      </c>
      <c r="D3" t="s">
        <v>252</v>
      </c>
    </row>
    <row r="4" spans="1:4" x14ac:dyDescent="0.25">
      <c r="A4" s="1068" t="s">
        <v>2</v>
      </c>
      <c r="B4" s="567">
        <v>151.82999999999998</v>
      </c>
      <c r="C4" s="567">
        <v>32</v>
      </c>
      <c r="D4" s="567">
        <v>183.82999999999998</v>
      </c>
    </row>
    <row r="5" spans="1:4" x14ac:dyDescent="0.25">
      <c r="A5" s="568" t="s">
        <v>18</v>
      </c>
      <c r="B5" s="567">
        <v>1</v>
      </c>
      <c r="C5" s="567"/>
      <c r="D5" s="567">
        <v>1</v>
      </c>
    </row>
    <row r="6" spans="1:4" x14ac:dyDescent="0.25">
      <c r="A6" s="568" t="s">
        <v>22</v>
      </c>
      <c r="B6" s="567">
        <v>21</v>
      </c>
      <c r="C6" s="567">
        <v>5</v>
      </c>
      <c r="D6" s="567">
        <v>26</v>
      </c>
    </row>
    <row r="7" spans="1:4" x14ac:dyDescent="0.25">
      <c r="A7" s="568" t="s">
        <v>23</v>
      </c>
      <c r="B7" s="567">
        <v>81.83</v>
      </c>
      <c r="C7" s="567">
        <v>18</v>
      </c>
      <c r="D7" s="567">
        <v>99.83</v>
      </c>
    </row>
    <row r="8" spans="1:4" x14ac:dyDescent="0.25">
      <c r="A8" s="568" t="s">
        <v>19</v>
      </c>
      <c r="B8" s="567">
        <v>3</v>
      </c>
      <c r="C8" s="567">
        <v>1</v>
      </c>
      <c r="D8" s="567">
        <v>4</v>
      </c>
    </row>
    <row r="9" spans="1:4" x14ac:dyDescent="0.25">
      <c r="A9" s="568" t="s">
        <v>20</v>
      </c>
      <c r="B9" s="567">
        <v>7</v>
      </c>
      <c r="C9" s="567">
        <v>1</v>
      </c>
      <c r="D9" s="567">
        <v>8</v>
      </c>
    </row>
    <row r="10" spans="1:4" x14ac:dyDescent="0.25">
      <c r="A10" s="568" t="s">
        <v>21</v>
      </c>
      <c r="B10" s="567">
        <v>38</v>
      </c>
      <c r="C10" s="567">
        <v>7</v>
      </c>
      <c r="D10" s="567">
        <v>45</v>
      </c>
    </row>
    <row r="11" spans="1:4" x14ac:dyDescent="0.25">
      <c r="A11" s="1068" t="s">
        <v>9</v>
      </c>
      <c r="B11" s="567">
        <v>181.9</v>
      </c>
      <c r="C11" s="567">
        <v>2369.83</v>
      </c>
      <c r="D11" s="567">
        <v>2551.73</v>
      </c>
    </row>
    <row r="12" spans="1:4" x14ac:dyDescent="0.25">
      <c r="A12" s="568" t="s">
        <v>22</v>
      </c>
      <c r="B12" s="567">
        <v>17</v>
      </c>
      <c r="C12" s="567">
        <v>442.93</v>
      </c>
      <c r="D12" s="567">
        <v>459.93</v>
      </c>
    </row>
    <row r="13" spans="1:4" x14ac:dyDescent="0.25">
      <c r="A13" s="568" t="s">
        <v>23</v>
      </c>
      <c r="B13" s="567">
        <v>153.15</v>
      </c>
      <c r="C13" s="567">
        <v>1702.15</v>
      </c>
      <c r="D13" s="567">
        <v>1855.3</v>
      </c>
    </row>
    <row r="14" spans="1:4" x14ac:dyDescent="0.25">
      <c r="A14" s="568" t="s">
        <v>21</v>
      </c>
      <c r="B14" s="567">
        <v>11.75</v>
      </c>
      <c r="C14" s="567">
        <v>224.75</v>
      </c>
      <c r="D14" s="567">
        <v>236.5</v>
      </c>
    </row>
    <row r="15" spans="1:4" x14ac:dyDescent="0.25">
      <c r="A15" s="1068" t="s">
        <v>3</v>
      </c>
      <c r="B15" s="567">
        <v>403.84000000000003</v>
      </c>
      <c r="C15" s="567">
        <v>361.56</v>
      </c>
      <c r="D15" s="567">
        <v>765.40000000000009</v>
      </c>
    </row>
    <row r="16" spans="1:4" x14ac:dyDescent="0.25">
      <c r="A16" s="568" t="s">
        <v>98</v>
      </c>
      <c r="B16" s="567">
        <v>144.79</v>
      </c>
      <c r="C16" s="567">
        <v>10.55</v>
      </c>
      <c r="D16" s="567">
        <v>155.34</v>
      </c>
    </row>
    <row r="17" spans="1:4" x14ac:dyDescent="0.25">
      <c r="A17" s="568" t="s">
        <v>210</v>
      </c>
      <c r="B17" s="567">
        <v>2</v>
      </c>
      <c r="C17" s="567">
        <v>1</v>
      </c>
      <c r="D17" s="567">
        <v>3</v>
      </c>
    </row>
    <row r="18" spans="1:4" x14ac:dyDescent="0.25">
      <c r="A18" s="568" t="s">
        <v>83</v>
      </c>
      <c r="B18" s="567">
        <v>59.61</v>
      </c>
      <c r="C18" s="567">
        <v>29</v>
      </c>
      <c r="D18" s="567">
        <v>88.61</v>
      </c>
    </row>
    <row r="19" spans="1:4" x14ac:dyDescent="0.25">
      <c r="A19" s="568" t="s">
        <v>81</v>
      </c>
      <c r="B19" s="567">
        <v>14</v>
      </c>
      <c r="C19" s="567">
        <v>33</v>
      </c>
      <c r="D19" s="567">
        <v>47</v>
      </c>
    </row>
    <row r="20" spans="1:4" x14ac:dyDescent="0.25">
      <c r="A20" s="568" t="s">
        <v>317</v>
      </c>
      <c r="B20" s="567">
        <v>142.84</v>
      </c>
      <c r="C20" s="567">
        <v>239.66</v>
      </c>
      <c r="D20" s="567">
        <v>382.5</v>
      </c>
    </row>
    <row r="21" spans="1:4" x14ac:dyDescent="0.25">
      <c r="A21" s="568" t="s">
        <v>87</v>
      </c>
      <c r="B21" s="567">
        <v>20</v>
      </c>
      <c r="C21" s="567">
        <v>12</v>
      </c>
      <c r="D21" s="567">
        <v>32</v>
      </c>
    </row>
    <row r="22" spans="1:4" x14ac:dyDescent="0.25">
      <c r="A22" s="568" t="s">
        <v>318</v>
      </c>
      <c r="B22" s="567">
        <v>20.6</v>
      </c>
      <c r="C22" s="567">
        <v>36.35</v>
      </c>
      <c r="D22" s="567">
        <v>56.95</v>
      </c>
    </row>
    <row r="23" spans="1:4" x14ac:dyDescent="0.25">
      <c r="A23" s="1068" t="s">
        <v>316</v>
      </c>
      <c r="B23" s="567">
        <v>220.93</v>
      </c>
      <c r="C23" s="567">
        <v>3413</v>
      </c>
      <c r="D23" s="567">
        <v>3633.93</v>
      </c>
    </row>
    <row r="24" spans="1:4" x14ac:dyDescent="0.25">
      <c r="A24" s="568" t="s">
        <v>18</v>
      </c>
      <c r="B24" s="567"/>
      <c r="C24" s="567">
        <v>31</v>
      </c>
      <c r="D24" s="567">
        <v>31</v>
      </c>
    </row>
    <row r="25" spans="1:4" x14ac:dyDescent="0.25">
      <c r="A25" s="568" t="s">
        <v>209</v>
      </c>
      <c r="B25" s="567"/>
      <c r="C25" s="567">
        <v>6</v>
      </c>
      <c r="D25" s="567">
        <v>6</v>
      </c>
    </row>
    <row r="26" spans="1:4" x14ac:dyDescent="0.25">
      <c r="A26" s="568" t="s">
        <v>22</v>
      </c>
      <c r="B26" s="567">
        <v>31</v>
      </c>
      <c r="C26" s="567">
        <v>657</v>
      </c>
      <c r="D26" s="567">
        <v>688</v>
      </c>
    </row>
    <row r="27" spans="1:4" x14ac:dyDescent="0.25">
      <c r="A27" s="568" t="s">
        <v>23</v>
      </c>
      <c r="B27" s="567">
        <v>152.93</v>
      </c>
      <c r="C27" s="567">
        <v>1915</v>
      </c>
      <c r="D27" s="567">
        <v>2067.9299999999998</v>
      </c>
    </row>
    <row r="28" spans="1:4" x14ac:dyDescent="0.25">
      <c r="A28" s="568" t="s">
        <v>19</v>
      </c>
      <c r="B28" s="567">
        <v>2</v>
      </c>
      <c r="C28" s="567">
        <v>78</v>
      </c>
      <c r="D28" s="567">
        <v>80</v>
      </c>
    </row>
    <row r="29" spans="1:4" x14ac:dyDescent="0.25">
      <c r="A29" s="568" t="s">
        <v>20</v>
      </c>
      <c r="B29" s="567">
        <v>5</v>
      </c>
      <c r="C29" s="567">
        <v>148</v>
      </c>
      <c r="D29" s="567">
        <v>153</v>
      </c>
    </row>
    <row r="30" spans="1:4" x14ac:dyDescent="0.25">
      <c r="A30" s="568" t="s">
        <v>21</v>
      </c>
      <c r="B30" s="567">
        <v>30</v>
      </c>
      <c r="C30" s="567">
        <v>578</v>
      </c>
      <c r="D30" s="567">
        <v>608</v>
      </c>
    </row>
    <row r="31" spans="1:4" x14ac:dyDescent="0.25">
      <c r="A31" s="1068" t="s">
        <v>852</v>
      </c>
      <c r="B31" s="567">
        <v>7</v>
      </c>
      <c r="C31" s="567">
        <v>29</v>
      </c>
      <c r="D31" s="567">
        <v>36</v>
      </c>
    </row>
    <row r="32" spans="1:4" x14ac:dyDescent="0.25">
      <c r="A32" s="568" t="s">
        <v>21</v>
      </c>
      <c r="B32" s="567">
        <v>7</v>
      </c>
      <c r="C32" s="567">
        <v>29</v>
      </c>
      <c r="D32" s="567">
        <v>36</v>
      </c>
    </row>
    <row r="33" spans="1:4" x14ac:dyDescent="0.25">
      <c r="A33" s="1068" t="s">
        <v>251</v>
      </c>
      <c r="B33" s="567">
        <v>965.5</v>
      </c>
      <c r="C33" s="567">
        <v>6205.3899999999994</v>
      </c>
      <c r="D33" s="567">
        <v>7170.8899999999994</v>
      </c>
    </row>
  </sheetData>
  <sheetProtection algorithmName="SHA-512" hashValue="priugAfLDiNFtTV3HV+ZbZqKQZ6TQ5DqVKrIOsy6INESjmimB2bTWheRYxZEB9tb5D4gic/hQjOUzFPNZzVxGw==" saltValue="CIdZe+fcs5MPOhYize4VRg=="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39997558519241921"/>
    <pageSetUpPr fitToPage="1"/>
  </sheetPr>
  <dimension ref="A1:Q50"/>
  <sheetViews>
    <sheetView showGridLines="0" workbookViewId="0">
      <pane ySplit="2" topLeftCell="A3" activePane="bottomLeft" state="frozen"/>
      <selection pane="bottomLeft" sqref="A1:C1"/>
    </sheetView>
  </sheetViews>
  <sheetFormatPr defaultRowHeight="15" x14ac:dyDescent="0.25"/>
  <cols>
    <col min="1" max="1" width="18.7109375" customWidth="1"/>
    <col min="2" max="3" width="13" customWidth="1"/>
    <col min="4" max="4" width="12.5703125" customWidth="1"/>
    <col min="5" max="9" width="13" customWidth="1"/>
  </cols>
  <sheetData>
    <row r="1" spans="1:17" ht="15.75" x14ac:dyDescent="0.25">
      <c r="A1" s="1077" t="s">
        <v>505</v>
      </c>
      <c r="B1" s="1077"/>
      <c r="C1" s="1077"/>
      <c r="D1" s="958"/>
      <c r="E1" s="193"/>
      <c r="F1" s="193"/>
      <c r="G1" s="193"/>
      <c r="H1" s="31"/>
      <c r="I1" s="31"/>
    </row>
    <row r="2" spans="1:17" x14ac:dyDescent="0.25">
      <c r="A2" s="772" t="s">
        <v>578</v>
      </c>
      <c r="E2" s="193"/>
      <c r="F2" s="193"/>
      <c r="G2" s="193"/>
      <c r="H2" s="31"/>
      <c r="I2" s="31"/>
    </row>
    <row r="3" spans="1:17" x14ac:dyDescent="0.25">
      <c r="A3" s="31"/>
      <c r="B3" s="31"/>
      <c r="C3" s="31"/>
      <c r="D3" s="31"/>
      <c r="E3" s="193"/>
      <c r="F3" s="193"/>
      <c r="G3" s="193"/>
      <c r="H3" s="31"/>
      <c r="I3" s="31"/>
    </row>
    <row r="4" spans="1:17" ht="18.75" customHeight="1" x14ac:dyDescent="0.25">
      <c r="A4" s="1094" t="s">
        <v>525</v>
      </c>
      <c r="B4" s="1094"/>
      <c r="C4" s="1094"/>
      <c r="D4" s="1094"/>
      <c r="E4" s="1094"/>
      <c r="F4" s="1094"/>
      <c r="G4" s="1094"/>
      <c r="H4" s="1094"/>
      <c r="I4" s="1094"/>
    </row>
    <row r="5" spans="1:17" ht="15" customHeight="1" x14ac:dyDescent="0.25">
      <c r="A5" t="s">
        <v>363</v>
      </c>
      <c r="B5" t="s">
        <v>759</v>
      </c>
      <c r="C5" s="624"/>
      <c r="D5" s="960"/>
      <c r="E5" s="624"/>
      <c r="F5" s="624"/>
      <c r="G5" s="624"/>
      <c r="H5" s="624"/>
      <c r="I5" s="624"/>
    </row>
    <row r="6" spans="1:17" ht="15" customHeight="1" x14ac:dyDescent="0.25">
      <c r="A6" t="s">
        <v>364</v>
      </c>
      <c r="B6" t="s">
        <v>366</v>
      </c>
      <c r="C6" s="624"/>
      <c r="D6" s="960"/>
      <c r="E6" s="624"/>
      <c r="F6" s="624"/>
      <c r="G6" s="624"/>
      <c r="H6" s="624"/>
      <c r="I6" s="624"/>
    </row>
    <row r="7" spans="1:17" ht="15" customHeight="1" x14ac:dyDescent="0.25">
      <c r="A7" t="s">
        <v>365</v>
      </c>
      <c r="B7" t="s">
        <v>367</v>
      </c>
      <c r="C7" s="624"/>
      <c r="D7" s="960"/>
      <c r="E7" s="624"/>
      <c r="F7" s="624"/>
      <c r="G7" s="624"/>
      <c r="H7" s="624"/>
      <c r="I7" s="624"/>
    </row>
    <row r="8" spans="1:17" ht="39" x14ac:dyDescent="0.25">
      <c r="A8" s="19" t="s">
        <v>211</v>
      </c>
      <c r="B8" s="3" t="s">
        <v>89</v>
      </c>
      <c r="C8" s="194" t="s">
        <v>28</v>
      </c>
      <c r="D8" s="194" t="s">
        <v>956</v>
      </c>
      <c r="E8" s="3" t="s">
        <v>2</v>
      </c>
      <c r="F8" s="3" t="s">
        <v>90</v>
      </c>
      <c r="G8" s="194" t="s">
        <v>29</v>
      </c>
      <c r="H8" s="3" t="s">
        <v>104</v>
      </c>
      <c r="I8" s="3" t="s">
        <v>102</v>
      </c>
    </row>
    <row r="9" spans="1:17" x14ac:dyDescent="0.25">
      <c r="A9" s="195" t="s">
        <v>586</v>
      </c>
      <c r="B9" s="787">
        <f>IF('h10'!$B$2 = "2013-14", 'h10'!B12, 'h10'!B$16)</f>
        <v>0</v>
      </c>
      <c r="C9" s="787">
        <f>IF('h10'!$B$2 = "2013-14", 'h10'!C12, 'h10'!C$16)</f>
        <v>8</v>
      </c>
      <c r="D9" s="787">
        <f>IF('h10'!$B$2 = "2013-14", 'h10'!C12, 'h10'!H$16)</f>
        <v>0</v>
      </c>
      <c r="E9" s="787">
        <f>IF('h10'!$B$2 = "2013-14", 'h10'!D12, 'h10'!D$16)</f>
        <v>0</v>
      </c>
      <c r="F9" s="787">
        <f>IF('h10'!$B$2 = "2013-14", 'h10'!E12, 'h10'!E$16)</f>
        <v>5</v>
      </c>
      <c r="G9" s="787">
        <f>IF('h10'!$B$2 = "2013-14", 'h10'!F12, 'h10'!F$16)</f>
        <v>0</v>
      </c>
      <c r="H9" s="196">
        <f>SUM(B9:G9)</f>
        <v>13</v>
      </c>
      <c r="I9" s="788">
        <f t="shared" ref="I9:I20" si="0">H9-G9</f>
        <v>13</v>
      </c>
    </row>
    <row r="10" spans="1:17" x14ac:dyDescent="0.25">
      <c r="A10" s="197" t="str">
        <f>IF('h10'!B2 = "2013-14", 'h10'!A5, "20-24")</f>
        <v>20-24</v>
      </c>
      <c r="B10" s="787">
        <f>'h10'!B5</f>
        <v>46</v>
      </c>
      <c r="C10" s="787">
        <f>'h10'!C5</f>
        <v>152</v>
      </c>
      <c r="D10" s="787">
        <f>'h10'!H5</f>
        <v>0</v>
      </c>
      <c r="E10" s="787">
        <f>'h10'!D5</f>
        <v>7</v>
      </c>
      <c r="F10" s="787">
        <f>'h10'!E5</f>
        <v>18</v>
      </c>
      <c r="G10" s="787">
        <f>'h10'!F5</f>
        <v>18</v>
      </c>
      <c r="H10" s="196">
        <f t="shared" ref="H10:H20" si="1">SUM(B10:G10)</f>
        <v>241</v>
      </c>
      <c r="I10" s="788">
        <f t="shared" si="0"/>
        <v>223</v>
      </c>
      <c r="J10" s="618"/>
    </row>
    <row r="11" spans="1:17" x14ac:dyDescent="0.25">
      <c r="A11" s="197" t="str">
        <f>IF('h10'!B2 = "2013-14", 'h10'!A6, "25-29")</f>
        <v>25-29</v>
      </c>
      <c r="B11" s="787">
        <f>'h10'!B6</f>
        <v>246</v>
      </c>
      <c r="C11" s="787">
        <f>'h10'!C6</f>
        <v>313</v>
      </c>
      <c r="D11" s="787">
        <f>'h10'!H6</f>
        <v>3</v>
      </c>
      <c r="E11" s="787">
        <f>'h10'!D6</f>
        <v>21</v>
      </c>
      <c r="F11" s="787">
        <f>'h10'!E6</f>
        <v>51</v>
      </c>
      <c r="G11" s="787">
        <f>'h10'!F6</f>
        <v>15</v>
      </c>
      <c r="H11" s="196">
        <f t="shared" si="1"/>
        <v>649</v>
      </c>
      <c r="I11" s="788">
        <f t="shared" si="0"/>
        <v>634</v>
      </c>
      <c r="J11" s="618"/>
      <c r="K11" s="618"/>
      <c r="L11" s="618"/>
      <c r="M11" s="618"/>
      <c r="N11" s="618"/>
      <c r="O11" s="618"/>
      <c r="P11" s="618"/>
      <c r="Q11" s="618"/>
    </row>
    <row r="12" spans="1:17" x14ac:dyDescent="0.25">
      <c r="A12" s="197" t="str">
        <f>IF('h10'!B2 = "2013-14", 'h10'!A7, "30-34")</f>
        <v>30-34</v>
      </c>
      <c r="B12" s="787">
        <f>'h10'!B7</f>
        <v>360</v>
      </c>
      <c r="C12" s="787">
        <f>'h10'!C7</f>
        <v>366</v>
      </c>
      <c r="D12" s="787">
        <f>'h10'!H7</f>
        <v>4</v>
      </c>
      <c r="E12" s="787">
        <f>'h10'!D7</f>
        <v>38</v>
      </c>
      <c r="F12" s="787">
        <f>'h10'!E7</f>
        <v>61</v>
      </c>
      <c r="G12" s="787">
        <f>'h10'!F7</f>
        <v>26</v>
      </c>
      <c r="H12" s="196">
        <f t="shared" si="1"/>
        <v>855</v>
      </c>
      <c r="I12" s="788">
        <f t="shared" si="0"/>
        <v>829</v>
      </c>
      <c r="J12" s="618"/>
      <c r="K12" s="618"/>
      <c r="L12" s="618"/>
      <c r="M12" s="618"/>
      <c r="N12" s="618"/>
      <c r="O12" s="618"/>
      <c r="P12" s="618"/>
      <c r="Q12" s="618"/>
    </row>
    <row r="13" spans="1:17" x14ac:dyDescent="0.25">
      <c r="A13" s="197" t="str">
        <f>IF('h10'!B2="2013-14",'h10'!A8,"35-39")</f>
        <v>35-39</v>
      </c>
      <c r="B13" s="787">
        <f>'h10'!B8</f>
        <v>567</v>
      </c>
      <c r="C13" s="787">
        <f>'h10'!C8</f>
        <v>405</v>
      </c>
      <c r="D13" s="787">
        <f>'h10'!H8</f>
        <v>5</v>
      </c>
      <c r="E13" s="787">
        <f>'h10'!D8</f>
        <v>20</v>
      </c>
      <c r="F13" s="787">
        <f>'h10'!E8</f>
        <v>73</v>
      </c>
      <c r="G13" s="787">
        <f>'h10'!F8</f>
        <v>32</v>
      </c>
      <c r="H13" s="196">
        <f t="shared" si="1"/>
        <v>1102</v>
      </c>
      <c r="I13" s="788">
        <f t="shared" si="0"/>
        <v>1070</v>
      </c>
      <c r="J13" s="618"/>
      <c r="K13" s="618"/>
      <c r="L13" s="618"/>
      <c r="M13" s="618"/>
      <c r="N13" s="618"/>
      <c r="O13" s="618"/>
      <c r="P13" s="618"/>
      <c r="Q13" s="618"/>
    </row>
    <row r="14" spans="1:17" x14ac:dyDescent="0.25">
      <c r="A14" s="197" t="str">
        <f>IF('h10'!B2 = "2013-14", 'h10'!A9, "40-44")</f>
        <v>40-44</v>
      </c>
      <c r="B14" s="787">
        <f>'h10'!B9</f>
        <v>701</v>
      </c>
      <c r="C14" s="787">
        <f>'h10'!C9</f>
        <v>357</v>
      </c>
      <c r="D14" s="787">
        <f>'h10'!H9</f>
        <v>4</v>
      </c>
      <c r="E14" s="787">
        <f>'h10'!D9</f>
        <v>19</v>
      </c>
      <c r="F14" s="787">
        <f>'h10'!E9</f>
        <v>87</v>
      </c>
      <c r="G14" s="787">
        <f>'h10'!F9</f>
        <v>28</v>
      </c>
      <c r="H14" s="196">
        <f>SUM(B14:G14)</f>
        <v>1196</v>
      </c>
      <c r="I14" s="788">
        <f t="shared" si="0"/>
        <v>1168</v>
      </c>
      <c r="J14" s="618"/>
      <c r="K14" s="618"/>
      <c r="L14" s="618"/>
      <c r="M14" s="618"/>
      <c r="N14" s="618"/>
      <c r="O14" s="618"/>
      <c r="P14" s="618"/>
      <c r="Q14" s="618"/>
    </row>
    <row r="15" spans="1:17" x14ac:dyDescent="0.25">
      <c r="A15" s="197" t="str">
        <f>IF('h10'!B2 = "2013-14", 'h10'!A10, "45-49")</f>
        <v>45-49</v>
      </c>
      <c r="B15" s="787">
        <f>'h10'!B10</f>
        <v>775</v>
      </c>
      <c r="C15" s="787">
        <f>'h10'!C10</f>
        <v>421</v>
      </c>
      <c r="D15" s="787">
        <f>'h10'!H10</f>
        <v>3</v>
      </c>
      <c r="E15" s="787">
        <f>'h10'!D10</f>
        <v>22</v>
      </c>
      <c r="F15" s="787">
        <f>'h10'!E10</f>
        <v>114</v>
      </c>
      <c r="G15" s="787">
        <f>'h10'!F10</f>
        <v>53</v>
      </c>
      <c r="H15" s="196">
        <f t="shared" si="1"/>
        <v>1388</v>
      </c>
      <c r="I15" s="788">
        <f t="shared" si="0"/>
        <v>1335</v>
      </c>
      <c r="J15" s="618"/>
      <c r="K15" s="618"/>
      <c r="L15" s="618"/>
      <c r="M15" s="618"/>
      <c r="N15" s="618"/>
      <c r="O15" s="618"/>
      <c r="P15" s="618"/>
      <c r="Q15" s="618"/>
    </row>
    <row r="16" spans="1:17" x14ac:dyDescent="0.25">
      <c r="A16" s="197" t="str">
        <f>IF('h10'!B2 = "2013-14", 'h10'!A11, "50-54")</f>
        <v>50-54</v>
      </c>
      <c r="B16" s="787">
        <f>'h10'!B11</f>
        <v>740</v>
      </c>
      <c r="C16" s="787">
        <f>'h10'!C11</f>
        <v>495</v>
      </c>
      <c r="D16" s="787">
        <f>'h10'!H11</f>
        <v>10</v>
      </c>
      <c r="E16" s="787">
        <f>'h10'!D11</f>
        <v>27</v>
      </c>
      <c r="F16" s="787">
        <f>'h10'!E11</f>
        <v>151</v>
      </c>
      <c r="G16" s="787">
        <f>'h10'!F11</f>
        <v>72</v>
      </c>
      <c r="H16" s="196">
        <f t="shared" si="1"/>
        <v>1495</v>
      </c>
      <c r="I16" s="788">
        <f t="shared" si="0"/>
        <v>1423</v>
      </c>
      <c r="J16" s="618"/>
      <c r="K16" s="618"/>
      <c r="L16" s="618"/>
      <c r="M16" s="618"/>
      <c r="N16" s="618"/>
      <c r="O16" s="618"/>
      <c r="P16" s="618"/>
      <c r="Q16" s="618"/>
    </row>
    <row r="17" spans="1:17" x14ac:dyDescent="0.25">
      <c r="A17" s="197" t="str">
        <f>IF('h10'!B2 = "2013-14","-", "55-59")</f>
        <v>55-59</v>
      </c>
      <c r="B17" s="787">
        <f>IF(A17 = "-", 0, 'h10'!B12)</f>
        <v>188</v>
      </c>
      <c r="C17" s="787">
        <f>IF(A17 = "-", 0, 'h10'!C12)</f>
        <v>298</v>
      </c>
      <c r="D17" s="787">
        <f>'h10'!H12</f>
        <v>7</v>
      </c>
      <c r="E17" s="787">
        <f>IF(A17 = "-", 0, 'h10'!D12)</f>
        <v>27</v>
      </c>
      <c r="F17" s="787">
        <f>IF(A17 = "-", 0, 'h10'!E12)</f>
        <v>128</v>
      </c>
      <c r="G17" s="787">
        <f>IF(A17 = "-", 0, 'h10'!F12)</f>
        <v>40</v>
      </c>
      <c r="H17" s="196">
        <f t="shared" si="1"/>
        <v>688</v>
      </c>
      <c r="I17" s="788">
        <f t="shared" si="0"/>
        <v>648</v>
      </c>
      <c r="J17" s="618"/>
      <c r="K17" s="618"/>
      <c r="L17" s="618"/>
      <c r="M17" s="618"/>
      <c r="N17" s="618"/>
      <c r="O17" s="618"/>
      <c r="P17" s="618"/>
      <c r="Q17" s="618"/>
    </row>
    <row r="18" spans="1:17" x14ac:dyDescent="0.25">
      <c r="A18" s="197" t="str">
        <f>IF('h10'!B2 = "2013-14", "-", "60-64")</f>
        <v>60-64</v>
      </c>
      <c r="B18" s="787">
        <f>IF(A17 = "-", 0, 'h10'!B13)</f>
        <v>12</v>
      </c>
      <c r="C18" s="787">
        <f>IF(A17 = "-", 0, 'h10'!C13)</f>
        <v>96</v>
      </c>
      <c r="D18" s="787">
        <f>'h10'!H13</f>
        <v>0</v>
      </c>
      <c r="E18" s="787">
        <f>IF(A17 = "-", 0, 'h10'!D13)</f>
        <v>6</v>
      </c>
      <c r="F18" s="787">
        <f>IF(A17 = "-", 0, 'h10'!E13)</f>
        <v>92</v>
      </c>
      <c r="G18" s="787">
        <f>IF(A17 = "-", 0, 'h10'!F13)</f>
        <v>23</v>
      </c>
      <c r="H18" s="196">
        <f t="shared" si="1"/>
        <v>229</v>
      </c>
      <c r="I18" s="788">
        <f t="shared" si="0"/>
        <v>206</v>
      </c>
      <c r="J18" s="618"/>
    </row>
    <row r="19" spans="1:17" x14ac:dyDescent="0.25">
      <c r="A19" s="5" t="str">
        <f>IF('h10'!B2 = "2013-14", "-", "65-69")</f>
        <v>65-69</v>
      </c>
      <c r="B19" s="787">
        <f>'h10'!B14</f>
        <v>1</v>
      </c>
      <c r="C19" s="787">
        <f>'h10'!C14</f>
        <v>26</v>
      </c>
      <c r="D19" s="787">
        <f>'h10'!H14</f>
        <v>0</v>
      </c>
      <c r="E19" s="787">
        <f>'h10'!D14</f>
        <v>1</v>
      </c>
      <c r="F19" s="787">
        <f>'h10'!E14</f>
        <v>36</v>
      </c>
      <c r="G19" s="787">
        <f>'h10'!F14</f>
        <v>8</v>
      </c>
      <c r="H19" s="196">
        <f t="shared" si="1"/>
        <v>72</v>
      </c>
      <c r="I19" s="788">
        <f t="shared" si="0"/>
        <v>64</v>
      </c>
      <c r="J19" s="618"/>
    </row>
    <row r="20" spans="1:17" x14ac:dyDescent="0.25">
      <c r="A20" s="5" t="str">
        <f>IF('h10'!B2 = "2013-14", "-", "70-74")</f>
        <v>70-74</v>
      </c>
      <c r="B20" s="787">
        <f>'h10'!B15</f>
        <v>0</v>
      </c>
      <c r="C20" s="787">
        <f>'h10'!C15</f>
        <v>0</v>
      </c>
      <c r="D20" s="787">
        <f>'h10'!H15</f>
        <v>0</v>
      </c>
      <c r="E20" s="787">
        <f>'h10'!D15</f>
        <v>0</v>
      </c>
      <c r="F20" s="787">
        <f>'h10'!E15</f>
        <v>2</v>
      </c>
      <c r="G20" s="787">
        <f>'h10'!F15</f>
        <v>0</v>
      </c>
      <c r="H20" s="196">
        <f t="shared" si="1"/>
        <v>2</v>
      </c>
      <c r="I20" s="788">
        <f t="shared" si="0"/>
        <v>2</v>
      </c>
      <c r="J20" s="618"/>
    </row>
    <row r="21" spans="1:17" ht="15.75" thickBot="1" x14ac:dyDescent="0.3">
      <c r="A21" s="198" t="s">
        <v>810</v>
      </c>
      <c r="B21" s="199">
        <f t="shared" ref="B21:H21" si="2">SUM(B9:B20)</f>
        <v>3636</v>
      </c>
      <c r="C21" s="199">
        <f t="shared" si="2"/>
        <v>2937</v>
      </c>
      <c r="D21" s="199">
        <f t="shared" si="2"/>
        <v>36</v>
      </c>
      <c r="E21" s="199">
        <f t="shared" si="2"/>
        <v>188</v>
      </c>
      <c r="F21" s="199">
        <f t="shared" si="2"/>
        <v>818</v>
      </c>
      <c r="G21" s="199">
        <f t="shared" si="2"/>
        <v>315</v>
      </c>
      <c r="H21" s="199">
        <f t="shared" si="2"/>
        <v>7930</v>
      </c>
      <c r="I21" s="199">
        <f>SUM(I9:I20)</f>
        <v>7615</v>
      </c>
    </row>
    <row r="22" spans="1:17" x14ac:dyDescent="0.25">
      <c r="A22" s="6"/>
      <c r="B22" s="51"/>
      <c r="C22" s="51"/>
      <c r="D22" s="51"/>
      <c r="E22" s="51"/>
      <c r="F22" s="51"/>
      <c r="G22" s="51"/>
      <c r="H22" s="51"/>
      <c r="I22" s="51"/>
    </row>
    <row r="23" spans="1:17" x14ac:dyDescent="0.25">
      <c r="A23" s="493" t="s">
        <v>8</v>
      </c>
      <c r="B23" s="494"/>
      <c r="C23" s="494"/>
      <c r="D23" s="494"/>
      <c r="E23" s="494"/>
      <c r="F23" s="494"/>
      <c r="G23" s="494"/>
      <c r="H23" s="495"/>
      <c r="I23" s="495"/>
    </row>
    <row r="24" spans="1:17" ht="15" customHeight="1" x14ac:dyDescent="0.25">
      <c r="A24" s="677" t="s">
        <v>1063</v>
      </c>
      <c r="B24" s="677"/>
      <c r="C24" s="677"/>
      <c r="D24" s="677"/>
      <c r="E24" s="677"/>
      <c r="F24" s="677"/>
      <c r="G24" s="677"/>
      <c r="H24" s="495"/>
      <c r="I24" s="495"/>
    </row>
    <row r="25" spans="1:17" x14ac:dyDescent="0.25">
      <c r="A25" t="s">
        <v>234</v>
      </c>
      <c r="B25" s="494"/>
      <c r="C25" s="494"/>
      <c r="D25" s="494"/>
      <c r="E25" s="494"/>
      <c r="F25" s="494"/>
      <c r="G25" s="494"/>
      <c r="H25" s="495"/>
      <c r="I25" s="495"/>
    </row>
    <row r="26" spans="1:17" x14ac:dyDescent="0.25">
      <c r="A26" t="s">
        <v>809</v>
      </c>
      <c r="B26" s="200"/>
      <c r="C26" s="200"/>
      <c r="D26" s="200"/>
      <c r="E26" s="200"/>
      <c r="F26" s="200"/>
      <c r="G26" s="200"/>
      <c r="H26" s="27"/>
      <c r="I26" s="27"/>
    </row>
    <row r="27" spans="1:17" x14ac:dyDescent="0.25">
      <c r="A27" s="111"/>
      <c r="B27" s="200"/>
      <c r="C27" s="200"/>
      <c r="D27" s="200"/>
      <c r="E27" s="200"/>
      <c r="F27" s="200"/>
      <c r="G27" s="200"/>
      <c r="H27" s="27"/>
      <c r="I27" s="27"/>
    </row>
    <row r="28" spans="1:17" ht="15.75" customHeight="1" x14ac:dyDescent="0.25">
      <c r="A28" s="1094" t="s">
        <v>526</v>
      </c>
      <c r="B28" s="1094"/>
      <c r="C28" s="1094"/>
      <c r="D28" s="1094"/>
      <c r="E28" s="1094"/>
      <c r="F28" s="1094"/>
      <c r="G28" s="1094"/>
      <c r="H28" s="1094"/>
      <c r="I28" s="1094"/>
    </row>
    <row r="29" spans="1:17" ht="15.75" customHeight="1" x14ac:dyDescent="0.25">
      <c r="A29" t="s">
        <v>363</v>
      </c>
      <c r="B29" t="s">
        <v>760</v>
      </c>
      <c r="C29" s="624"/>
      <c r="D29" s="960"/>
      <c r="E29" s="624"/>
      <c r="F29" s="624"/>
      <c r="G29" s="624"/>
      <c r="H29" s="624"/>
      <c r="I29" s="624"/>
    </row>
    <row r="30" spans="1:17" ht="15.75" customHeight="1" x14ac:dyDescent="0.25">
      <c r="A30" t="s">
        <v>364</v>
      </c>
      <c r="B30" t="s">
        <v>366</v>
      </c>
      <c r="C30" s="624"/>
      <c r="D30" s="960"/>
      <c r="E30" s="624"/>
      <c r="F30" s="624"/>
      <c r="G30" s="624"/>
      <c r="H30" s="624"/>
      <c r="I30" s="624"/>
    </row>
    <row r="31" spans="1:17" ht="15.75" customHeight="1" x14ac:dyDescent="0.25">
      <c r="A31" t="s">
        <v>365</v>
      </c>
      <c r="B31" t="s">
        <v>367</v>
      </c>
      <c r="C31" s="624"/>
      <c r="D31" s="960"/>
      <c r="E31" s="624"/>
      <c r="F31" s="624"/>
      <c r="G31" s="624"/>
      <c r="H31" s="624"/>
      <c r="I31" s="624"/>
    </row>
    <row r="32" spans="1:17" ht="39" x14ac:dyDescent="0.25">
      <c r="A32" s="19" t="s">
        <v>212</v>
      </c>
      <c r="B32" s="201" t="s">
        <v>89</v>
      </c>
      <c r="C32" s="201" t="s">
        <v>28</v>
      </c>
      <c r="D32" s="194" t="s">
        <v>956</v>
      </c>
      <c r="E32" s="201" t="s">
        <v>2</v>
      </c>
      <c r="F32" s="201" t="s">
        <v>90</v>
      </c>
      <c r="G32" s="194" t="s">
        <v>29</v>
      </c>
      <c r="H32" s="201" t="s">
        <v>104</v>
      </c>
      <c r="I32" s="201" t="s">
        <v>102</v>
      </c>
    </row>
    <row r="33" spans="1:9" x14ac:dyDescent="0.25">
      <c r="A33" s="202" t="str">
        <f t="shared" ref="A33:A44" si="3">A9</f>
        <v>&lt;20</v>
      </c>
      <c r="B33" s="203">
        <f t="shared" ref="B33:C40" si="4">B9/B$21</f>
        <v>0</v>
      </c>
      <c r="C33" s="203">
        <f t="shared" si="4"/>
        <v>2.723867892407218E-3</v>
      </c>
      <c r="D33" s="203">
        <f t="shared" ref="D33" si="5">D9/D$21</f>
        <v>0</v>
      </c>
      <c r="E33" s="203">
        <f t="shared" ref="E33:I40" si="6">E9/E$21</f>
        <v>0</v>
      </c>
      <c r="F33" s="203">
        <f t="shared" si="6"/>
        <v>6.1124694376528121E-3</v>
      </c>
      <c r="G33" s="203">
        <f t="shared" si="6"/>
        <v>0</v>
      </c>
      <c r="H33" s="204">
        <f t="shared" si="6"/>
        <v>1.639344262295082E-3</v>
      </c>
      <c r="I33" s="204">
        <f t="shared" si="6"/>
        <v>1.7071569271175312E-3</v>
      </c>
    </row>
    <row r="34" spans="1:9" x14ac:dyDescent="0.25">
      <c r="A34" s="205" t="str">
        <f t="shared" si="3"/>
        <v>20-24</v>
      </c>
      <c r="B34" s="203">
        <f t="shared" si="4"/>
        <v>1.2651265126512651E-2</v>
      </c>
      <c r="C34" s="203">
        <f t="shared" si="4"/>
        <v>5.1753489955737149E-2</v>
      </c>
      <c r="D34" s="203">
        <f t="shared" ref="D34" si="7">D10/D$21</f>
        <v>0</v>
      </c>
      <c r="E34" s="203">
        <f t="shared" si="6"/>
        <v>3.7234042553191488E-2</v>
      </c>
      <c r="F34" s="203">
        <f t="shared" si="6"/>
        <v>2.2004889975550123E-2</v>
      </c>
      <c r="G34" s="203">
        <f t="shared" si="6"/>
        <v>5.7142857142857141E-2</v>
      </c>
      <c r="H34" s="204">
        <f t="shared" si="6"/>
        <v>3.039092055485498E-2</v>
      </c>
      <c r="I34" s="204">
        <f t="shared" si="6"/>
        <v>2.928430728824688E-2</v>
      </c>
    </row>
    <row r="35" spans="1:9" x14ac:dyDescent="0.25">
      <c r="A35" s="205" t="str">
        <f t="shared" si="3"/>
        <v>25-29</v>
      </c>
      <c r="B35" s="203">
        <f t="shared" si="4"/>
        <v>6.7656765676567657E-2</v>
      </c>
      <c r="C35" s="203">
        <f t="shared" si="4"/>
        <v>0.10657133129043242</v>
      </c>
      <c r="D35" s="203">
        <f t="shared" ref="D35" si="8">D11/D$21</f>
        <v>8.3333333333333329E-2</v>
      </c>
      <c r="E35" s="203">
        <f t="shared" si="6"/>
        <v>0.11170212765957446</v>
      </c>
      <c r="F35" s="203">
        <f t="shared" si="6"/>
        <v>6.2347188264058682E-2</v>
      </c>
      <c r="G35" s="203">
        <f t="shared" si="6"/>
        <v>4.7619047619047616E-2</v>
      </c>
      <c r="H35" s="204">
        <f t="shared" si="6"/>
        <v>8.1841109709962168E-2</v>
      </c>
      <c r="I35" s="204">
        <f t="shared" si="6"/>
        <v>8.3256730137885746E-2</v>
      </c>
    </row>
    <row r="36" spans="1:9" x14ac:dyDescent="0.25">
      <c r="A36" s="205" t="str">
        <f t="shared" si="3"/>
        <v>30-34</v>
      </c>
      <c r="B36" s="203">
        <f t="shared" si="4"/>
        <v>9.9009900990099015E-2</v>
      </c>
      <c r="C36" s="203">
        <f t="shared" si="4"/>
        <v>0.12461695607763024</v>
      </c>
      <c r="D36" s="203">
        <f>D12/D$21</f>
        <v>0.1111111111111111</v>
      </c>
      <c r="E36" s="203">
        <f t="shared" si="6"/>
        <v>0.20212765957446807</v>
      </c>
      <c r="F36" s="203">
        <f t="shared" si="6"/>
        <v>7.45721271393643E-2</v>
      </c>
      <c r="G36" s="203">
        <f t="shared" si="6"/>
        <v>8.2539682539682538E-2</v>
      </c>
      <c r="H36" s="204">
        <f t="shared" si="6"/>
        <v>0.10781841109709962</v>
      </c>
      <c r="I36" s="204">
        <f t="shared" si="6"/>
        <v>0.10886408404464872</v>
      </c>
    </row>
    <row r="37" spans="1:9" x14ac:dyDescent="0.25">
      <c r="A37" s="205" t="str">
        <f t="shared" si="3"/>
        <v>35-39</v>
      </c>
      <c r="B37" s="203">
        <f t="shared" si="4"/>
        <v>0.15594059405940594</v>
      </c>
      <c r="C37" s="203">
        <f t="shared" si="4"/>
        <v>0.13789581205311544</v>
      </c>
      <c r="D37" s="203">
        <f t="shared" ref="D37" si="9">D13/D$21</f>
        <v>0.1388888888888889</v>
      </c>
      <c r="E37" s="203">
        <f t="shared" si="6"/>
        <v>0.10638297872340426</v>
      </c>
      <c r="F37" s="203">
        <f t="shared" si="6"/>
        <v>8.9242053789731046E-2</v>
      </c>
      <c r="G37" s="203">
        <f t="shared" si="6"/>
        <v>0.10158730158730159</v>
      </c>
      <c r="H37" s="204">
        <f t="shared" si="6"/>
        <v>0.13896595208070617</v>
      </c>
      <c r="I37" s="204">
        <f t="shared" si="6"/>
        <v>0.14051214707813525</v>
      </c>
    </row>
    <row r="38" spans="1:9" x14ac:dyDescent="0.25">
      <c r="A38" s="205" t="str">
        <f t="shared" si="3"/>
        <v>40-44</v>
      </c>
      <c r="B38" s="203">
        <f t="shared" si="4"/>
        <v>0.19279427942794281</v>
      </c>
      <c r="C38" s="203">
        <f t="shared" si="4"/>
        <v>0.12155260469867211</v>
      </c>
      <c r="D38" s="203">
        <f t="shared" ref="D38" si="10">D14/D$21</f>
        <v>0.1111111111111111</v>
      </c>
      <c r="E38" s="203">
        <f t="shared" si="6"/>
        <v>0.10106382978723404</v>
      </c>
      <c r="F38" s="203">
        <f t="shared" si="6"/>
        <v>0.10635696821515893</v>
      </c>
      <c r="G38" s="203">
        <f t="shared" si="6"/>
        <v>8.8888888888888892E-2</v>
      </c>
      <c r="H38" s="204">
        <f t="shared" si="6"/>
        <v>0.15081967213114755</v>
      </c>
      <c r="I38" s="204">
        <f t="shared" si="6"/>
        <v>0.15338148391332895</v>
      </c>
    </row>
    <row r="39" spans="1:9" x14ac:dyDescent="0.25">
      <c r="A39" s="205" t="str">
        <f t="shared" si="3"/>
        <v>45-49</v>
      </c>
      <c r="B39" s="203">
        <f t="shared" si="4"/>
        <v>0.21314631463146314</v>
      </c>
      <c r="C39" s="203">
        <f t="shared" si="4"/>
        <v>0.14334354783792985</v>
      </c>
      <c r="D39" s="203">
        <f t="shared" ref="D39" si="11">D15/D$21</f>
        <v>8.3333333333333329E-2</v>
      </c>
      <c r="E39" s="203">
        <f t="shared" si="6"/>
        <v>0.11702127659574468</v>
      </c>
      <c r="F39" s="203">
        <f t="shared" si="6"/>
        <v>0.13936430317848411</v>
      </c>
      <c r="G39" s="203">
        <f t="shared" si="6"/>
        <v>0.16825396825396827</v>
      </c>
      <c r="H39" s="204">
        <f t="shared" si="6"/>
        <v>0.17503152585119799</v>
      </c>
      <c r="I39" s="204">
        <f t="shared" si="6"/>
        <v>0.17531188443860801</v>
      </c>
    </row>
    <row r="40" spans="1:9" x14ac:dyDescent="0.25">
      <c r="A40" s="205" t="str">
        <f t="shared" si="3"/>
        <v>50-54</v>
      </c>
      <c r="B40" s="203">
        <f t="shared" si="4"/>
        <v>0.20352035203520352</v>
      </c>
      <c r="C40" s="203">
        <f t="shared" si="4"/>
        <v>0.16853932584269662</v>
      </c>
      <c r="D40" s="203">
        <f t="shared" ref="D40" si="12">D16/D$21</f>
        <v>0.27777777777777779</v>
      </c>
      <c r="E40" s="203">
        <f t="shared" si="6"/>
        <v>0.14361702127659576</v>
      </c>
      <c r="F40" s="203">
        <f t="shared" si="6"/>
        <v>0.1845965770171149</v>
      </c>
      <c r="G40" s="203">
        <f t="shared" si="6"/>
        <v>0.22857142857142856</v>
      </c>
      <c r="H40" s="204">
        <f t="shared" si="6"/>
        <v>0.18852459016393441</v>
      </c>
      <c r="I40" s="204">
        <f t="shared" si="6"/>
        <v>0.18686802363755745</v>
      </c>
    </row>
    <row r="41" spans="1:9" x14ac:dyDescent="0.25">
      <c r="A41" s="205" t="str">
        <f t="shared" si="3"/>
        <v>55-59</v>
      </c>
      <c r="B41" s="203">
        <f>IF(A17 = "-","-", B17/B$21)</f>
        <v>5.1705170517051702E-2</v>
      </c>
      <c r="C41" s="203">
        <f>IF(A17 = "-","-", C17/C$21)</f>
        <v>0.10146407899216887</v>
      </c>
      <c r="D41" s="203">
        <f>IF(B17 = "-","-", D17/D$21)</f>
        <v>0.19444444444444445</v>
      </c>
      <c r="E41" s="203">
        <f>IF(A17 = "-","-", E17/E$21)</f>
        <v>0.14361702127659576</v>
      </c>
      <c r="F41" s="203">
        <f>IF(A17 = "-","-", F17/F$21)</f>
        <v>0.15647921760391198</v>
      </c>
      <c r="G41" s="203">
        <f>IF(A17 = "-","-", G17/G$21)</f>
        <v>0.12698412698412698</v>
      </c>
      <c r="H41" s="204">
        <f>IF(A17 = "-","-", H17/H$21)</f>
        <v>8.6759142496847422E-2</v>
      </c>
      <c r="I41" s="204">
        <f>IF(A17 = "-","-", I17/I$21)</f>
        <v>8.5095206828627715E-2</v>
      </c>
    </row>
    <row r="42" spans="1:9" x14ac:dyDescent="0.25">
      <c r="A42" s="205" t="str">
        <f t="shared" si="3"/>
        <v>60-64</v>
      </c>
      <c r="B42" s="203">
        <f>IF(A17 = "-","-",B18/B$21)</f>
        <v>3.3003300330033004E-3</v>
      </c>
      <c r="C42" s="203">
        <f>IF(A17 = "-","-", C18/C$21)</f>
        <v>3.268641470888662E-2</v>
      </c>
      <c r="D42" s="203">
        <f>IF(B17 = "-","-", D18/D$21)</f>
        <v>0</v>
      </c>
      <c r="E42" s="203">
        <f>IF(A17 = "-","-", E18/E$21)</f>
        <v>3.1914893617021274E-2</v>
      </c>
      <c r="F42" s="203">
        <f>IF(A17 = "-","-", F18/F$21)</f>
        <v>0.11246943765281174</v>
      </c>
      <c r="G42" s="203">
        <f>IF(A17 = "-","-", G18/G$21)</f>
        <v>7.301587301587302E-2</v>
      </c>
      <c r="H42" s="204">
        <f>IF(A17 = "-","-", H18/H$21)</f>
        <v>2.8877679697351829E-2</v>
      </c>
      <c r="I42" s="204">
        <f>IF(A17 = "-","-", I18/I$21)</f>
        <v>2.7051871306631649E-2</v>
      </c>
    </row>
    <row r="43" spans="1:9" x14ac:dyDescent="0.25">
      <c r="A43" s="202" t="str">
        <f t="shared" si="3"/>
        <v>65-69</v>
      </c>
      <c r="B43" s="203">
        <f>IF(A17 = "-","-", B19/B$21)</f>
        <v>2.7502750275027501E-4</v>
      </c>
      <c r="C43" s="203">
        <f>IF(A17 = "-","-", C19/C$21)</f>
        <v>8.8525706503234589E-3</v>
      </c>
      <c r="D43" s="203">
        <f>IF(B17 = "-","-", D19/D$21)</f>
        <v>0</v>
      </c>
      <c r="E43" s="203">
        <f>IF(A17 = "-","-", E19/E$21)</f>
        <v>5.3191489361702126E-3</v>
      </c>
      <c r="F43" s="203">
        <f>IF(A17 = "-","-", F19/F$21)</f>
        <v>4.4009779951100246E-2</v>
      </c>
      <c r="G43" s="203">
        <f>IF(A17 = "-","-", G19/G$21)</f>
        <v>2.5396825396825397E-2</v>
      </c>
      <c r="H43" s="204">
        <f>IF(A17 = "-","-", H19/H$21)</f>
        <v>9.0794451450189155E-3</v>
      </c>
      <c r="I43" s="204">
        <f>IF(A17 = "-","-", I19/I$21)</f>
        <v>8.4044648719632312E-3</v>
      </c>
    </row>
    <row r="44" spans="1:9" x14ac:dyDescent="0.25">
      <c r="A44" s="202" t="str">
        <f t="shared" si="3"/>
        <v>70-74</v>
      </c>
      <c r="B44" s="203">
        <f>IF(A17 = "-","-", B20/B$21)</f>
        <v>0</v>
      </c>
      <c r="C44" s="203">
        <f>IF(A17 = "-","-", C20/C$21)</f>
        <v>0</v>
      </c>
      <c r="D44" s="203">
        <f>IF(B17 = "-","-", D20/D$21)</f>
        <v>0</v>
      </c>
      <c r="E44" s="203">
        <f>IF(A17 = "-","-", E20/E$21)</f>
        <v>0</v>
      </c>
      <c r="F44" s="203">
        <f>IF(A17 = "-","-", F20/F$21)</f>
        <v>2.4449877750611247E-3</v>
      </c>
      <c r="G44" s="203">
        <f>IF(A17 = "-","-", G20/G$21)</f>
        <v>0</v>
      </c>
      <c r="H44" s="204">
        <f>IF(A17 = "-","-", H20/H$21)</f>
        <v>2.5220680958385876E-4</v>
      </c>
      <c r="I44" s="204">
        <f>IF(A17 = "-","-", I20/I$21)</f>
        <v>2.6263952724885097E-4</v>
      </c>
    </row>
    <row r="45" spans="1:9" ht="15.75" thickBot="1" x14ac:dyDescent="0.3">
      <c r="A45" s="206" t="s">
        <v>810</v>
      </c>
      <c r="B45" s="207">
        <f t="shared" ref="B45:I45" si="13">SUM(B33:B44)</f>
        <v>1</v>
      </c>
      <c r="C45" s="207">
        <f t="shared" si="13"/>
        <v>1.0000000000000002</v>
      </c>
      <c r="D45" s="207">
        <f t="shared" ref="D45" si="14">SUM(D33:D44)</f>
        <v>1</v>
      </c>
      <c r="E45" s="207">
        <f t="shared" si="13"/>
        <v>0.99999999999999989</v>
      </c>
      <c r="F45" s="207">
        <f t="shared" si="13"/>
        <v>1</v>
      </c>
      <c r="G45" s="207">
        <f t="shared" si="13"/>
        <v>1</v>
      </c>
      <c r="H45" s="207">
        <f t="shared" si="13"/>
        <v>0.99999999999999989</v>
      </c>
      <c r="I45" s="207">
        <f t="shared" si="13"/>
        <v>0.99999999999999989</v>
      </c>
    </row>
    <row r="46" spans="1:9" x14ac:dyDescent="0.25">
      <c r="A46" s="202"/>
      <c r="B46" s="208"/>
      <c r="C46" s="208"/>
      <c r="D46" s="208"/>
      <c r="E46" s="208"/>
      <c r="F46" s="208"/>
      <c r="G46" s="208"/>
      <c r="H46" s="209"/>
      <c r="I46" s="209"/>
    </row>
    <row r="47" spans="1:9" x14ac:dyDescent="0.25">
      <c r="A47" s="493" t="s">
        <v>8</v>
      </c>
      <c r="B47" s="494"/>
      <c r="C47" s="494"/>
      <c r="D47" s="494"/>
      <c r="E47" s="494"/>
      <c r="F47" s="494"/>
      <c r="G47" s="494"/>
      <c r="H47" s="495"/>
      <c r="I47" s="495"/>
    </row>
    <row r="48" spans="1:9" x14ac:dyDescent="0.25">
      <c r="A48" s="496" t="s">
        <v>234</v>
      </c>
      <c r="B48" s="494"/>
      <c r="C48" s="494"/>
      <c r="D48" s="494"/>
      <c r="E48" s="494"/>
      <c r="F48" s="494"/>
      <c r="G48" s="494"/>
      <c r="H48" s="495"/>
      <c r="I48" s="495"/>
    </row>
    <row r="49" spans="1:9" x14ac:dyDescent="0.25">
      <c r="A49" t="s">
        <v>809</v>
      </c>
      <c r="B49" s="200"/>
      <c r="C49" s="200"/>
      <c r="D49" s="200"/>
      <c r="E49" s="200"/>
      <c r="F49" s="200"/>
      <c r="G49" s="200"/>
      <c r="H49" s="27"/>
      <c r="I49" s="27"/>
    </row>
    <row r="50" spans="1:9" x14ac:dyDescent="0.25">
      <c r="A50" s="111"/>
      <c r="B50" s="200"/>
      <c r="C50" s="200"/>
      <c r="D50" s="200"/>
      <c r="E50" s="200"/>
      <c r="F50" s="200"/>
      <c r="G50" s="200"/>
      <c r="H50" s="27"/>
      <c r="I50" s="27"/>
    </row>
  </sheetData>
  <sheetProtection algorithmName="SHA-512" hashValue="1fS+GG9ktccBFSLH4pJwOYrhpmQDt85iYqw2iMrrqQzdChv9bs4Oed1e9MqYulwEVZgdcqzXM52niFn4iRcrPA==" saltValue="2RC65mi0htRSXDtY5E4aIw==" spinCount="100000" sheet="1" scenarios="1" formatCells="0" formatColumns="0" formatRows="0" sort="0" autoFilter="0" pivotTables="0"/>
  <mergeCells count="3">
    <mergeCell ref="A4:I4"/>
    <mergeCell ref="A28:I28"/>
    <mergeCell ref="A1:C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drawing r:id="rId2"/>
  <extLst>
    <ext xmlns:x14="http://schemas.microsoft.com/office/spreadsheetml/2009/9/main" uri="{A8765BA9-456A-4dab-B4F3-ACF838C121DE}">
      <x14:slicerList>
        <x14:slicer r:id="rId3"/>
      </x14:slicerList>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17"/>
  <sheetViews>
    <sheetView topLeftCell="C1" workbookViewId="0">
      <selection activeCell="H11" sqref="H11"/>
    </sheetView>
  </sheetViews>
  <sheetFormatPr defaultRowHeight="15" x14ac:dyDescent="0.25"/>
  <cols>
    <col min="1" max="1" width="13.140625" customWidth="1"/>
    <col min="2" max="2" width="10.5703125" bestFit="1" customWidth="1"/>
    <col min="3" max="3" width="11" bestFit="1" customWidth="1"/>
    <col min="4" max="4" width="14.28515625" bestFit="1" customWidth="1"/>
    <col min="5" max="5" width="14.7109375" bestFit="1" customWidth="1"/>
    <col min="6" max="6" width="10.5703125" bestFit="1" customWidth="1"/>
    <col min="7" max="7" width="12" bestFit="1" customWidth="1"/>
    <col min="8" max="8" width="19.140625" bestFit="1" customWidth="1"/>
  </cols>
  <sheetData>
    <row r="2" spans="1:8" x14ac:dyDescent="0.25">
      <c r="A2" s="565" t="s">
        <v>270</v>
      </c>
      <c r="B2" t="s">
        <v>851</v>
      </c>
    </row>
    <row r="4" spans="1:8" x14ac:dyDescent="0.25">
      <c r="A4" s="565" t="s">
        <v>246</v>
      </c>
      <c r="B4" t="s">
        <v>253</v>
      </c>
      <c r="C4" t="s">
        <v>260</v>
      </c>
      <c r="D4" t="s">
        <v>261</v>
      </c>
      <c r="E4" t="s">
        <v>262</v>
      </c>
      <c r="F4" t="s">
        <v>263</v>
      </c>
      <c r="G4" t="s">
        <v>252</v>
      </c>
      <c r="H4" t="s">
        <v>863</v>
      </c>
    </row>
    <row r="5" spans="1:8" x14ac:dyDescent="0.25">
      <c r="A5" s="1068" t="s">
        <v>105</v>
      </c>
      <c r="B5" s="567">
        <v>46</v>
      </c>
      <c r="C5" s="567">
        <v>152</v>
      </c>
      <c r="D5" s="567">
        <v>7</v>
      </c>
      <c r="E5" s="567">
        <v>18</v>
      </c>
      <c r="F5" s="567">
        <v>18</v>
      </c>
      <c r="G5" s="567">
        <v>241</v>
      </c>
      <c r="H5" s="567"/>
    </row>
    <row r="6" spans="1:8" x14ac:dyDescent="0.25">
      <c r="A6" s="1068" t="s">
        <v>106</v>
      </c>
      <c r="B6" s="567">
        <v>246</v>
      </c>
      <c r="C6" s="567">
        <v>313</v>
      </c>
      <c r="D6" s="567">
        <v>21</v>
      </c>
      <c r="E6" s="567">
        <v>51</v>
      </c>
      <c r="F6" s="567">
        <v>15</v>
      </c>
      <c r="G6" s="567">
        <v>649</v>
      </c>
      <c r="H6" s="567">
        <v>3</v>
      </c>
    </row>
    <row r="7" spans="1:8" x14ac:dyDescent="0.25">
      <c r="A7" s="1068" t="s">
        <v>107</v>
      </c>
      <c r="B7" s="567">
        <v>360</v>
      </c>
      <c r="C7" s="567">
        <v>366</v>
      </c>
      <c r="D7" s="567">
        <v>38</v>
      </c>
      <c r="E7" s="567">
        <v>61</v>
      </c>
      <c r="F7" s="567">
        <v>26</v>
      </c>
      <c r="G7" s="567">
        <v>855</v>
      </c>
      <c r="H7" s="567">
        <v>4</v>
      </c>
    </row>
    <row r="8" spans="1:8" x14ac:dyDescent="0.25">
      <c r="A8" s="1068" t="s">
        <v>108</v>
      </c>
      <c r="B8" s="567">
        <v>567</v>
      </c>
      <c r="C8" s="567">
        <v>405</v>
      </c>
      <c r="D8" s="567">
        <v>20</v>
      </c>
      <c r="E8" s="567">
        <v>73</v>
      </c>
      <c r="F8" s="567">
        <v>32</v>
      </c>
      <c r="G8" s="567">
        <v>1102</v>
      </c>
      <c r="H8" s="567">
        <v>5</v>
      </c>
    </row>
    <row r="9" spans="1:8" x14ac:dyDescent="0.25">
      <c r="A9" s="1068" t="s">
        <v>109</v>
      </c>
      <c r="B9" s="567">
        <v>701</v>
      </c>
      <c r="C9" s="567">
        <v>357</v>
      </c>
      <c r="D9" s="567">
        <v>19</v>
      </c>
      <c r="E9" s="567">
        <v>87</v>
      </c>
      <c r="F9" s="567">
        <v>28</v>
      </c>
      <c r="G9" s="567">
        <v>1196</v>
      </c>
      <c r="H9" s="567">
        <v>4</v>
      </c>
    </row>
    <row r="10" spans="1:8" x14ac:dyDescent="0.25">
      <c r="A10" s="1068" t="s">
        <v>110</v>
      </c>
      <c r="B10" s="567">
        <v>775</v>
      </c>
      <c r="C10" s="567">
        <v>421</v>
      </c>
      <c r="D10" s="567">
        <v>22</v>
      </c>
      <c r="E10" s="567">
        <v>114</v>
      </c>
      <c r="F10" s="567">
        <v>53</v>
      </c>
      <c r="G10" s="567">
        <v>1388</v>
      </c>
      <c r="H10" s="567">
        <v>3</v>
      </c>
    </row>
    <row r="11" spans="1:8" x14ac:dyDescent="0.25">
      <c r="A11" s="1068" t="s">
        <v>111</v>
      </c>
      <c r="B11" s="567">
        <v>740</v>
      </c>
      <c r="C11" s="567">
        <v>495</v>
      </c>
      <c r="D11" s="567">
        <v>27</v>
      </c>
      <c r="E11" s="567">
        <v>151</v>
      </c>
      <c r="F11" s="567">
        <v>72</v>
      </c>
      <c r="G11" s="567">
        <v>1495</v>
      </c>
      <c r="H11" s="567">
        <v>10</v>
      </c>
    </row>
    <row r="12" spans="1:8" x14ac:dyDescent="0.25">
      <c r="A12" s="1068" t="s">
        <v>112</v>
      </c>
      <c r="B12" s="567">
        <v>188</v>
      </c>
      <c r="C12" s="567">
        <v>298</v>
      </c>
      <c r="D12" s="567">
        <v>27</v>
      </c>
      <c r="E12" s="567">
        <v>128</v>
      </c>
      <c r="F12" s="567">
        <v>40</v>
      </c>
      <c r="G12" s="567">
        <v>688</v>
      </c>
      <c r="H12" s="567">
        <v>7</v>
      </c>
    </row>
    <row r="13" spans="1:8" x14ac:dyDescent="0.25">
      <c r="A13" s="1068" t="s">
        <v>113</v>
      </c>
      <c r="B13" s="567">
        <v>12</v>
      </c>
      <c r="C13" s="567">
        <v>96</v>
      </c>
      <c r="D13" s="567">
        <v>6</v>
      </c>
      <c r="E13" s="567">
        <v>92</v>
      </c>
      <c r="F13" s="567">
        <v>23</v>
      </c>
      <c r="G13" s="567">
        <v>229</v>
      </c>
      <c r="H13" s="567"/>
    </row>
    <row r="14" spans="1:8" x14ac:dyDescent="0.25">
      <c r="A14" s="1068" t="s">
        <v>114</v>
      </c>
      <c r="B14" s="567">
        <v>1</v>
      </c>
      <c r="C14" s="567">
        <v>26</v>
      </c>
      <c r="D14" s="567">
        <v>1</v>
      </c>
      <c r="E14" s="567">
        <v>36</v>
      </c>
      <c r="F14" s="567">
        <v>8</v>
      </c>
      <c r="G14" s="567">
        <v>72</v>
      </c>
      <c r="H14" s="567"/>
    </row>
    <row r="15" spans="1:8" x14ac:dyDescent="0.25">
      <c r="A15" s="1068" t="s">
        <v>115</v>
      </c>
      <c r="B15" s="567"/>
      <c r="C15" s="567"/>
      <c r="D15" s="567"/>
      <c r="E15" s="567">
        <v>2</v>
      </c>
      <c r="F15" s="567"/>
      <c r="G15" s="567">
        <v>2</v>
      </c>
      <c r="H15" s="567"/>
    </row>
    <row r="16" spans="1:8" x14ac:dyDescent="0.25">
      <c r="A16" s="1068" t="s">
        <v>321</v>
      </c>
      <c r="B16" s="567"/>
      <c r="C16" s="567">
        <v>8</v>
      </c>
      <c r="D16" s="567"/>
      <c r="E16" s="567">
        <v>5</v>
      </c>
      <c r="F16" s="567"/>
      <c r="G16" s="567">
        <v>13</v>
      </c>
      <c r="H16" s="567"/>
    </row>
    <row r="17" spans="1:8" x14ac:dyDescent="0.25">
      <c r="A17" s="1068" t="s">
        <v>251</v>
      </c>
      <c r="B17" s="567">
        <v>3636</v>
      </c>
      <c r="C17" s="567">
        <v>2937</v>
      </c>
      <c r="D17" s="567">
        <v>188</v>
      </c>
      <c r="E17" s="567">
        <v>818</v>
      </c>
      <c r="F17" s="567">
        <v>315</v>
      </c>
      <c r="G17" s="567">
        <v>7930</v>
      </c>
      <c r="H17" s="567">
        <v>36</v>
      </c>
    </row>
  </sheetData>
  <sheetProtection algorithmName="SHA-512" hashValue="XWHiMsP4/8au0yH0QOPNbevwH2Is4RKMLBdF8u0AGiwEQGHz5nfrANOGJX0ABGkU/8FTOXsEeqFTUxcbwSmJFw==" saltValue="DtkZr5jwEoq70KIn4rPzeQ=="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G48"/>
  <sheetViews>
    <sheetView showGridLines="0" workbookViewId="0">
      <pane ySplit="2" topLeftCell="A3" activePane="bottomLeft" state="frozen"/>
      <selection pane="bottomLeft" sqref="A1:C1"/>
    </sheetView>
  </sheetViews>
  <sheetFormatPr defaultRowHeight="15" x14ac:dyDescent="0.25"/>
  <cols>
    <col min="1" max="1" width="23.5703125" customWidth="1"/>
    <col min="2" max="3" width="14.140625" customWidth="1"/>
    <col min="4" max="4" width="12.5703125" customWidth="1"/>
    <col min="5" max="5" width="14.140625" customWidth="1"/>
    <col min="6" max="7" width="14.140625" style="664" customWidth="1"/>
  </cols>
  <sheetData>
    <row r="1" spans="1:7" ht="15.75" x14ac:dyDescent="0.25">
      <c r="A1" s="1077" t="s">
        <v>505</v>
      </c>
      <c r="B1" s="1077"/>
      <c r="C1" s="1077"/>
      <c r="D1" s="958"/>
    </row>
    <row r="2" spans="1:7" x14ac:dyDescent="0.25">
      <c r="A2" s="772" t="s">
        <v>578</v>
      </c>
    </row>
    <row r="3" spans="1:7" x14ac:dyDescent="0.25">
      <c r="A3" s="31"/>
      <c r="B3" s="31"/>
      <c r="C3" s="31"/>
      <c r="D3" s="31"/>
      <c r="E3" s="193"/>
    </row>
    <row r="4" spans="1:7" ht="18.75" customHeight="1" x14ac:dyDescent="0.25">
      <c r="A4" s="1094" t="s">
        <v>542</v>
      </c>
      <c r="B4" s="1094"/>
      <c r="C4" s="1094"/>
      <c r="D4" s="1094"/>
      <c r="E4" s="1094"/>
      <c r="F4" s="1094"/>
      <c r="G4" s="1094"/>
    </row>
    <row r="5" spans="1:7" ht="18.75" customHeight="1" x14ac:dyDescent="0.25">
      <c r="A5" t="s">
        <v>540</v>
      </c>
      <c r="B5" s="624"/>
      <c r="C5" s="624"/>
      <c r="D5" s="960"/>
      <c r="E5" s="624"/>
      <c r="F5" s="624"/>
      <c r="G5" s="624"/>
    </row>
    <row r="6" spans="1:7" ht="15" customHeight="1" x14ac:dyDescent="0.25">
      <c r="A6" t="s">
        <v>363</v>
      </c>
      <c r="B6" t="s">
        <v>761</v>
      </c>
      <c r="C6" s="624"/>
      <c r="D6" s="960"/>
      <c r="E6" s="624"/>
      <c r="F6" s="624"/>
      <c r="G6" s="624"/>
    </row>
    <row r="7" spans="1:7" ht="15" customHeight="1" x14ac:dyDescent="0.25">
      <c r="A7" t="s">
        <v>364</v>
      </c>
      <c r="B7" t="s">
        <v>366</v>
      </c>
      <c r="C7" s="624"/>
      <c r="D7" s="960"/>
      <c r="E7" s="624"/>
      <c r="F7" s="624"/>
      <c r="G7" s="624"/>
    </row>
    <row r="8" spans="1:7" ht="15" customHeight="1" x14ac:dyDescent="0.25">
      <c r="A8" t="s">
        <v>365</v>
      </c>
      <c r="B8" t="s">
        <v>367</v>
      </c>
      <c r="C8" s="624"/>
      <c r="D8" s="960"/>
      <c r="E8" s="624"/>
      <c r="F8" s="624"/>
      <c r="G8" s="624"/>
    </row>
    <row r="9" spans="1:7" ht="36" customHeight="1" x14ac:dyDescent="0.25">
      <c r="A9" s="19" t="s">
        <v>188</v>
      </c>
      <c r="B9" s="3" t="s">
        <v>89</v>
      </c>
      <c r="C9" s="194" t="s">
        <v>28</v>
      </c>
      <c r="D9" s="194" t="s">
        <v>956</v>
      </c>
      <c r="E9" s="3" t="s">
        <v>2</v>
      </c>
      <c r="F9" s="3" t="s">
        <v>29</v>
      </c>
      <c r="G9" s="3" t="s">
        <v>405</v>
      </c>
    </row>
    <row r="10" spans="1:7" x14ac:dyDescent="0.25">
      <c r="A10" s="195" t="s">
        <v>183</v>
      </c>
      <c r="B10" s="60">
        <f>GETPIVOTDATA("Sum of WT",h10c!$A$4,"ServiceLength","Under 5")</f>
        <v>536</v>
      </c>
      <c r="C10" s="60">
        <f>GETPIVOTDATA("Sum of RDS",h10c!$A$4,"ServiceLength","Under 5")</f>
        <v>801</v>
      </c>
      <c r="D10" s="787">
        <f>GETPIVOTDATA("Sum of RDS Fulltime",h10c!$A$4,"ServiceLength","Under 5")</f>
        <v>1</v>
      </c>
      <c r="E10" s="60">
        <f>GETPIVOTDATA("Sum of Control",h10c!$A$4,"ServiceLength","Under 5")</f>
        <v>54</v>
      </c>
      <c r="F10" s="118">
        <f>GETPIVOTDATA("Sum of Vol",h10c!$A$4,"ServiceLength","Under 5")</f>
        <v>97</v>
      </c>
      <c r="G10" s="196">
        <f>SUM(B10:F10)</f>
        <v>1489</v>
      </c>
    </row>
    <row r="11" spans="1:7" x14ac:dyDescent="0.25">
      <c r="A11" s="464" t="s">
        <v>184</v>
      </c>
      <c r="B11" s="60">
        <f>GETPIVOTDATA("Sum of WT",h10c!$A$4,"ServiceLength","5-9")</f>
        <v>330</v>
      </c>
      <c r="C11" s="60">
        <f>GETPIVOTDATA("Sum of RDS",h10c!$A$4,"ServiceLength","5-9")</f>
        <v>556</v>
      </c>
      <c r="D11" s="787">
        <f>GETPIVOTDATA("Sum of RDS Fulltime",h10c!$A$4,"ServiceLength","5-9")</f>
        <v>5</v>
      </c>
      <c r="E11" s="60">
        <f>GETPIVOTDATA("Sum of Control",h10c!$A$4,"ServiceLength","5-9")</f>
        <v>26</v>
      </c>
      <c r="F11" s="118">
        <f>GETPIVOTDATA("Sum of Vol",h10c!$A$4,"ServiceLength","5-9")</f>
        <v>55</v>
      </c>
      <c r="G11" s="196">
        <f t="shared" ref="G11:G18" si="0">SUM(B11:F11)</f>
        <v>972</v>
      </c>
    </row>
    <row r="12" spans="1:7" x14ac:dyDescent="0.25">
      <c r="A12" s="464" t="s">
        <v>185</v>
      </c>
      <c r="B12" s="60">
        <f>GETPIVOTDATA("Sum of WT",h10c!$A$4,"ServiceLength","10-14")</f>
        <v>742</v>
      </c>
      <c r="C12" s="60">
        <f>GETPIVOTDATA("Sum of RDS",h10c!$A$4,"ServiceLength","10-14")</f>
        <v>432</v>
      </c>
      <c r="D12" s="787">
        <f>GETPIVOTDATA("Sum of RDS Fulltime",h10c!$A$4,"ServiceLength","10-14")</f>
        <v>10</v>
      </c>
      <c r="E12" s="60">
        <f>GETPIVOTDATA("Sum of Control",h10c!$A$4,"ServiceLength","10-14")</f>
        <v>25</v>
      </c>
      <c r="F12" s="118">
        <f>GETPIVOTDATA("Sum of Vol",h10c!$A$4,"ServiceLength","10-14")</f>
        <v>41</v>
      </c>
      <c r="G12" s="196">
        <f t="shared" si="0"/>
        <v>1250</v>
      </c>
    </row>
    <row r="13" spans="1:7" x14ac:dyDescent="0.25">
      <c r="A13" s="464" t="s">
        <v>186</v>
      </c>
      <c r="B13" s="60">
        <f>GETPIVOTDATA("Sum of WT",h10c!$A$4,"ServiceLength","15-19")</f>
        <v>784</v>
      </c>
      <c r="C13" s="60">
        <f>GETPIVOTDATA("Sum of RDS",h10c!$A$4,"ServiceLength","15-19")</f>
        <v>395</v>
      </c>
      <c r="D13" s="787">
        <f>GETPIVOTDATA("Sum of RDS Fulltime",h10c!$A$4,"ServiceLength","15-19")</f>
        <v>5</v>
      </c>
      <c r="E13" s="60">
        <f>GETPIVOTDATA("Sum of Control",h10c!$A$4,"ServiceLength","15-19")</f>
        <v>23</v>
      </c>
      <c r="F13" s="118">
        <f>GETPIVOTDATA("Sum of Vol",h10c!$A$4,"ServiceLength","15-19")</f>
        <v>43</v>
      </c>
      <c r="G13" s="196">
        <f t="shared" si="0"/>
        <v>1250</v>
      </c>
    </row>
    <row r="14" spans="1:7" x14ac:dyDescent="0.25">
      <c r="A14" s="464" t="s">
        <v>105</v>
      </c>
      <c r="B14" s="60">
        <f>GETPIVOTDATA("Sum of WT",h10c!$A$4,"ServiceLength","20-24")</f>
        <v>641</v>
      </c>
      <c r="C14" s="60">
        <f>GETPIVOTDATA("Sum of RDS",h10c!$A$4,"ServiceLength","20-24")</f>
        <v>289</v>
      </c>
      <c r="D14" s="787">
        <f>GETPIVOTDATA("Sum of RDS Fulltime",h10c!$A$4,"ServiceLength","20-24")</f>
        <v>5</v>
      </c>
      <c r="E14" s="60">
        <f>GETPIVOTDATA("Sum of Control",h10c!$A$4,"ServiceLength","20-24")</f>
        <v>15</v>
      </c>
      <c r="F14" s="118">
        <f>GETPIVOTDATA("Sum of Vol",h10c!$A$4,"ServiceLength","20-24")</f>
        <v>36</v>
      </c>
      <c r="G14" s="196">
        <f t="shared" si="0"/>
        <v>986</v>
      </c>
    </row>
    <row r="15" spans="1:7" x14ac:dyDescent="0.25">
      <c r="A15" s="464" t="s">
        <v>106</v>
      </c>
      <c r="B15" s="60">
        <f>GETPIVOTDATA("Sum of WT",h10c!$A$4,"ServiceLength","25-29")</f>
        <v>516</v>
      </c>
      <c r="C15" s="60">
        <f>GETPIVOTDATA("Sum of RDS",h10c!$A$4,"ServiceLength","25-29")</f>
        <v>223</v>
      </c>
      <c r="D15" s="787">
        <f>GETPIVOTDATA("Sum of RDS Fulltime",h10c!$A$4,"ServiceLength","25-29")</f>
        <v>3</v>
      </c>
      <c r="E15" s="60">
        <f>GETPIVOTDATA("Sum of Control",h10c!$A$4,"ServiceLength","25-29")</f>
        <v>15</v>
      </c>
      <c r="F15" s="118">
        <f>GETPIVOTDATA("Sum of Vol",h10c!$A$4,"ServiceLength","25-29")</f>
        <v>21</v>
      </c>
      <c r="G15" s="196">
        <f t="shared" si="0"/>
        <v>778</v>
      </c>
    </row>
    <row r="16" spans="1:7" x14ac:dyDescent="0.25">
      <c r="A16" s="464" t="s">
        <v>107</v>
      </c>
      <c r="B16" s="60">
        <f>GETPIVOTDATA("Sum of WT",h10c!$A$4,"ServiceLength","30-34")</f>
        <v>78</v>
      </c>
      <c r="C16" s="60">
        <f>GETPIVOTDATA("Sum of RDS",h10c!$A$4,"ServiceLength","30-34")</f>
        <v>156</v>
      </c>
      <c r="D16" s="787">
        <f>GETPIVOTDATA("Sum of RDS Fulltime",h10c!$A$4,"ServiceLength","30-34")</f>
        <v>4</v>
      </c>
      <c r="E16" s="60">
        <f>GETPIVOTDATA("Sum of Control",h10c!$A$4,"ServiceLength","30-34")</f>
        <v>20</v>
      </c>
      <c r="F16" s="118">
        <f>GETPIVOTDATA("Sum of Vol",h10c!$A$4,"ServiceLength","30-34")</f>
        <v>16</v>
      </c>
      <c r="G16" s="196">
        <f t="shared" si="0"/>
        <v>274</v>
      </c>
    </row>
    <row r="17" spans="1:7" x14ac:dyDescent="0.25">
      <c r="A17" s="464" t="s">
        <v>108</v>
      </c>
      <c r="B17" s="60">
        <f>GETPIVOTDATA("Sum of WT",h10c!$A$4,"ServiceLength","35-39")</f>
        <v>5</v>
      </c>
      <c r="C17" s="60">
        <f>GETPIVOTDATA("Sum of RDS",h10c!$A$4,"ServiceLength","35-39")</f>
        <v>57</v>
      </c>
      <c r="D17" s="787">
        <f>GETPIVOTDATA("Sum of RDS Fulltime",h10c!$A$4,"ServiceLength","35-39")</f>
        <v>3</v>
      </c>
      <c r="E17" s="60">
        <f>GETPIVOTDATA("Sum of Control",h10c!$A$4,"ServiceLength","35-39")</f>
        <v>3</v>
      </c>
      <c r="F17" s="118">
        <f>GETPIVOTDATA("Sum of Vol",h10c!$A$4,"ServiceLength","35-39")</f>
        <v>2</v>
      </c>
      <c r="G17" s="196">
        <f t="shared" si="0"/>
        <v>70</v>
      </c>
    </row>
    <row r="18" spans="1:7" x14ac:dyDescent="0.25">
      <c r="A18" s="464" t="s">
        <v>187</v>
      </c>
      <c r="B18" s="60">
        <f>GETPIVOTDATA("Sum of WT",h10c!$A$4,"ServiceLength","Over 40")</f>
        <v>4</v>
      </c>
      <c r="C18" s="60">
        <f>GETPIVOTDATA("Sum of RDS",h10c!$A$4,"ServiceLength","Over 40")</f>
        <v>28</v>
      </c>
      <c r="D18" s="787">
        <f>GETPIVOTDATA("Sum of RDS Fulltime",h10c!$A$4,"ServiceLength","Over 40")</f>
        <v>0</v>
      </c>
      <c r="E18" s="60">
        <f>GETPIVOTDATA("Sum of Control",h10c!$A$4,"ServiceLength","Over 40")</f>
        <v>7</v>
      </c>
      <c r="F18" s="118">
        <f>GETPIVOTDATA("Sum of Vol",h10c!$A$4,"ServiceLength","Over 40")</f>
        <v>4</v>
      </c>
      <c r="G18" s="196">
        <f t="shared" si="0"/>
        <v>43</v>
      </c>
    </row>
    <row r="19" spans="1:7" ht="15.75" thickBot="1" x14ac:dyDescent="0.3">
      <c r="A19" s="198" t="s">
        <v>17</v>
      </c>
      <c r="B19" s="199">
        <f t="shared" ref="B19:G19" si="1">SUM(B10:B18)</f>
        <v>3636</v>
      </c>
      <c r="C19" s="199">
        <f t="shared" si="1"/>
        <v>2937</v>
      </c>
      <c r="D19" s="199">
        <f t="shared" si="1"/>
        <v>36</v>
      </c>
      <c r="E19" s="199">
        <f t="shared" si="1"/>
        <v>188</v>
      </c>
      <c r="F19" s="199">
        <f t="shared" si="1"/>
        <v>315</v>
      </c>
      <c r="G19" s="199">
        <f t="shared" si="1"/>
        <v>7112</v>
      </c>
    </row>
    <row r="21" spans="1:7" ht="15" customHeight="1" x14ac:dyDescent="0.25">
      <c r="A21" s="465" t="s">
        <v>8</v>
      </c>
    </row>
    <row r="22" spans="1:7" ht="15" customHeight="1" x14ac:dyDescent="0.25">
      <c r="A22" t="s">
        <v>545</v>
      </c>
    </row>
    <row r="23" spans="1:7" ht="30" customHeight="1" x14ac:dyDescent="0.25">
      <c r="A23" s="1076" t="s">
        <v>235</v>
      </c>
      <c r="B23" s="1076"/>
      <c r="C23" s="1076"/>
      <c r="D23" s="1076"/>
      <c r="E23" s="1076"/>
      <c r="F23" s="1076"/>
      <c r="G23" s="1076"/>
    </row>
    <row r="24" spans="1:7" x14ac:dyDescent="0.25">
      <c r="A24" t="s">
        <v>234</v>
      </c>
    </row>
    <row r="25" spans="1:7" x14ac:dyDescent="0.25">
      <c r="A25" t="s">
        <v>544</v>
      </c>
    </row>
    <row r="27" spans="1:7" ht="17.25" customHeight="1" x14ac:dyDescent="0.25">
      <c r="A27" s="1094" t="s">
        <v>541</v>
      </c>
      <c r="B27" s="1094"/>
      <c r="C27" s="1094"/>
      <c r="D27" s="1094"/>
      <c r="E27" s="1094"/>
      <c r="F27" s="1094"/>
      <c r="G27" s="1094"/>
    </row>
    <row r="28" spans="1:7" ht="15" customHeight="1" x14ac:dyDescent="0.25">
      <c r="A28" t="s">
        <v>540</v>
      </c>
      <c r="B28" s="624"/>
      <c r="C28" s="624"/>
      <c r="D28" s="960"/>
      <c r="E28" s="624"/>
      <c r="F28" s="624"/>
      <c r="G28" s="624"/>
    </row>
    <row r="29" spans="1:7" ht="15" customHeight="1" x14ac:dyDescent="0.25">
      <c r="A29" t="s">
        <v>363</v>
      </c>
      <c r="B29" t="s">
        <v>762</v>
      </c>
      <c r="C29" s="624"/>
      <c r="D29" s="960"/>
      <c r="E29" s="624"/>
      <c r="F29" s="624"/>
      <c r="G29" s="624"/>
    </row>
    <row r="30" spans="1:7" ht="15" customHeight="1" x14ac:dyDescent="0.25">
      <c r="A30" t="s">
        <v>364</v>
      </c>
      <c r="B30" t="s">
        <v>366</v>
      </c>
      <c r="C30" s="624"/>
      <c r="D30" s="960"/>
      <c r="E30" s="624"/>
      <c r="F30" s="624"/>
      <c r="G30" s="624"/>
    </row>
    <row r="31" spans="1:7" ht="15" customHeight="1" x14ac:dyDescent="0.25">
      <c r="A31" t="s">
        <v>365</v>
      </c>
      <c r="B31" t="s">
        <v>367</v>
      </c>
      <c r="C31" s="624"/>
      <c r="D31" s="960"/>
      <c r="E31" s="624"/>
      <c r="F31" s="624"/>
      <c r="G31" s="624"/>
    </row>
    <row r="32" spans="1:7" ht="36.75" customHeight="1" x14ac:dyDescent="0.25">
      <c r="A32" s="19" t="s">
        <v>188</v>
      </c>
      <c r="B32" s="201" t="s">
        <v>89</v>
      </c>
      <c r="C32" s="201" t="s">
        <v>28</v>
      </c>
      <c r="D32" s="194" t="s">
        <v>956</v>
      </c>
      <c r="E32" s="201" t="s">
        <v>2</v>
      </c>
      <c r="F32" s="201" t="s">
        <v>29</v>
      </c>
      <c r="G32" s="3" t="s">
        <v>405</v>
      </c>
    </row>
    <row r="33" spans="1:7" x14ac:dyDescent="0.25">
      <c r="A33" s="195" t="s">
        <v>183</v>
      </c>
      <c r="B33" s="203">
        <f t="shared" ref="B33:G41" si="2">B10/B$19</f>
        <v>0.1474147414741474</v>
      </c>
      <c r="C33" s="203">
        <f t="shared" si="2"/>
        <v>0.27272727272727271</v>
      </c>
      <c r="D33" s="203">
        <f t="shared" ref="D33" si="3">D10/D$19</f>
        <v>2.7777777777777776E-2</v>
      </c>
      <c r="E33" s="203">
        <f t="shared" si="2"/>
        <v>0.28723404255319152</v>
      </c>
      <c r="F33" s="203">
        <f t="shared" si="2"/>
        <v>0.30793650793650795</v>
      </c>
      <c r="G33" s="204">
        <f t="shared" si="2"/>
        <v>0.2093644544431946</v>
      </c>
    </row>
    <row r="34" spans="1:7" x14ac:dyDescent="0.25">
      <c r="A34" s="464" t="s">
        <v>184</v>
      </c>
      <c r="B34" s="203">
        <f t="shared" si="2"/>
        <v>9.0759075907590761E-2</v>
      </c>
      <c r="C34" s="203">
        <f t="shared" si="2"/>
        <v>0.18930881852230166</v>
      </c>
      <c r="D34" s="203">
        <f t="shared" ref="D34" si="4">D11/D$19</f>
        <v>0.1388888888888889</v>
      </c>
      <c r="E34" s="203">
        <f t="shared" si="2"/>
        <v>0.13829787234042554</v>
      </c>
      <c r="F34" s="203">
        <f t="shared" si="2"/>
        <v>0.17460317460317459</v>
      </c>
      <c r="G34" s="204">
        <f t="shared" si="2"/>
        <v>0.13667041619797526</v>
      </c>
    </row>
    <row r="35" spans="1:7" x14ac:dyDescent="0.25">
      <c r="A35" s="464" t="s">
        <v>185</v>
      </c>
      <c r="B35" s="203">
        <f t="shared" si="2"/>
        <v>0.20407040704070406</v>
      </c>
      <c r="C35" s="203">
        <f t="shared" si="2"/>
        <v>0.14708886618998979</v>
      </c>
      <c r="D35" s="203">
        <f t="shared" ref="D35" si="5">D12/D$19</f>
        <v>0.27777777777777779</v>
      </c>
      <c r="E35" s="203">
        <f t="shared" si="2"/>
        <v>0.13297872340425532</v>
      </c>
      <c r="F35" s="203">
        <f t="shared" si="2"/>
        <v>0.13015873015873017</v>
      </c>
      <c r="G35" s="204">
        <f t="shared" si="2"/>
        <v>0.17575928008998876</v>
      </c>
    </row>
    <row r="36" spans="1:7" x14ac:dyDescent="0.25">
      <c r="A36" s="464" t="s">
        <v>186</v>
      </c>
      <c r="B36" s="203">
        <f t="shared" si="2"/>
        <v>0.21562156215621561</v>
      </c>
      <c r="C36" s="203">
        <f t="shared" si="2"/>
        <v>0.13449097718760641</v>
      </c>
      <c r="D36" s="203">
        <f>D13/D$19</f>
        <v>0.1388888888888889</v>
      </c>
      <c r="E36" s="203">
        <f t="shared" si="2"/>
        <v>0.12234042553191489</v>
      </c>
      <c r="F36" s="203">
        <f t="shared" si="2"/>
        <v>0.13650793650793649</v>
      </c>
      <c r="G36" s="204">
        <f t="shared" si="2"/>
        <v>0.17575928008998876</v>
      </c>
    </row>
    <row r="37" spans="1:7" x14ac:dyDescent="0.25">
      <c r="A37" s="464" t="s">
        <v>105</v>
      </c>
      <c r="B37" s="203">
        <f t="shared" si="2"/>
        <v>0.1762926292629263</v>
      </c>
      <c r="C37" s="203">
        <f t="shared" si="2"/>
        <v>9.8399727613210752E-2</v>
      </c>
      <c r="D37" s="203">
        <f t="shared" ref="D37" si="6">D14/D$19</f>
        <v>0.1388888888888889</v>
      </c>
      <c r="E37" s="203">
        <f t="shared" si="2"/>
        <v>7.9787234042553196E-2</v>
      </c>
      <c r="F37" s="203">
        <f t="shared" si="2"/>
        <v>0.11428571428571428</v>
      </c>
      <c r="G37" s="204">
        <f t="shared" si="2"/>
        <v>0.13863892013498313</v>
      </c>
    </row>
    <row r="38" spans="1:7" x14ac:dyDescent="0.25">
      <c r="A38" s="464" t="s">
        <v>106</v>
      </c>
      <c r="B38" s="203">
        <f t="shared" si="2"/>
        <v>0.14191419141914191</v>
      </c>
      <c r="C38" s="203">
        <f t="shared" si="2"/>
        <v>7.5927817500851202E-2</v>
      </c>
      <c r="D38" s="203">
        <f t="shared" ref="D38" si="7">D15/D$19</f>
        <v>8.3333333333333329E-2</v>
      </c>
      <c r="E38" s="203">
        <f t="shared" si="2"/>
        <v>7.9787234042553196E-2</v>
      </c>
      <c r="F38" s="203">
        <f t="shared" si="2"/>
        <v>6.6666666666666666E-2</v>
      </c>
      <c r="G38" s="204">
        <f t="shared" si="2"/>
        <v>0.10939257592800899</v>
      </c>
    </row>
    <row r="39" spans="1:7" x14ac:dyDescent="0.25">
      <c r="A39" s="464" t="s">
        <v>107</v>
      </c>
      <c r="B39" s="203">
        <f t="shared" si="2"/>
        <v>2.1452145214521452E-2</v>
      </c>
      <c r="C39" s="203">
        <f t="shared" si="2"/>
        <v>5.3115423901940753E-2</v>
      </c>
      <c r="D39" s="203">
        <f t="shared" ref="D39" si="8">D16/D$19</f>
        <v>0.1111111111111111</v>
      </c>
      <c r="E39" s="203">
        <f t="shared" si="2"/>
        <v>0.10638297872340426</v>
      </c>
      <c r="F39" s="203">
        <f t="shared" si="2"/>
        <v>5.0793650793650794E-2</v>
      </c>
      <c r="G39" s="204">
        <f t="shared" si="2"/>
        <v>3.8526434195725531E-2</v>
      </c>
    </row>
    <row r="40" spans="1:7" x14ac:dyDescent="0.25">
      <c r="A40" s="464" t="s">
        <v>108</v>
      </c>
      <c r="B40" s="203">
        <f t="shared" si="2"/>
        <v>1.3751375137513752E-3</v>
      </c>
      <c r="C40" s="203">
        <f t="shared" si="2"/>
        <v>1.9407558733401432E-2</v>
      </c>
      <c r="D40" s="203">
        <f t="shared" ref="D40" si="9">D17/D$19</f>
        <v>8.3333333333333329E-2</v>
      </c>
      <c r="E40" s="203">
        <f t="shared" si="2"/>
        <v>1.5957446808510637E-2</v>
      </c>
      <c r="F40" s="203">
        <f t="shared" si="2"/>
        <v>6.3492063492063492E-3</v>
      </c>
      <c r="G40" s="204">
        <f t="shared" si="2"/>
        <v>9.8425196850393699E-3</v>
      </c>
    </row>
    <row r="41" spans="1:7" x14ac:dyDescent="0.25">
      <c r="A41" s="464" t="s">
        <v>187</v>
      </c>
      <c r="B41" s="203">
        <f t="shared" si="2"/>
        <v>1.1001100110011001E-3</v>
      </c>
      <c r="C41" s="203">
        <f t="shared" si="2"/>
        <v>9.5335376234252645E-3</v>
      </c>
      <c r="D41" s="203">
        <f t="shared" ref="D41" si="10">D18/D$19</f>
        <v>0</v>
      </c>
      <c r="E41" s="203">
        <f t="shared" si="2"/>
        <v>3.7234042553191488E-2</v>
      </c>
      <c r="F41" s="203">
        <f t="shared" si="2"/>
        <v>1.2698412698412698E-2</v>
      </c>
      <c r="G41" s="204">
        <f t="shared" si="2"/>
        <v>6.0461192350956131E-3</v>
      </c>
    </row>
    <row r="42" spans="1:7" ht="15.75" thickBot="1" x14ac:dyDescent="0.3">
      <c r="A42" s="198" t="s">
        <v>17</v>
      </c>
      <c r="B42" s="207">
        <f t="shared" ref="B42:G42" si="11">SUM(B33:B41)</f>
        <v>0.99999999999999989</v>
      </c>
      <c r="C42" s="207">
        <f t="shared" si="11"/>
        <v>0.99999999999999978</v>
      </c>
      <c r="D42" s="207">
        <f t="shared" si="11"/>
        <v>1</v>
      </c>
      <c r="E42" s="207">
        <f t="shared" si="11"/>
        <v>1</v>
      </c>
      <c r="F42" s="207">
        <f t="shared" si="11"/>
        <v>1</v>
      </c>
      <c r="G42" s="207">
        <f t="shared" si="11"/>
        <v>1</v>
      </c>
    </row>
    <row r="43" spans="1:7" x14ac:dyDescent="0.25">
      <c r="A43" s="202"/>
      <c r="B43" s="208"/>
      <c r="C43" s="208"/>
      <c r="D43" s="208"/>
      <c r="E43" s="208"/>
    </row>
    <row r="44" spans="1:7" x14ac:dyDescent="0.25">
      <c r="A44" s="465" t="s">
        <v>8</v>
      </c>
      <c r="B44" s="44"/>
      <c r="C44" s="44"/>
      <c r="D44" s="44"/>
      <c r="E44" s="44"/>
    </row>
    <row r="45" spans="1:7" ht="15" customHeight="1" x14ac:dyDescent="0.25">
      <c r="A45" s="1076" t="s">
        <v>543</v>
      </c>
      <c r="B45" s="1076"/>
      <c r="C45" s="1076"/>
      <c r="D45" s="1076"/>
      <c r="E45" s="1076"/>
      <c r="F45" s="1076"/>
      <c r="G45" s="1076"/>
    </row>
    <row r="46" spans="1:7" ht="30" customHeight="1" x14ac:dyDescent="0.25">
      <c r="A46" s="1076" t="s">
        <v>235</v>
      </c>
      <c r="B46" s="1076"/>
      <c r="C46" s="1076"/>
      <c r="D46" s="1076"/>
      <c r="E46" s="1076"/>
      <c r="F46" s="1076"/>
      <c r="G46" s="1076"/>
    </row>
    <row r="47" spans="1:7" x14ac:dyDescent="0.25">
      <c r="A47" s="496" t="s">
        <v>234</v>
      </c>
      <c r="B47" s="200"/>
      <c r="C47" s="200"/>
      <c r="D47" s="200"/>
      <c r="E47" s="200"/>
      <c r="F47" s="731"/>
      <c r="G47" s="42"/>
    </row>
    <row r="48" spans="1:7" x14ac:dyDescent="0.25">
      <c r="A48" t="s">
        <v>544</v>
      </c>
      <c r="B48" s="200"/>
      <c r="C48" s="200"/>
      <c r="D48" s="200"/>
      <c r="E48" s="200"/>
      <c r="F48" s="731"/>
      <c r="G48" s="42"/>
    </row>
  </sheetData>
  <sheetProtection algorithmName="SHA-512" hashValue="0uqbK+rYTFK9KVlj6D1mvP8Kxhey29OSLXz6/7tg70Iw1axtH6Ui2i2uoxEbk/oNfaEY3NMfAUhaSdkZB5VrzQ==" saltValue="PgHJ3o/ZYOxuDE9ydrzh8A==" spinCount="100000" sheet="1" scenarios="1" formatCells="0" formatColumns="0" formatRows="0" sort="0" autoFilter="0" pivotTables="0"/>
  <mergeCells count="6">
    <mergeCell ref="A1:C1"/>
    <mergeCell ref="A46:G46"/>
    <mergeCell ref="A45:G45"/>
    <mergeCell ref="A4:G4"/>
    <mergeCell ref="A27:G27"/>
    <mergeCell ref="A23:G23"/>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7" orientation="portrait" r:id="rId1"/>
  <drawing r:id="rId2"/>
  <extLst>
    <ext xmlns:x14="http://schemas.microsoft.com/office/spreadsheetml/2009/9/main" uri="{A8765BA9-456A-4dab-B4F3-ACF838C121DE}">
      <x14:slicerList>
        <x14:slicer r:id="rId3"/>
      </x14:slicerList>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F14"/>
  <sheetViews>
    <sheetView workbookViewId="0">
      <selection activeCell="F9" sqref="F9"/>
    </sheetView>
  </sheetViews>
  <sheetFormatPr defaultRowHeight="15" x14ac:dyDescent="0.25"/>
  <cols>
    <col min="1" max="1" width="13.140625" bestFit="1" customWidth="1"/>
    <col min="2" max="2" width="10.5703125" customWidth="1"/>
    <col min="3" max="3" width="11" bestFit="1" customWidth="1"/>
    <col min="4" max="4" width="14.28515625" bestFit="1" customWidth="1"/>
    <col min="5" max="5" width="10.5703125" bestFit="1" customWidth="1"/>
    <col min="6" max="6" width="19.140625" bestFit="1" customWidth="1"/>
  </cols>
  <sheetData>
    <row r="2" spans="1:6" x14ac:dyDescent="0.25">
      <c r="A2" s="565" t="s">
        <v>270</v>
      </c>
      <c r="B2" t="s">
        <v>851</v>
      </c>
    </row>
    <row r="4" spans="1:6" x14ac:dyDescent="0.25">
      <c r="A4" s="565" t="s">
        <v>246</v>
      </c>
      <c r="B4" t="s">
        <v>253</v>
      </c>
      <c r="C4" t="s">
        <v>260</v>
      </c>
      <c r="D4" t="s">
        <v>261</v>
      </c>
      <c r="E4" t="s">
        <v>263</v>
      </c>
      <c r="F4" t="s">
        <v>863</v>
      </c>
    </row>
    <row r="5" spans="1:6" x14ac:dyDescent="0.25">
      <c r="A5" s="1068" t="s">
        <v>185</v>
      </c>
      <c r="B5" s="567">
        <v>742</v>
      </c>
      <c r="C5" s="567">
        <v>432</v>
      </c>
      <c r="D5" s="567">
        <v>25</v>
      </c>
      <c r="E5" s="567">
        <v>41</v>
      </c>
      <c r="F5" s="567">
        <v>10</v>
      </c>
    </row>
    <row r="6" spans="1:6" x14ac:dyDescent="0.25">
      <c r="A6" s="1068" t="s">
        <v>186</v>
      </c>
      <c r="B6" s="567">
        <v>784</v>
      </c>
      <c r="C6" s="567">
        <v>395</v>
      </c>
      <c r="D6" s="567">
        <v>23</v>
      </c>
      <c r="E6" s="567">
        <v>43</v>
      </c>
      <c r="F6" s="567">
        <v>5</v>
      </c>
    </row>
    <row r="7" spans="1:6" x14ac:dyDescent="0.25">
      <c r="A7" s="1068" t="s">
        <v>105</v>
      </c>
      <c r="B7" s="567">
        <v>641</v>
      </c>
      <c r="C7" s="567">
        <v>289</v>
      </c>
      <c r="D7" s="567">
        <v>15</v>
      </c>
      <c r="E7" s="567">
        <v>36</v>
      </c>
      <c r="F7" s="567">
        <v>5</v>
      </c>
    </row>
    <row r="8" spans="1:6" x14ac:dyDescent="0.25">
      <c r="A8" s="1068" t="s">
        <v>106</v>
      </c>
      <c r="B8" s="567">
        <v>516</v>
      </c>
      <c r="C8" s="567">
        <v>223</v>
      </c>
      <c r="D8" s="567">
        <v>15</v>
      </c>
      <c r="E8" s="567">
        <v>21</v>
      </c>
      <c r="F8" s="567">
        <v>3</v>
      </c>
    </row>
    <row r="9" spans="1:6" x14ac:dyDescent="0.25">
      <c r="A9" s="1068" t="s">
        <v>107</v>
      </c>
      <c r="B9" s="567">
        <v>78</v>
      </c>
      <c r="C9" s="567">
        <v>156</v>
      </c>
      <c r="D9" s="567">
        <v>20</v>
      </c>
      <c r="E9" s="567">
        <v>16</v>
      </c>
      <c r="F9" s="567">
        <v>4</v>
      </c>
    </row>
    <row r="10" spans="1:6" x14ac:dyDescent="0.25">
      <c r="A10" s="1068" t="s">
        <v>108</v>
      </c>
      <c r="B10" s="567">
        <v>5</v>
      </c>
      <c r="C10" s="567">
        <v>57</v>
      </c>
      <c r="D10" s="567">
        <v>3</v>
      </c>
      <c r="E10" s="567">
        <v>2</v>
      </c>
      <c r="F10" s="567">
        <v>3</v>
      </c>
    </row>
    <row r="11" spans="1:6" x14ac:dyDescent="0.25">
      <c r="A11" s="1068" t="s">
        <v>184</v>
      </c>
      <c r="B11" s="567">
        <v>330</v>
      </c>
      <c r="C11" s="567">
        <v>556</v>
      </c>
      <c r="D11" s="567">
        <v>26</v>
      </c>
      <c r="E11" s="567">
        <v>55</v>
      </c>
      <c r="F11" s="567">
        <v>5</v>
      </c>
    </row>
    <row r="12" spans="1:6" x14ac:dyDescent="0.25">
      <c r="A12" s="1068" t="s">
        <v>322</v>
      </c>
      <c r="B12" s="567">
        <v>4</v>
      </c>
      <c r="C12" s="567">
        <v>28</v>
      </c>
      <c r="D12" s="567">
        <v>7</v>
      </c>
      <c r="E12" s="567">
        <v>4</v>
      </c>
      <c r="F12" s="567"/>
    </row>
    <row r="13" spans="1:6" x14ac:dyDescent="0.25">
      <c r="A13" s="1068" t="s">
        <v>323</v>
      </c>
      <c r="B13" s="567">
        <v>536</v>
      </c>
      <c r="C13" s="567">
        <v>801</v>
      </c>
      <c r="D13" s="567">
        <v>54</v>
      </c>
      <c r="E13" s="567">
        <v>97</v>
      </c>
      <c r="F13" s="567">
        <v>1</v>
      </c>
    </row>
    <row r="14" spans="1:6" x14ac:dyDescent="0.25">
      <c r="A14" s="1068" t="s">
        <v>251</v>
      </c>
      <c r="B14" s="567">
        <v>3636</v>
      </c>
      <c r="C14" s="567">
        <v>2937</v>
      </c>
      <c r="D14" s="567">
        <v>188</v>
      </c>
      <c r="E14" s="567">
        <v>315</v>
      </c>
      <c r="F14" s="567">
        <v>36</v>
      </c>
    </row>
  </sheetData>
  <sheetProtection algorithmName="SHA-512" hashValue="Fa2wmH/ZwxNJmteP+s9nvfMUo0WZcx6VwNPOtB0Vaf2qNCU/3G0hE9pVtQqQWW+xLNBWd1giIO7Ukxn1LIZV2Q==" saltValue="6K5LmEjkIB8JZhTJg1xPYw=="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39997558519241921"/>
    <pageSetUpPr fitToPage="1"/>
  </sheetPr>
  <dimension ref="A1:Y24"/>
  <sheetViews>
    <sheetView showGridLines="0" workbookViewId="0">
      <pane ySplit="2" topLeftCell="A3" activePane="bottomLeft" state="frozen"/>
      <selection pane="bottomLeft" sqref="A1:C1"/>
    </sheetView>
  </sheetViews>
  <sheetFormatPr defaultRowHeight="14.25" x14ac:dyDescent="0.2"/>
  <cols>
    <col min="1" max="1" width="17.140625" style="490" customWidth="1"/>
    <col min="2" max="25" width="8.85546875" style="490" customWidth="1"/>
    <col min="26" max="16384" width="9.140625" style="490"/>
  </cols>
  <sheetData>
    <row r="1" spans="1:25" ht="15.75" x14ac:dyDescent="0.2">
      <c r="A1" s="1077" t="s">
        <v>505</v>
      </c>
      <c r="B1" s="1077"/>
      <c r="C1" s="1077"/>
    </row>
    <row r="2" spans="1:25" ht="15" x14ac:dyDescent="0.25">
      <c r="A2" s="772" t="s">
        <v>578</v>
      </c>
      <c r="B2"/>
      <c r="C2"/>
    </row>
    <row r="4" spans="1:25" ht="30" customHeight="1" x14ac:dyDescent="0.2">
      <c r="A4" s="1110" t="s">
        <v>546</v>
      </c>
      <c r="B4" s="1110"/>
      <c r="C4" s="1110"/>
      <c r="D4" s="1110"/>
      <c r="E4" s="1110"/>
      <c r="F4" s="1110"/>
      <c r="G4" s="1110"/>
      <c r="H4" s="1110"/>
      <c r="I4" s="1110"/>
      <c r="J4" s="1110"/>
      <c r="K4" s="1110"/>
      <c r="L4" s="1110"/>
      <c r="M4" s="1110"/>
      <c r="N4" s="1110"/>
      <c r="O4" s="1110"/>
      <c r="P4" s="1110"/>
      <c r="Q4" s="1110"/>
      <c r="R4" s="1110"/>
      <c r="S4" s="1110"/>
      <c r="T4" s="1110"/>
      <c r="U4" s="1110"/>
      <c r="V4" s="1110"/>
      <c r="W4" s="1110"/>
      <c r="X4" s="1110"/>
      <c r="Y4" s="1110"/>
    </row>
    <row r="5" spans="1:25" ht="15" customHeight="1" x14ac:dyDescent="0.25">
      <c r="A5" t="s">
        <v>363</v>
      </c>
      <c r="B5" t="s">
        <v>763</v>
      </c>
      <c r="C5" s="631"/>
      <c r="D5" s="631"/>
      <c r="E5" s="631"/>
      <c r="F5" s="631"/>
      <c r="G5" s="631"/>
      <c r="H5" s="962"/>
      <c r="I5" s="962"/>
      <c r="J5" s="962"/>
      <c r="K5" s="631"/>
      <c r="L5" s="631"/>
      <c r="M5" s="631"/>
      <c r="N5" s="631"/>
      <c r="O5" s="631"/>
      <c r="P5" s="631"/>
      <c r="Q5" s="631"/>
      <c r="R5" s="631"/>
      <c r="S5" s="631"/>
      <c r="T5" s="631"/>
      <c r="U5" s="631"/>
      <c r="V5" s="631"/>
      <c r="W5" s="631"/>
      <c r="X5" s="631"/>
      <c r="Y5" s="631"/>
    </row>
    <row r="6" spans="1:25" ht="15" customHeight="1" x14ac:dyDescent="0.25">
      <c r="A6" t="s">
        <v>364</v>
      </c>
      <c r="B6" t="s">
        <v>366</v>
      </c>
      <c r="C6" s="631"/>
      <c r="D6" s="631"/>
      <c r="E6" s="631"/>
      <c r="F6" s="631"/>
      <c r="G6" s="631"/>
      <c r="H6" s="962"/>
      <c r="I6" s="962"/>
      <c r="J6" s="962"/>
      <c r="K6" s="631"/>
      <c r="L6" s="631"/>
      <c r="M6" s="631"/>
      <c r="N6" s="631"/>
      <c r="O6" s="631"/>
      <c r="P6" s="631"/>
      <c r="Q6" s="631"/>
      <c r="R6" s="631"/>
      <c r="S6" s="631"/>
      <c r="T6" s="631"/>
      <c r="U6" s="631"/>
      <c r="V6" s="631"/>
      <c r="W6" s="631"/>
      <c r="X6" s="631"/>
      <c r="Y6" s="631"/>
    </row>
    <row r="7" spans="1:25" ht="15" customHeight="1" x14ac:dyDescent="0.25">
      <c r="A7" t="s">
        <v>365</v>
      </c>
      <c r="B7" t="s">
        <v>367</v>
      </c>
      <c r="C7" s="631"/>
      <c r="D7" s="631"/>
      <c r="E7" s="631"/>
      <c r="F7" s="631"/>
      <c r="G7" s="631"/>
      <c r="H7" s="962"/>
      <c r="I7" s="962"/>
      <c r="J7" s="962"/>
      <c r="K7" s="631"/>
      <c r="L7" s="631"/>
      <c r="M7" s="631"/>
      <c r="N7" s="631"/>
      <c r="O7" s="631"/>
      <c r="P7" s="631"/>
      <c r="Q7" s="631"/>
      <c r="R7" s="631"/>
      <c r="S7" s="631"/>
      <c r="T7" s="631"/>
      <c r="U7" s="631"/>
      <c r="V7" s="631"/>
      <c r="W7" s="631"/>
      <c r="X7" s="631"/>
      <c r="Y7" s="631"/>
    </row>
    <row r="8" spans="1:25" ht="15" customHeight="1" x14ac:dyDescent="0.25">
      <c r="A8"/>
      <c r="B8"/>
      <c r="C8" s="940"/>
      <c r="D8" s="940"/>
      <c r="E8" s="940"/>
      <c r="F8" s="940"/>
      <c r="G8" s="940"/>
      <c r="H8" s="962"/>
      <c r="I8" s="962"/>
      <c r="J8" s="962"/>
      <c r="K8" s="940"/>
      <c r="L8" s="940"/>
      <c r="M8" s="940"/>
      <c r="N8" s="940"/>
      <c r="O8" s="940"/>
      <c r="P8" s="940"/>
      <c r="Q8" s="940"/>
      <c r="R8" s="940"/>
      <c r="S8" s="940"/>
      <c r="T8" s="940"/>
      <c r="U8" s="940"/>
      <c r="V8" s="940"/>
      <c r="W8" s="940"/>
      <c r="X8" s="940"/>
      <c r="Y8" s="940"/>
    </row>
    <row r="9" spans="1:25" ht="27" customHeight="1" x14ac:dyDescent="0.2">
      <c r="A9" s="219"/>
      <c r="B9" s="1111" t="s">
        <v>27</v>
      </c>
      <c r="C9" s="1111"/>
      <c r="D9" s="1111"/>
      <c r="E9" s="1111" t="s">
        <v>28</v>
      </c>
      <c r="F9" s="1111"/>
      <c r="G9" s="1111"/>
      <c r="H9" s="1112" t="s">
        <v>956</v>
      </c>
      <c r="I9" s="1112"/>
      <c r="J9" s="1112"/>
      <c r="K9" s="1111" t="s">
        <v>2</v>
      </c>
      <c r="L9" s="1111"/>
      <c r="M9" s="1111"/>
      <c r="N9" s="1111" t="s">
        <v>90</v>
      </c>
      <c r="O9" s="1111"/>
      <c r="P9" s="1111"/>
      <c r="Q9" s="1111" t="s">
        <v>29</v>
      </c>
      <c r="R9" s="1111"/>
      <c r="S9" s="1111"/>
      <c r="T9" s="1111" t="s">
        <v>26</v>
      </c>
      <c r="U9" s="1111"/>
      <c r="V9" s="1111"/>
      <c r="W9" s="1111" t="s">
        <v>116</v>
      </c>
      <c r="X9" s="1111"/>
      <c r="Y9" s="1111"/>
    </row>
    <row r="10" spans="1:25" ht="25.5" x14ac:dyDescent="0.2">
      <c r="A10" s="633" t="s">
        <v>1</v>
      </c>
      <c r="B10" s="732" t="s">
        <v>117</v>
      </c>
      <c r="C10" s="221" t="s">
        <v>118</v>
      </c>
      <c r="D10" s="733" t="s">
        <v>383</v>
      </c>
      <c r="E10" s="732" t="s">
        <v>117</v>
      </c>
      <c r="F10" s="221" t="s">
        <v>118</v>
      </c>
      <c r="G10" s="733" t="s">
        <v>383</v>
      </c>
      <c r="H10" s="732" t="s">
        <v>117</v>
      </c>
      <c r="I10" s="221" t="s">
        <v>118</v>
      </c>
      <c r="J10" s="733" t="s">
        <v>383</v>
      </c>
      <c r="K10" s="732" t="s">
        <v>117</v>
      </c>
      <c r="L10" s="221" t="s">
        <v>118</v>
      </c>
      <c r="M10" s="733" t="s">
        <v>383</v>
      </c>
      <c r="N10" s="732" t="s">
        <v>117</v>
      </c>
      <c r="O10" s="221" t="s">
        <v>118</v>
      </c>
      <c r="P10" s="733" t="s">
        <v>383</v>
      </c>
      <c r="Q10" s="732" t="s">
        <v>117</v>
      </c>
      <c r="R10" s="221" t="s">
        <v>118</v>
      </c>
      <c r="S10" s="733" t="s">
        <v>383</v>
      </c>
      <c r="T10" s="732" t="s">
        <v>117</v>
      </c>
      <c r="U10" s="221" t="s">
        <v>118</v>
      </c>
      <c r="V10" s="733" t="s">
        <v>383</v>
      </c>
      <c r="W10" s="732" t="s">
        <v>117</v>
      </c>
      <c r="X10" s="221" t="s">
        <v>118</v>
      </c>
      <c r="Y10" s="733" t="s">
        <v>383</v>
      </c>
    </row>
    <row r="11" spans="1:25" ht="22.5" customHeight="1" x14ac:dyDescent="0.2">
      <c r="A11" s="223" t="str">
        <f>'T11'!$A$5</f>
        <v>2011-12</v>
      </c>
      <c r="B11" s="734">
        <f>'h11'!T7</f>
        <v>72.2</v>
      </c>
      <c r="C11" s="735">
        <f>'h11'!U7</f>
        <v>0.8</v>
      </c>
      <c r="D11" s="736">
        <f>'h11'!V7</f>
        <v>27.1</v>
      </c>
      <c r="E11" s="744">
        <f>'h11'!E7</f>
        <v>81.8</v>
      </c>
      <c r="F11" s="735">
        <f>'h11'!F7</f>
        <v>0.2</v>
      </c>
      <c r="G11" s="736">
        <f>'h11'!G7</f>
        <v>18</v>
      </c>
      <c r="H11" s="735"/>
      <c r="I11" s="735"/>
      <c r="J11" s="735"/>
      <c r="K11" s="745">
        <f>'h11'!B7</f>
        <v>84.6</v>
      </c>
      <c r="L11" s="433">
        <f>'h11'!C7</f>
        <v>0.4</v>
      </c>
      <c r="M11" s="746">
        <f>'h11'!D7</f>
        <v>15</v>
      </c>
      <c r="N11" s="745">
        <f>'h11'!H7</f>
        <v>65.5</v>
      </c>
      <c r="O11" s="433">
        <f>'h11'!I7</f>
        <v>1</v>
      </c>
      <c r="P11" s="746">
        <f>'h11'!J7</f>
        <v>33.5</v>
      </c>
      <c r="Q11" s="745">
        <f>'h11'!Q7</f>
        <v>62.7</v>
      </c>
      <c r="R11" s="433">
        <f>'h11'!R7</f>
        <v>0.2</v>
      </c>
      <c r="S11" s="746">
        <f>'h11'!S7</f>
        <v>37</v>
      </c>
      <c r="T11" s="749">
        <f>'h11'!K7</f>
        <v>74.400000000000006</v>
      </c>
      <c r="U11" s="435">
        <f>'h11'!L7</f>
        <v>0.6</v>
      </c>
      <c r="V11" s="750">
        <f>'h11'!M7</f>
        <v>25</v>
      </c>
      <c r="W11" s="756">
        <f>'h11'!N7</f>
        <v>75</v>
      </c>
      <c r="X11" s="757">
        <f>'h11'!O7</f>
        <v>0.6</v>
      </c>
      <c r="Y11" s="758">
        <f>'h11'!P7</f>
        <v>24.4</v>
      </c>
    </row>
    <row r="12" spans="1:25" ht="15" customHeight="1" x14ac:dyDescent="0.2">
      <c r="A12" s="223" t="str">
        <f>'T11'!$A$12</f>
        <v>2012-13</v>
      </c>
      <c r="B12" s="737">
        <f>'h11'!T8</f>
        <v>81.2</v>
      </c>
      <c r="C12" s="224">
        <f>'h11'!U8</f>
        <v>0.7</v>
      </c>
      <c r="D12" s="738">
        <f>'h11'!V8</f>
        <v>18</v>
      </c>
      <c r="E12" s="737">
        <f>'h11'!E8</f>
        <v>80.900000000000006</v>
      </c>
      <c r="F12" s="224">
        <f>'h11'!F8</f>
        <v>0.2</v>
      </c>
      <c r="G12" s="738">
        <f>'h11'!G8</f>
        <v>18.899999999999999</v>
      </c>
      <c r="H12" s="224"/>
      <c r="I12" s="224"/>
      <c r="J12" s="224"/>
      <c r="K12" s="747">
        <f>'h11'!B8</f>
        <v>89.7</v>
      </c>
      <c r="L12" s="225">
        <f>'h11'!C8</f>
        <v>0.4</v>
      </c>
      <c r="M12" s="748">
        <f>'h11'!D8</f>
        <v>9.8000000000000007</v>
      </c>
      <c r="N12" s="747">
        <f>'h11'!H8</f>
        <v>78.400000000000006</v>
      </c>
      <c r="O12" s="225">
        <f>'h11'!I8</f>
        <v>1</v>
      </c>
      <c r="P12" s="748">
        <f>'h11'!J8</f>
        <v>20.6</v>
      </c>
      <c r="Q12" s="747">
        <f>'h11'!Q8</f>
        <v>61.4</v>
      </c>
      <c r="R12" s="225">
        <f>'h11'!R8</f>
        <v>0.5</v>
      </c>
      <c r="S12" s="748">
        <f>'h11'!S8</f>
        <v>38.1</v>
      </c>
      <c r="T12" s="751">
        <f>'h11'!K8</f>
        <v>80.099999999999994</v>
      </c>
      <c r="U12" s="227">
        <f>'h11'!L8</f>
        <v>0.6</v>
      </c>
      <c r="V12" s="752">
        <f>'h11'!M8</f>
        <v>19.3</v>
      </c>
      <c r="W12" s="759">
        <f>'h11'!N8</f>
        <v>81</v>
      </c>
      <c r="X12" s="228">
        <f>'h11'!O8</f>
        <v>0.6</v>
      </c>
      <c r="Y12" s="760">
        <f>'h11'!P8</f>
        <v>18.399999999999999</v>
      </c>
    </row>
    <row r="13" spans="1:25" ht="15" customHeight="1" x14ac:dyDescent="0.2">
      <c r="A13" s="223" t="str">
        <f>'T11'!$A$19</f>
        <v>2013-14</v>
      </c>
      <c r="B13" s="737">
        <f>'h11'!T9</f>
        <v>59.8</v>
      </c>
      <c r="C13" s="224">
        <f>'h11'!U9</f>
        <v>0.6</v>
      </c>
      <c r="D13" s="738">
        <f>'h11'!V9</f>
        <v>39.6</v>
      </c>
      <c r="E13" s="737">
        <f>'h11'!E9</f>
        <v>69.599999999999994</v>
      </c>
      <c r="F13" s="224">
        <f>'h11'!F9</f>
        <v>1.1000000000000001</v>
      </c>
      <c r="G13" s="738">
        <f>'h11'!G9</f>
        <v>29.3</v>
      </c>
      <c r="H13" s="224"/>
      <c r="I13" s="224"/>
      <c r="J13" s="224"/>
      <c r="K13" s="747">
        <f>'h11'!B9</f>
        <v>49.3</v>
      </c>
      <c r="L13" s="225">
        <f>'h11'!C9</f>
        <v>0</v>
      </c>
      <c r="M13" s="748">
        <f>'h11'!D9</f>
        <v>50.7</v>
      </c>
      <c r="N13" s="747">
        <f>'h11'!H9</f>
        <v>55.2</v>
      </c>
      <c r="O13" s="225">
        <f>'h11'!I9</f>
        <v>1</v>
      </c>
      <c r="P13" s="748">
        <f>'h11'!J9</f>
        <v>43.8</v>
      </c>
      <c r="Q13" s="747">
        <f>'h11'!Q9</f>
        <v>30.1</v>
      </c>
      <c r="R13" s="225">
        <f>'h11'!R9</f>
        <v>0.6</v>
      </c>
      <c r="S13" s="748">
        <f>'h11'!S9</f>
        <v>69.400000000000006</v>
      </c>
      <c r="T13" s="751">
        <f>'h11'!K9</f>
        <v>61.1</v>
      </c>
      <c r="U13" s="227">
        <f>'h11'!L9</f>
        <v>0.8</v>
      </c>
      <c r="V13" s="752">
        <f>'h11'!M9</f>
        <v>38.1</v>
      </c>
      <c r="W13" s="759">
        <f>'h11'!N9</f>
        <v>62.5</v>
      </c>
      <c r="X13" s="228">
        <f>'h11'!O9</f>
        <v>0.8</v>
      </c>
      <c r="Y13" s="760">
        <f>'h11'!P9</f>
        <v>36.700000000000003</v>
      </c>
    </row>
    <row r="14" spans="1:25" ht="15" customHeight="1" x14ac:dyDescent="0.2">
      <c r="A14" s="223" t="str">
        <f>'T11'!$A$26</f>
        <v>2014-15</v>
      </c>
      <c r="B14" s="737">
        <f>'h11'!T10</f>
        <v>59.5</v>
      </c>
      <c r="C14" s="224">
        <f>'h11'!U10</f>
        <v>0.6</v>
      </c>
      <c r="D14" s="738">
        <f>'h11'!V10</f>
        <v>39.9</v>
      </c>
      <c r="E14" s="737">
        <f>'h11'!E10</f>
        <v>67</v>
      </c>
      <c r="F14" s="224">
        <f>'h11'!F10</f>
        <v>0.1</v>
      </c>
      <c r="G14" s="738">
        <f>'h11'!G10</f>
        <v>32.799999999999997</v>
      </c>
      <c r="H14" s="224"/>
      <c r="I14" s="224"/>
      <c r="J14" s="224"/>
      <c r="K14" s="747">
        <f>'h11'!B10</f>
        <v>63</v>
      </c>
      <c r="L14" s="225">
        <f>'h11'!C10</f>
        <v>0.4</v>
      </c>
      <c r="M14" s="748">
        <f>'h11'!D10</f>
        <v>36.5</v>
      </c>
      <c r="N14" s="747">
        <f>'h11'!H10</f>
        <v>53.7</v>
      </c>
      <c r="O14" s="225">
        <f>'h11'!I10</f>
        <v>1.2</v>
      </c>
      <c r="P14" s="748">
        <f>'h11'!J10</f>
        <v>45.1</v>
      </c>
      <c r="Q14" s="747">
        <f>'h11'!Q10</f>
        <v>26.7</v>
      </c>
      <c r="R14" s="225">
        <f>'h11'!R10</f>
        <v>0.5</v>
      </c>
      <c r="S14" s="748">
        <f>'h11'!S10</f>
        <v>72.8</v>
      </c>
      <c r="T14" s="751">
        <f>'h11'!K10</f>
        <v>60.2</v>
      </c>
      <c r="U14" s="227">
        <f>'h11'!L10</f>
        <v>0.5</v>
      </c>
      <c r="V14" s="752">
        <f>'h11'!M10</f>
        <v>39.299999999999997</v>
      </c>
      <c r="W14" s="759">
        <f>'h11'!N10</f>
        <v>61.8</v>
      </c>
      <c r="X14" s="228">
        <f>'h11'!O10</f>
        <v>0.5</v>
      </c>
      <c r="Y14" s="760">
        <f>'h11'!P10</f>
        <v>37.700000000000003</v>
      </c>
    </row>
    <row r="15" spans="1:25" ht="15" customHeight="1" x14ac:dyDescent="0.2">
      <c r="A15" s="223" t="str">
        <f>'T11'!$A$33</f>
        <v>2015-16</v>
      </c>
      <c r="B15" s="739">
        <f>'h11'!T11</f>
        <v>53.7</v>
      </c>
      <c r="C15" s="229">
        <f>'h11'!U11</f>
        <v>0.5</v>
      </c>
      <c r="D15" s="740">
        <f>'h11'!V11</f>
        <v>45.7</v>
      </c>
      <c r="E15" s="739">
        <f>'h11'!E11</f>
        <v>60</v>
      </c>
      <c r="F15" s="229">
        <f>'h11'!F11</f>
        <v>0.6</v>
      </c>
      <c r="G15" s="740">
        <f>'h11'!G11</f>
        <v>39.4</v>
      </c>
      <c r="H15" s="229"/>
      <c r="I15" s="229"/>
      <c r="J15" s="229"/>
      <c r="K15" s="747">
        <f>'h11'!B11</f>
        <v>64</v>
      </c>
      <c r="L15" s="225">
        <f>'h11'!C11</f>
        <v>0.5</v>
      </c>
      <c r="M15" s="748">
        <f>'h11'!D11</f>
        <v>35.5</v>
      </c>
      <c r="N15" s="747">
        <f>'h11'!H11</f>
        <v>53.4</v>
      </c>
      <c r="O15" s="225">
        <f>'h11'!I11</f>
        <v>0.8</v>
      </c>
      <c r="P15" s="748">
        <f>'h11'!J11</f>
        <v>45.8</v>
      </c>
      <c r="Q15" s="747">
        <f>'h11'!Q11</f>
        <v>32.5</v>
      </c>
      <c r="R15" s="225">
        <f>'h11'!R11</f>
        <v>0.9</v>
      </c>
      <c r="S15" s="748">
        <f>'h11'!S11</f>
        <v>66.7</v>
      </c>
      <c r="T15" s="751">
        <f>'h11'!K11</f>
        <v>55.3</v>
      </c>
      <c r="U15" s="227">
        <f>'h11'!L11</f>
        <v>0.6</v>
      </c>
      <c r="V15" s="752">
        <f>'h11'!M11</f>
        <v>44.1</v>
      </c>
      <c r="W15" s="761">
        <f>'h11'!N11</f>
        <v>56.3</v>
      </c>
      <c r="X15" s="230">
        <f>'h11'!O11</f>
        <v>0.6</v>
      </c>
      <c r="Y15" s="762">
        <f>'h11'!P11</f>
        <v>43.1</v>
      </c>
    </row>
    <row r="16" spans="1:25" ht="15" customHeight="1" x14ac:dyDescent="0.2">
      <c r="A16" s="223" t="str">
        <f>'T11'!$A$40</f>
        <v>2016-17</v>
      </c>
      <c r="B16" s="737">
        <f>'h11'!T12</f>
        <v>51.2</v>
      </c>
      <c r="C16" s="224">
        <f>'h11'!U12</f>
        <v>0.5</v>
      </c>
      <c r="D16" s="738">
        <f>'h11'!V12</f>
        <v>48.3</v>
      </c>
      <c r="E16" s="737">
        <f>'h11'!E12</f>
        <v>58</v>
      </c>
      <c r="F16" s="224">
        <f>'h11'!F12</f>
        <v>0.6</v>
      </c>
      <c r="G16" s="738">
        <f>'h11'!G12</f>
        <v>41.4</v>
      </c>
      <c r="H16" s="224"/>
      <c r="I16" s="224"/>
      <c r="J16" s="224"/>
      <c r="K16" s="737">
        <f>'h11'!B12</f>
        <v>55.8</v>
      </c>
      <c r="L16" s="224">
        <f>'h11'!C12</f>
        <v>0.6</v>
      </c>
      <c r="M16" s="738">
        <f>'h11'!D12</f>
        <v>43.6</v>
      </c>
      <c r="N16" s="737">
        <f>'h11'!H12</f>
        <v>53.9</v>
      </c>
      <c r="O16" s="224">
        <f>'h11'!I12</f>
        <v>0.6</v>
      </c>
      <c r="P16" s="738">
        <f>'h11'!J12</f>
        <v>45.5</v>
      </c>
      <c r="Q16" s="737">
        <f>'h11'!Q12</f>
        <v>42.7</v>
      </c>
      <c r="R16" s="224">
        <f>'h11'!R12</f>
        <v>0.3</v>
      </c>
      <c r="S16" s="738">
        <f>'h11'!S12</f>
        <v>57</v>
      </c>
      <c r="T16" s="751">
        <f>'h11'!K12</f>
        <v>53.7</v>
      </c>
      <c r="U16" s="227">
        <f>'h11'!L12</f>
        <v>0.6</v>
      </c>
      <c r="V16" s="752">
        <f>'h11'!M12</f>
        <v>45.7</v>
      </c>
      <c r="W16" s="761">
        <f>'h11'!N12</f>
        <v>54.2</v>
      </c>
      <c r="X16" s="230">
        <f>'h11'!O12</f>
        <v>0.6</v>
      </c>
      <c r="Y16" s="762">
        <f>'h11'!P12</f>
        <v>45.2</v>
      </c>
    </row>
    <row r="17" spans="1:25" ht="15" customHeight="1" x14ac:dyDescent="0.2">
      <c r="A17" s="223" t="str">
        <f>'T11'!$A$47</f>
        <v>2017-18</v>
      </c>
      <c r="B17" s="737">
        <f>'h11'!T13</f>
        <v>55.7</v>
      </c>
      <c r="C17" s="224">
        <f>'h11'!U13</f>
        <v>1.2</v>
      </c>
      <c r="D17" s="738">
        <f>'h11'!V13</f>
        <v>43.1</v>
      </c>
      <c r="E17" s="737">
        <f>'h11'!E13</f>
        <v>65.900000000000006</v>
      </c>
      <c r="F17" s="224">
        <f>'h11'!F13</f>
        <v>1.2</v>
      </c>
      <c r="G17" s="738">
        <f>'h11'!G13</f>
        <v>32.9</v>
      </c>
      <c r="H17" s="1019"/>
      <c r="I17" s="1019"/>
      <c r="J17" s="1019"/>
      <c r="K17" s="737">
        <f>'h11'!B13</f>
        <v>52.9</v>
      </c>
      <c r="L17" s="224">
        <f>'h11'!C13</f>
        <v>0.5</v>
      </c>
      <c r="M17" s="738">
        <f>'h11'!D13</f>
        <v>46.6</v>
      </c>
      <c r="N17" s="737">
        <f>'h11'!H13</f>
        <v>61.2</v>
      </c>
      <c r="O17" s="224">
        <f>'h11'!I13</f>
        <v>1.4</v>
      </c>
      <c r="P17" s="738">
        <f>'h11'!J13</f>
        <v>37.4</v>
      </c>
      <c r="Q17" s="737">
        <f>'h11'!Q13</f>
        <v>37.299999999999997</v>
      </c>
      <c r="R17" s="224">
        <f>'h11'!R13</f>
        <v>0.6</v>
      </c>
      <c r="S17" s="738">
        <f>'h11'!S13</f>
        <v>62</v>
      </c>
      <c r="T17" s="751">
        <f>'h11'!K13</f>
        <v>59.2</v>
      </c>
      <c r="U17" s="227">
        <f>'h11'!L13</f>
        <v>1.2</v>
      </c>
      <c r="V17" s="752">
        <f>'h11'!M13</f>
        <v>39.6</v>
      </c>
      <c r="W17" s="761">
        <f>'h11'!N13</f>
        <v>60.2</v>
      </c>
      <c r="X17" s="230">
        <f>'h11'!O13</f>
        <v>1.2</v>
      </c>
      <c r="Y17" s="762">
        <f>'h11'!P13</f>
        <v>38.6</v>
      </c>
    </row>
    <row r="18" spans="1:25" ht="15" customHeight="1" x14ac:dyDescent="0.2">
      <c r="A18" s="223" t="str">
        <f>'T11'!$A$48</f>
        <v>2017-18</v>
      </c>
      <c r="B18" s="737">
        <f>'h11'!T14</f>
        <v>60.4</v>
      </c>
      <c r="C18" s="224">
        <f>'h11'!U14</f>
        <v>1.2</v>
      </c>
      <c r="D18" s="738">
        <f>'h11'!V14</f>
        <v>38.4</v>
      </c>
      <c r="E18" s="737">
        <f>'h11'!E14</f>
        <v>67.599999999999994</v>
      </c>
      <c r="F18" s="224">
        <f>'h11'!F14</f>
        <v>1.1000000000000001</v>
      </c>
      <c r="G18" s="738">
        <f>'h11'!G14</f>
        <v>31.3</v>
      </c>
      <c r="H18" s="1019"/>
      <c r="I18" s="1019"/>
      <c r="J18" s="1019"/>
      <c r="K18" s="737">
        <f>'h11'!B14</f>
        <v>53.6</v>
      </c>
      <c r="L18" s="224">
        <f>'h11'!C14</f>
        <v>1</v>
      </c>
      <c r="M18" s="738">
        <f>'h11'!D14</f>
        <v>45.4</v>
      </c>
      <c r="N18" s="737">
        <f>'h11'!H14</f>
        <v>68.099999999999994</v>
      </c>
      <c r="O18" s="224">
        <f>'h11'!I14</f>
        <v>1.8</v>
      </c>
      <c r="P18" s="738">
        <f>'h11'!J14</f>
        <v>30.2</v>
      </c>
      <c r="Q18" s="737">
        <f>'h11'!Q14</f>
        <v>36.299999999999997</v>
      </c>
      <c r="R18" s="224">
        <f>'h11'!R14</f>
        <v>0.6</v>
      </c>
      <c r="S18" s="738">
        <f>'h11'!S14</f>
        <v>63.1</v>
      </c>
      <c r="T18" s="751">
        <f>'h11'!K14</f>
        <v>62.7</v>
      </c>
      <c r="U18" s="227">
        <f>'h11'!L14</f>
        <v>1.2</v>
      </c>
      <c r="V18" s="752">
        <f>'h11'!M14</f>
        <v>36.1</v>
      </c>
      <c r="W18" s="761">
        <f>'h11'!N14</f>
        <v>63.8</v>
      </c>
      <c r="X18" s="230">
        <f>'h11'!O14</f>
        <v>1.2</v>
      </c>
      <c r="Y18" s="762">
        <f>'h11'!P14</f>
        <v>35</v>
      </c>
    </row>
    <row r="19" spans="1:25" x14ac:dyDescent="0.2">
      <c r="A19" s="223" t="str">
        <f>'T11'!$A$49</f>
        <v>2017-18</v>
      </c>
      <c r="B19" s="741">
        <f>'h11'!T15</f>
        <v>60.5</v>
      </c>
      <c r="C19" s="742">
        <f>'h11'!U15</f>
        <v>1.2</v>
      </c>
      <c r="D19" s="743">
        <f>'h11'!V15</f>
        <v>38.299999999999997</v>
      </c>
      <c r="E19" s="741">
        <f>'h11'!E15</f>
        <v>63.5</v>
      </c>
      <c r="F19" s="742">
        <f>'h11'!F15</f>
        <v>1.1000000000000001</v>
      </c>
      <c r="G19" s="743">
        <f>'h11'!G15</f>
        <v>35.4</v>
      </c>
      <c r="H19" s="742">
        <f>'h11'!W15</f>
        <v>86.1</v>
      </c>
      <c r="I19" s="742">
        <f>'h11'!X15</f>
        <v>0</v>
      </c>
      <c r="J19" s="742">
        <f>'h11'!Y15</f>
        <v>13.9</v>
      </c>
      <c r="K19" s="741">
        <f>'h11'!B15</f>
        <v>53.2</v>
      </c>
      <c r="L19" s="742">
        <f>'h11'!C15</f>
        <v>1.1000000000000001</v>
      </c>
      <c r="M19" s="743">
        <f>'h11'!D15</f>
        <v>45.7</v>
      </c>
      <c r="N19" s="741">
        <f>'h11'!H15</f>
        <v>67</v>
      </c>
      <c r="O19" s="742">
        <f>'h11'!I15</f>
        <v>1.6</v>
      </c>
      <c r="P19" s="743">
        <f>'h11'!J15</f>
        <v>31.4</v>
      </c>
      <c r="Q19" s="741">
        <f>'h11'!Q15</f>
        <v>34.6</v>
      </c>
      <c r="R19" s="742">
        <f>'h11'!R15</f>
        <v>0.6</v>
      </c>
      <c r="S19" s="743">
        <f>'h11'!S15</f>
        <v>64.8</v>
      </c>
      <c r="T19" s="753">
        <f>'h11'!K15</f>
        <v>61.2</v>
      </c>
      <c r="U19" s="754">
        <f>'h11'!L15</f>
        <v>1.2</v>
      </c>
      <c r="V19" s="755">
        <f>'h11'!M15</f>
        <v>37.6</v>
      </c>
      <c r="W19" s="763">
        <f>'h11'!N15</f>
        <v>62.3</v>
      </c>
      <c r="X19" s="764">
        <f>'h11'!O15</f>
        <v>1.2</v>
      </c>
      <c r="Y19" s="765">
        <f>'h11'!P15</f>
        <v>36.5</v>
      </c>
    </row>
    <row r="20" spans="1:25" ht="15" customHeight="1" x14ac:dyDescent="0.2">
      <c r="A20" s="231"/>
      <c r="B20" s="432"/>
      <c r="C20" s="432"/>
      <c r="D20" s="432"/>
      <c r="E20" s="432"/>
      <c r="F20" s="432"/>
      <c r="G20" s="432"/>
      <c r="H20" s="432"/>
      <c r="I20" s="432"/>
      <c r="J20" s="432"/>
      <c r="K20" s="432"/>
      <c r="L20" s="432"/>
      <c r="M20" s="432"/>
      <c r="N20" s="432"/>
      <c r="O20" s="432"/>
      <c r="P20" s="432"/>
      <c r="Q20" s="432"/>
      <c r="R20" s="432"/>
      <c r="S20" s="432"/>
      <c r="T20" s="231"/>
      <c r="U20" s="231"/>
      <c r="V20" s="231"/>
      <c r="W20" s="231"/>
      <c r="X20" s="231"/>
      <c r="Y20" s="231"/>
    </row>
    <row r="21" spans="1:25" ht="15" x14ac:dyDescent="0.25">
      <c r="A21" s="491" t="s">
        <v>8</v>
      </c>
      <c r="B21" s="178"/>
      <c r="C21" s="232"/>
      <c r="D21" s="232"/>
      <c r="E21" s="232"/>
      <c r="F21" s="232"/>
      <c r="G21" s="31"/>
      <c r="H21" s="31"/>
      <c r="I21" s="31"/>
      <c r="J21" s="31"/>
      <c r="K21" s="31"/>
      <c r="L21" s="31"/>
      <c r="M21" s="31"/>
      <c r="N21" s="31"/>
      <c r="O21" s="31"/>
      <c r="P21" s="31"/>
      <c r="Q21" s="31"/>
      <c r="R21" s="31"/>
      <c r="S21" s="31"/>
      <c r="T21" s="31"/>
      <c r="U21" s="31"/>
      <c r="V21" s="31"/>
      <c r="W21" s="31"/>
      <c r="X21" s="31"/>
      <c r="Y21" s="31"/>
    </row>
    <row r="22" spans="1:25" ht="15" x14ac:dyDescent="0.25">
      <c r="A22" s="498" t="s">
        <v>236</v>
      </c>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 x14ac:dyDescent="0.25">
      <c r="A23" s="498" t="s">
        <v>982</v>
      </c>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30" customHeight="1" x14ac:dyDescent="0.25">
      <c r="A24" s="1109" t="s">
        <v>243</v>
      </c>
      <c r="B24" s="1109"/>
      <c r="C24" s="1109"/>
      <c r="D24" s="1109"/>
      <c r="E24" s="1109"/>
      <c r="F24" s="1109"/>
      <c r="G24" s="1109"/>
      <c r="H24" s="1109"/>
      <c r="I24" s="1109"/>
      <c r="J24" s="1109"/>
      <c r="K24" s="1109"/>
      <c r="L24" s="1109"/>
      <c r="M24" s="1109"/>
      <c r="N24" s="1109"/>
      <c r="O24" s="1109"/>
      <c r="P24" s="1109"/>
      <c r="Q24" s="1109"/>
      <c r="R24" s="1109"/>
      <c r="S24" s="1109"/>
      <c r="T24" s="1109"/>
      <c r="U24" s="1109"/>
      <c r="V24" s="1109"/>
      <c r="W24" s="1109"/>
      <c r="X24" s="1109"/>
      <c r="Y24" s="1109"/>
    </row>
  </sheetData>
  <sheetProtection algorithmName="SHA-512" hashValue="dozGfUqY7AZuRbHykJkt4kO6w5iGwWtUohkMt8/n+24pxEU1hvs6objhxxBKKv3MzDUA+A3RMsP8cdTIljOoQw==" saltValue="19PHYebDbOrLfnlE/gQblg==" spinCount="100000" sheet="1" scenarios="1" formatCells="0" formatColumns="0" formatRows="0" sort="0" autoFilter="0" pivotTables="0"/>
  <mergeCells count="11">
    <mergeCell ref="A1:C1"/>
    <mergeCell ref="A24:Y24"/>
    <mergeCell ref="A4:Y4"/>
    <mergeCell ref="B9:D9"/>
    <mergeCell ref="E9:G9"/>
    <mergeCell ref="K9:M9"/>
    <mergeCell ref="N9:P9"/>
    <mergeCell ref="Q9:S9"/>
    <mergeCell ref="T9:V9"/>
    <mergeCell ref="W9:Y9"/>
    <mergeCell ref="H9:J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4:Y16"/>
  <sheetViews>
    <sheetView topLeftCell="P1" workbookViewId="0">
      <selection activeCell="W15" sqref="W15"/>
    </sheetView>
  </sheetViews>
  <sheetFormatPr defaultRowHeight="15" x14ac:dyDescent="0.25"/>
  <cols>
    <col min="1" max="1" width="13.140625" customWidth="1"/>
    <col min="2" max="2" width="16.28515625" customWidth="1"/>
    <col min="3" max="3" width="21.5703125" customWidth="1"/>
    <col min="4" max="4" width="17.28515625" customWidth="1"/>
    <col min="5" max="5" width="13.28515625" customWidth="1"/>
    <col min="6" max="6" width="21.5703125" customWidth="1"/>
    <col min="7" max="7" width="17.28515625" customWidth="1"/>
    <col min="8" max="8" width="13.28515625" customWidth="1"/>
    <col min="9" max="9" width="21.5703125" customWidth="1"/>
    <col min="10" max="10" width="17.28515625" bestFit="1" customWidth="1"/>
    <col min="11" max="11" width="13.28515625" customWidth="1"/>
    <col min="12" max="12" width="21.5703125" customWidth="1"/>
    <col min="13" max="13" width="17.28515625" customWidth="1"/>
    <col min="14" max="14" width="13.28515625" customWidth="1"/>
    <col min="15" max="15" width="21.5703125" customWidth="1"/>
    <col min="16" max="16" width="17.28515625" customWidth="1"/>
    <col min="17" max="17" width="13.28515625" customWidth="1"/>
    <col min="18" max="18" width="21.5703125" customWidth="1"/>
    <col min="19" max="19" width="17.28515625" bestFit="1" customWidth="1"/>
    <col min="20" max="20" width="13.28515625" bestFit="1" customWidth="1"/>
    <col min="21" max="21" width="21.5703125" customWidth="1"/>
    <col min="22" max="22" width="17.28515625" customWidth="1"/>
    <col min="23" max="23" width="13.28515625" bestFit="1" customWidth="1"/>
    <col min="24" max="24" width="21.5703125" bestFit="1" customWidth="1"/>
    <col min="25" max="25" width="17.28515625" bestFit="1" customWidth="1"/>
    <col min="26" max="27" width="5" customWidth="1"/>
    <col min="28" max="28" width="12.85546875" bestFit="1" customWidth="1"/>
    <col min="29" max="29" width="7.28515625" customWidth="1"/>
    <col min="30" max="36" width="5" customWidth="1"/>
    <col min="37" max="37" width="10.28515625" bestFit="1" customWidth="1"/>
    <col min="38" max="38" width="14.7109375" bestFit="1" customWidth="1"/>
    <col min="39" max="43" width="5" customWidth="1"/>
    <col min="44" max="45" width="3" customWidth="1"/>
    <col min="46" max="46" width="18" bestFit="1" customWidth="1"/>
    <col min="47" max="47" width="5.85546875" customWidth="1"/>
    <col min="48" max="54" width="5" customWidth="1"/>
    <col min="55" max="55" width="8.85546875" customWidth="1"/>
    <col min="56" max="56" width="5.85546875" customWidth="1"/>
    <col min="57" max="63" width="5" customWidth="1"/>
    <col min="64" max="64" width="8.85546875" customWidth="1"/>
    <col min="65" max="65" width="11.28515625" bestFit="1" customWidth="1"/>
  </cols>
  <sheetData>
    <row r="4" spans="1:25" x14ac:dyDescent="0.25">
      <c r="B4" s="565" t="s">
        <v>271</v>
      </c>
    </row>
    <row r="5" spans="1:25" x14ac:dyDescent="0.25">
      <c r="B5" t="s">
        <v>2</v>
      </c>
      <c r="E5" t="s">
        <v>9</v>
      </c>
      <c r="H5" t="s">
        <v>3</v>
      </c>
      <c r="K5" t="s">
        <v>26</v>
      </c>
      <c r="N5" t="s">
        <v>324</v>
      </c>
      <c r="Q5" t="s">
        <v>315</v>
      </c>
      <c r="T5" t="s">
        <v>316</v>
      </c>
      <c r="W5" t="s">
        <v>852</v>
      </c>
    </row>
    <row r="6" spans="1:25" x14ac:dyDescent="0.25">
      <c r="A6" s="565" t="s">
        <v>246</v>
      </c>
      <c r="B6" t="s">
        <v>326</v>
      </c>
      <c r="C6" t="s">
        <v>328</v>
      </c>
      <c r="D6" t="s">
        <v>327</v>
      </c>
      <c r="E6" t="s">
        <v>326</v>
      </c>
      <c r="F6" t="s">
        <v>328</v>
      </c>
      <c r="G6" t="s">
        <v>327</v>
      </c>
      <c r="H6" t="s">
        <v>326</v>
      </c>
      <c r="I6" t="s">
        <v>328</v>
      </c>
      <c r="J6" t="s">
        <v>327</v>
      </c>
      <c r="K6" t="s">
        <v>326</v>
      </c>
      <c r="L6" t="s">
        <v>328</v>
      </c>
      <c r="M6" t="s">
        <v>327</v>
      </c>
      <c r="N6" t="s">
        <v>326</v>
      </c>
      <c r="O6" t="s">
        <v>328</v>
      </c>
      <c r="P6" t="s">
        <v>327</v>
      </c>
      <c r="Q6" t="s">
        <v>326</v>
      </c>
      <c r="R6" t="s">
        <v>328</v>
      </c>
      <c r="S6" t="s">
        <v>327</v>
      </c>
      <c r="T6" t="s">
        <v>326</v>
      </c>
      <c r="U6" t="s">
        <v>328</v>
      </c>
      <c r="V6" t="s">
        <v>327</v>
      </c>
      <c r="W6" t="s">
        <v>326</v>
      </c>
      <c r="X6" t="s">
        <v>328</v>
      </c>
      <c r="Y6" t="s">
        <v>327</v>
      </c>
    </row>
    <row r="7" spans="1:25" x14ac:dyDescent="0.25">
      <c r="A7" s="1068" t="s">
        <v>325</v>
      </c>
      <c r="B7" s="567">
        <v>84.6</v>
      </c>
      <c r="C7" s="567">
        <v>0.4</v>
      </c>
      <c r="D7" s="567">
        <v>15</v>
      </c>
      <c r="E7" s="567">
        <v>81.8</v>
      </c>
      <c r="F7" s="567">
        <v>0.2</v>
      </c>
      <c r="G7" s="567">
        <v>18</v>
      </c>
      <c r="H7" s="567">
        <v>65.5</v>
      </c>
      <c r="I7" s="567">
        <v>1</v>
      </c>
      <c r="J7" s="567">
        <v>33.5</v>
      </c>
      <c r="K7" s="567">
        <v>74.400000000000006</v>
      </c>
      <c r="L7" s="567">
        <v>0.6</v>
      </c>
      <c r="M7" s="567">
        <v>25</v>
      </c>
      <c r="N7" s="567">
        <v>75</v>
      </c>
      <c r="O7" s="567">
        <v>0.6</v>
      </c>
      <c r="P7" s="567">
        <v>24.4</v>
      </c>
      <c r="Q7" s="567">
        <v>62.7</v>
      </c>
      <c r="R7" s="567">
        <v>0.2</v>
      </c>
      <c r="S7" s="567">
        <v>37</v>
      </c>
      <c r="T7" s="567">
        <v>72.2</v>
      </c>
      <c r="U7" s="567">
        <v>0.8</v>
      </c>
      <c r="V7" s="567">
        <v>27.1</v>
      </c>
      <c r="W7" s="567"/>
      <c r="X7" s="567"/>
      <c r="Y7" s="567"/>
    </row>
    <row r="8" spans="1:25" x14ac:dyDescent="0.25">
      <c r="A8" s="1068" t="s">
        <v>205</v>
      </c>
      <c r="B8" s="567">
        <v>89.7</v>
      </c>
      <c r="C8" s="567">
        <v>0.4</v>
      </c>
      <c r="D8" s="567">
        <v>9.8000000000000007</v>
      </c>
      <c r="E8" s="567">
        <v>80.900000000000006</v>
      </c>
      <c r="F8" s="567">
        <v>0.2</v>
      </c>
      <c r="G8" s="567">
        <v>18.899999999999999</v>
      </c>
      <c r="H8" s="567">
        <v>78.400000000000006</v>
      </c>
      <c r="I8" s="567">
        <v>1</v>
      </c>
      <c r="J8" s="567">
        <v>20.6</v>
      </c>
      <c r="K8" s="567">
        <v>80.099999999999994</v>
      </c>
      <c r="L8" s="567">
        <v>0.6</v>
      </c>
      <c r="M8" s="567">
        <v>19.3</v>
      </c>
      <c r="N8" s="567">
        <v>81</v>
      </c>
      <c r="O8" s="567">
        <v>0.6</v>
      </c>
      <c r="P8" s="567">
        <v>18.399999999999999</v>
      </c>
      <c r="Q8" s="567">
        <v>61.4</v>
      </c>
      <c r="R8" s="567">
        <v>0.5</v>
      </c>
      <c r="S8" s="567">
        <v>38.1</v>
      </c>
      <c r="T8" s="567">
        <v>81.2</v>
      </c>
      <c r="U8" s="567">
        <v>0.7</v>
      </c>
      <c r="V8" s="567">
        <v>18</v>
      </c>
      <c r="W8" s="567"/>
      <c r="X8" s="567"/>
      <c r="Y8" s="567"/>
    </row>
    <row r="9" spans="1:25" x14ac:dyDescent="0.25">
      <c r="A9" s="1068" t="s">
        <v>204</v>
      </c>
      <c r="B9" s="567">
        <v>49.3</v>
      </c>
      <c r="C9" s="567"/>
      <c r="D9" s="567">
        <v>50.7</v>
      </c>
      <c r="E9" s="567">
        <v>69.599999999999994</v>
      </c>
      <c r="F9" s="567">
        <v>1.1000000000000001</v>
      </c>
      <c r="G9" s="567">
        <v>29.3</v>
      </c>
      <c r="H9" s="567">
        <v>55.2</v>
      </c>
      <c r="I9" s="567">
        <v>1</v>
      </c>
      <c r="J9" s="567">
        <v>43.8</v>
      </c>
      <c r="K9" s="567">
        <v>61.1</v>
      </c>
      <c r="L9" s="567">
        <v>0.8</v>
      </c>
      <c r="M9" s="567">
        <v>38.1</v>
      </c>
      <c r="N9" s="567">
        <v>62.5</v>
      </c>
      <c r="O9" s="567">
        <v>0.8</v>
      </c>
      <c r="P9" s="567">
        <v>36.700000000000003</v>
      </c>
      <c r="Q9" s="567">
        <v>30.1</v>
      </c>
      <c r="R9" s="567">
        <v>0.6</v>
      </c>
      <c r="S9" s="567">
        <v>69.400000000000006</v>
      </c>
      <c r="T9" s="567">
        <v>59.8</v>
      </c>
      <c r="U9" s="567">
        <v>0.6</v>
      </c>
      <c r="V9" s="567">
        <v>39.6</v>
      </c>
      <c r="W9" s="567"/>
      <c r="X9" s="567"/>
      <c r="Y9" s="567"/>
    </row>
    <row r="10" spans="1:25" x14ac:dyDescent="0.25">
      <c r="A10" s="1068" t="s">
        <v>203</v>
      </c>
      <c r="B10" s="567">
        <v>63</v>
      </c>
      <c r="C10" s="567">
        <v>0.4</v>
      </c>
      <c r="D10" s="567">
        <v>36.5</v>
      </c>
      <c r="E10" s="567">
        <v>67</v>
      </c>
      <c r="F10" s="567">
        <v>0.1</v>
      </c>
      <c r="G10" s="567">
        <v>32.799999999999997</v>
      </c>
      <c r="H10" s="567">
        <v>53.7</v>
      </c>
      <c r="I10" s="567">
        <v>1.2</v>
      </c>
      <c r="J10" s="567">
        <v>45.1</v>
      </c>
      <c r="K10" s="567">
        <v>60.2</v>
      </c>
      <c r="L10" s="567">
        <v>0.5</v>
      </c>
      <c r="M10" s="567">
        <v>39.299999999999997</v>
      </c>
      <c r="N10" s="567">
        <v>61.8</v>
      </c>
      <c r="O10" s="567">
        <v>0.5</v>
      </c>
      <c r="P10" s="567">
        <v>37.700000000000003</v>
      </c>
      <c r="Q10" s="567">
        <v>26.7</v>
      </c>
      <c r="R10" s="567">
        <v>0.5</v>
      </c>
      <c r="S10" s="567">
        <v>72.8</v>
      </c>
      <c r="T10" s="567">
        <v>59.5</v>
      </c>
      <c r="U10" s="567">
        <v>0.6</v>
      </c>
      <c r="V10" s="567">
        <v>39.9</v>
      </c>
      <c r="W10" s="567"/>
      <c r="X10" s="567"/>
      <c r="Y10" s="567"/>
    </row>
    <row r="11" spans="1:25" x14ac:dyDescent="0.25">
      <c r="A11" s="1068" t="s">
        <v>202</v>
      </c>
      <c r="B11" s="567">
        <v>64</v>
      </c>
      <c r="C11" s="567">
        <v>0.5</v>
      </c>
      <c r="D11" s="567">
        <v>35.5</v>
      </c>
      <c r="E11" s="567">
        <v>60</v>
      </c>
      <c r="F11" s="567">
        <v>0.6</v>
      </c>
      <c r="G11" s="567">
        <v>39.4</v>
      </c>
      <c r="H11" s="567">
        <v>53.4</v>
      </c>
      <c r="I11" s="567">
        <v>0.8</v>
      </c>
      <c r="J11" s="567">
        <v>45.8</v>
      </c>
      <c r="K11" s="567">
        <v>55.3</v>
      </c>
      <c r="L11" s="567">
        <v>0.6</v>
      </c>
      <c r="M11" s="567">
        <v>44.1</v>
      </c>
      <c r="N11" s="567">
        <v>56.3</v>
      </c>
      <c r="O11" s="567">
        <v>0.6</v>
      </c>
      <c r="P11" s="567">
        <v>43.1</v>
      </c>
      <c r="Q11" s="567">
        <v>32.5</v>
      </c>
      <c r="R11" s="567">
        <v>0.9</v>
      </c>
      <c r="S11" s="567">
        <v>66.7</v>
      </c>
      <c r="T11" s="567">
        <v>53.7</v>
      </c>
      <c r="U11" s="567">
        <v>0.5</v>
      </c>
      <c r="V11" s="567">
        <v>45.7</v>
      </c>
      <c r="W11" s="567"/>
      <c r="X11" s="567"/>
      <c r="Y11" s="567"/>
    </row>
    <row r="12" spans="1:25" x14ac:dyDescent="0.25">
      <c r="A12" s="1068" t="s">
        <v>273</v>
      </c>
      <c r="B12" s="567">
        <v>55.8</v>
      </c>
      <c r="C12" s="567">
        <v>0.6</v>
      </c>
      <c r="D12" s="567">
        <v>43.6</v>
      </c>
      <c r="E12" s="567">
        <v>58</v>
      </c>
      <c r="F12" s="567">
        <v>0.6</v>
      </c>
      <c r="G12" s="567">
        <v>41.4</v>
      </c>
      <c r="H12" s="567">
        <v>53.9</v>
      </c>
      <c r="I12" s="567">
        <v>0.6</v>
      </c>
      <c r="J12" s="567">
        <v>45.5</v>
      </c>
      <c r="K12" s="567">
        <v>53.7</v>
      </c>
      <c r="L12" s="567">
        <v>0.6</v>
      </c>
      <c r="M12" s="567">
        <v>45.7</v>
      </c>
      <c r="N12" s="567">
        <v>54.2</v>
      </c>
      <c r="O12" s="567">
        <v>0.6</v>
      </c>
      <c r="P12" s="567">
        <v>45.2</v>
      </c>
      <c r="Q12" s="567">
        <v>42.7</v>
      </c>
      <c r="R12" s="567">
        <v>0.3</v>
      </c>
      <c r="S12" s="567">
        <v>57</v>
      </c>
      <c r="T12" s="567">
        <v>51.2</v>
      </c>
      <c r="U12" s="567">
        <v>0.5</v>
      </c>
      <c r="V12" s="567">
        <v>48.3</v>
      </c>
      <c r="W12" s="567"/>
      <c r="X12" s="567"/>
      <c r="Y12" s="567"/>
    </row>
    <row r="13" spans="1:25" x14ac:dyDescent="0.25">
      <c r="A13" s="1068" t="s">
        <v>255</v>
      </c>
      <c r="B13" s="567">
        <v>52.9</v>
      </c>
      <c r="C13" s="567">
        <v>0.5</v>
      </c>
      <c r="D13" s="567">
        <v>46.6</v>
      </c>
      <c r="E13" s="567">
        <v>65.900000000000006</v>
      </c>
      <c r="F13" s="567">
        <v>1.2</v>
      </c>
      <c r="G13" s="567">
        <v>32.9</v>
      </c>
      <c r="H13" s="567">
        <v>61.2</v>
      </c>
      <c r="I13" s="567">
        <v>1.4</v>
      </c>
      <c r="J13" s="567">
        <v>37.4</v>
      </c>
      <c r="K13" s="567">
        <v>59.2</v>
      </c>
      <c r="L13" s="567">
        <v>1.2</v>
      </c>
      <c r="M13" s="567">
        <v>39.6</v>
      </c>
      <c r="N13" s="567">
        <v>60.2</v>
      </c>
      <c r="O13" s="567">
        <v>1.2</v>
      </c>
      <c r="P13" s="567">
        <v>38.6</v>
      </c>
      <c r="Q13" s="567">
        <v>37.299999999999997</v>
      </c>
      <c r="R13" s="567">
        <v>0.6</v>
      </c>
      <c r="S13" s="567">
        <v>62</v>
      </c>
      <c r="T13" s="567">
        <v>55.7</v>
      </c>
      <c r="U13" s="567">
        <v>1.2</v>
      </c>
      <c r="V13" s="567">
        <v>43.1</v>
      </c>
      <c r="W13" s="567"/>
      <c r="X13" s="567"/>
      <c r="Y13" s="567"/>
    </row>
    <row r="14" spans="1:25" x14ac:dyDescent="0.25">
      <c r="A14" s="1068" t="s">
        <v>254</v>
      </c>
      <c r="B14" s="567">
        <v>53.6</v>
      </c>
      <c r="C14" s="567">
        <v>1</v>
      </c>
      <c r="D14" s="567">
        <v>45.4</v>
      </c>
      <c r="E14" s="567">
        <v>67.599999999999994</v>
      </c>
      <c r="F14" s="567">
        <v>1.1000000000000001</v>
      </c>
      <c r="G14" s="567">
        <v>31.3</v>
      </c>
      <c r="H14" s="567">
        <v>68.099999999999994</v>
      </c>
      <c r="I14" s="567">
        <v>1.8</v>
      </c>
      <c r="J14" s="567">
        <v>30.2</v>
      </c>
      <c r="K14" s="567">
        <v>62.7</v>
      </c>
      <c r="L14" s="567">
        <v>1.2</v>
      </c>
      <c r="M14" s="567">
        <v>36.1</v>
      </c>
      <c r="N14" s="567">
        <v>63.8</v>
      </c>
      <c r="O14" s="567">
        <v>1.2</v>
      </c>
      <c r="P14" s="567">
        <v>35</v>
      </c>
      <c r="Q14" s="567">
        <v>36.299999999999997</v>
      </c>
      <c r="R14" s="567">
        <v>0.6</v>
      </c>
      <c r="S14" s="567">
        <v>63.1</v>
      </c>
      <c r="T14" s="567">
        <v>60.4</v>
      </c>
      <c r="U14" s="567">
        <v>1.2</v>
      </c>
      <c r="V14" s="567">
        <v>38.4</v>
      </c>
      <c r="W14" s="567"/>
      <c r="X14" s="567"/>
      <c r="Y14" s="567"/>
    </row>
    <row r="15" spans="1:25" x14ac:dyDescent="0.25">
      <c r="A15" s="1068" t="s">
        <v>851</v>
      </c>
      <c r="B15" s="567">
        <v>53.2</v>
      </c>
      <c r="C15" s="567">
        <v>1.1000000000000001</v>
      </c>
      <c r="D15" s="567">
        <v>45.7</v>
      </c>
      <c r="E15" s="567">
        <v>63.5</v>
      </c>
      <c r="F15" s="567">
        <v>1.1000000000000001</v>
      </c>
      <c r="G15" s="567">
        <v>35.4</v>
      </c>
      <c r="H15" s="567">
        <v>67</v>
      </c>
      <c r="I15" s="567">
        <v>1.6</v>
      </c>
      <c r="J15" s="567">
        <v>31.4</v>
      </c>
      <c r="K15" s="567">
        <v>61.2</v>
      </c>
      <c r="L15" s="567">
        <v>1.2</v>
      </c>
      <c r="M15" s="567">
        <v>37.6</v>
      </c>
      <c r="N15" s="567">
        <v>62.3</v>
      </c>
      <c r="O15" s="567">
        <v>1.2</v>
      </c>
      <c r="P15" s="567">
        <v>36.5</v>
      </c>
      <c r="Q15" s="567">
        <v>34.6</v>
      </c>
      <c r="R15" s="567">
        <v>0.6</v>
      </c>
      <c r="S15" s="567">
        <v>64.8</v>
      </c>
      <c r="T15" s="567">
        <v>60.5</v>
      </c>
      <c r="U15" s="567">
        <v>1.2</v>
      </c>
      <c r="V15" s="567">
        <v>38.299999999999997</v>
      </c>
      <c r="W15" s="567">
        <v>86.1</v>
      </c>
      <c r="X15" s="567"/>
      <c r="Y15" s="567">
        <v>13.9</v>
      </c>
    </row>
    <row r="16" spans="1:25" x14ac:dyDescent="0.25">
      <c r="A16" s="1068" t="s">
        <v>251</v>
      </c>
      <c r="B16" s="567">
        <v>566.1</v>
      </c>
      <c r="C16" s="567">
        <v>4.9000000000000004</v>
      </c>
      <c r="D16" s="567">
        <v>328.79999999999995</v>
      </c>
      <c r="E16" s="567">
        <v>614.29999999999995</v>
      </c>
      <c r="F16" s="567">
        <v>6.1999999999999993</v>
      </c>
      <c r="G16" s="567">
        <v>279.40000000000003</v>
      </c>
      <c r="H16" s="567">
        <v>556.4</v>
      </c>
      <c r="I16" s="567">
        <v>10.4</v>
      </c>
      <c r="J16" s="567">
        <v>333.29999999999995</v>
      </c>
      <c r="K16" s="567">
        <v>567.9</v>
      </c>
      <c r="L16" s="567">
        <v>7.3000000000000007</v>
      </c>
      <c r="M16" s="567">
        <v>324.8</v>
      </c>
      <c r="N16" s="567">
        <v>577.09999999999991</v>
      </c>
      <c r="O16" s="567">
        <v>7.3000000000000007</v>
      </c>
      <c r="P16" s="567">
        <v>315.60000000000002</v>
      </c>
      <c r="Q16" s="567">
        <v>364.3</v>
      </c>
      <c r="R16" s="567">
        <v>4.7999999999999989</v>
      </c>
      <c r="S16" s="567">
        <v>530.9</v>
      </c>
      <c r="T16" s="567">
        <v>554.19999999999993</v>
      </c>
      <c r="U16" s="567">
        <v>7.3000000000000007</v>
      </c>
      <c r="V16" s="567">
        <v>338.40000000000003</v>
      </c>
      <c r="W16" s="567">
        <v>86.1</v>
      </c>
      <c r="X16" s="567"/>
      <c r="Y16" s="567">
        <v>13.9</v>
      </c>
    </row>
  </sheetData>
  <sheetProtection algorithmName="SHA-512" hashValue="yREJg+JPSLIg7pkMXp8/G4ATpiO2yLRsJc5xnFjoInn0Zf1vuJ99VZ8clIzDdlJm3+WPaOoWo9t2HDGx+mGv0g==" saltValue="DTpTRrwNm32qUUKejjHOAg==" spinCount="100000" sheet="1" scenarios="1" formatCells="0" formatColumns="0" formatRows="0" sort="0"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18"/>
  <sheetViews>
    <sheetView showGridLines="0" workbookViewId="0">
      <pane ySplit="2" topLeftCell="A3" activePane="bottomLeft" state="frozen"/>
      <selection pane="bottomLeft" sqref="A1:C1"/>
    </sheetView>
  </sheetViews>
  <sheetFormatPr defaultRowHeight="15" x14ac:dyDescent="0.25"/>
  <cols>
    <col min="1" max="1" width="17.5703125" customWidth="1"/>
    <col min="2" max="7" width="14" customWidth="1"/>
  </cols>
  <sheetData>
    <row r="1" spans="1:8" ht="15.75" customHeight="1" x14ac:dyDescent="0.25">
      <c r="A1" s="1077" t="s">
        <v>590</v>
      </c>
      <c r="B1" s="1077"/>
      <c r="C1" s="1077"/>
    </row>
    <row r="2" spans="1:8" ht="15.75" x14ac:dyDescent="0.25">
      <c r="A2" s="772" t="s">
        <v>578</v>
      </c>
      <c r="B2" s="774"/>
      <c r="C2" s="774"/>
    </row>
    <row r="3" spans="1:8" ht="15.75" x14ac:dyDescent="0.25">
      <c r="D3" s="242"/>
      <c r="E3" s="242"/>
      <c r="F3" s="242"/>
    </row>
    <row r="4" spans="1:8" ht="15.75" x14ac:dyDescent="0.25">
      <c r="A4" s="1078" t="s">
        <v>589</v>
      </c>
      <c r="B4" s="1078"/>
      <c r="C4" s="1078"/>
      <c r="D4" s="1078"/>
      <c r="E4" s="1078"/>
      <c r="F4" s="1078"/>
    </row>
    <row r="5" spans="1:8" ht="15.75" x14ac:dyDescent="0.25">
      <c r="A5" t="s">
        <v>363</v>
      </c>
      <c r="B5" t="s">
        <v>711</v>
      </c>
      <c r="C5" s="777"/>
      <c r="D5" s="777"/>
      <c r="E5" s="777"/>
      <c r="F5" s="777"/>
    </row>
    <row r="6" spans="1:8" ht="15.75" x14ac:dyDescent="0.25">
      <c r="A6" t="s">
        <v>364</v>
      </c>
      <c r="B6" t="s">
        <v>366</v>
      </c>
      <c r="C6" s="777"/>
      <c r="D6" s="777"/>
    </row>
    <row r="7" spans="1:8" ht="15.75" x14ac:dyDescent="0.25">
      <c r="A7" t="s">
        <v>365</v>
      </c>
      <c r="B7" t="s">
        <v>367</v>
      </c>
      <c r="C7" s="777"/>
      <c r="D7" s="777"/>
    </row>
    <row r="8" spans="1:8" ht="15.75" x14ac:dyDescent="0.25">
      <c r="A8" s="777"/>
      <c r="B8" s="777"/>
      <c r="C8" s="777"/>
      <c r="D8" s="777"/>
    </row>
    <row r="9" spans="1:8" s="689" customFormat="1" ht="30.75" customHeight="1" x14ac:dyDescent="0.25">
      <c r="A9" s="220" t="s">
        <v>1</v>
      </c>
      <c r="B9" s="211" t="s">
        <v>119</v>
      </c>
      <c r="C9" s="211" t="s">
        <v>385</v>
      </c>
      <c r="D9" s="211" t="s">
        <v>384</v>
      </c>
      <c r="E9" s="211" t="s">
        <v>195</v>
      </c>
      <c r="F9" s="211" t="s">
        <v>29</v>
      </c>
      <c r="G9" s="211" t="s">
        <v>26</v>
      </c>
    </row>
    <row r="10" spans="1:8" x14ac:dyDescent="0.25">
      <c r="A10" s="223" t="s">
        <v>273</v>
      </c>
      <c r="B10" s="244">
        <v>50</v>
      </c>
      <c r="C10" s="244">
        <v>1</v>
      </c>
      <c r="D10" s="244">
        <v>23</v>
      </c>
      <c r="E10" s="244">
        <v>240</v>
      </c>
      <c r="F10" s="245">
        <v>43</v>
      </c>
      <c r="G10" s="792">
        <v>357</v>
      </c>
    </row>
    <row r="11" spans="1:8" x14ac:dyDescent="0.25">
      <c r="A11" s="223" t="s">
        <v>255</v>
      </c>
      <c r="B11" s="244">
        <v>50</v>
      </c>
      <c r="C11" s="244">
        <v>1</v>
      </c>
      <c r="D11" s="244">
        <v>23</v>
      </c>
      <c r="E11" s="244">
        <v>240</v>
      </c>
      <c r="F11" s="245">
        <v>43</v>
      </c>
      <c r="G11" s="792">
        <v>357</v>
      </c>
    </row>
    <row r="12" spans="1:8" x14ac:dyDescent="0.25">
      <c r="A12" s="223" t="str">
        <f>T13cm!$A$5</f>
        <v>2018-19</v>
      </c>
      <c r="B12" s="244">
        <v>50</v>
      </c>
      <c r="C12" s="244">
        <v>1</v>
      </c>
      <c r="D12" s="244">
        <v>23</v>
      </c>
      <c r="E12" s="244">
        <v>240</v>
      </c>
      <c r="F12" s="245">
        <v>43</v>
      </c>
      <c r="G12" s="792">
        <v>357</v>
      </c>
    </row>
    <row r="13" spans="1:8" ht="15.75" thickBot="1" x14ac:dyDescent="0.3">
      <c r="A13" s="237" t="str">
        <f>T13cm!$A$6</f>
        <v>2019-20</v>
      </c>
      <c r="B13" s="246">
        <v>50</v>
      </c>
      <c r="C13" s="246">
        <v>1</v>
      </c>
      <c r="D13" s="246">
        <v>23</v>
      </c>
      <c r="E13" s="246">
        <v>240</v>
      </c>
      <c r="F13" s="793">
        <v>43</v>
      </c>
      <c r="G13" s="794">
        <v>357</v>
      </c>
    </row>
    <row r="15" spans="1:8" x14ac:dyDescent="0.25">
      <c r="A15" s="499" t="s">
        <v>8</v>
      </c>
    </row>
    <row r="16" spans="1:8" ht="30.75" customHeight="1" x14ac:dyDescent="0.25">
      <c r="A16" s="1080" t="s">
        <v>936</v>
      </c>
      <c r="B16" s="1080"/>
      <c r="C16" s="1080"/>
      <c r="D16" s="1080"/>
      <c r="E16" s="1080"/>
      <c r="F16" s="1080"/>
      <c r="G16" s="1080"/>
      <c r="H16" s="1080"/>
    </row>
    <row r="17" spans="1:9" ht="30" customHeight="1" x14ac:dyDescent="0.25">
      <c r="A17" s="1079" t="s">
        <v>796</v>
      </c>
      <c r="B17" s="1079"/>
      <c r="C17" s="1079"/>
      <c r="D17" s="1079"/>
      <c r="E17" s="1079"/>
      <c r="F17" s="1079"/>
      <c r="G17" s="1079"/>
      <c r="H17" s="1079"/>
      <c r="I17" s="1079"/>
    </row>
    <row r="18" spans="1:9" x14ac:dyDescent="0.25">
      <c r="A18" t="s">
        <v>935</v>
      </c>
    </row>
  </sheetData>
  <sheetProtection algorithmName="SHA-512" hashValue="2Rs054PlqSBi7eJxGizOCZ3j+TNYuTgzr8JKrbaehMldl3QsHMoc1/c5jnaEMsEIe0QcGs2Atw+sWKqprZ0Bfg==" saltValue="HnFmSxj6Z9bXGDQ0Wk99Qg==" spinCount="100000" sheet="1" scenarios="1" formatCells="0" formatColumns="0" formatRows="0" sort="0" autoFilter="0" pivotTables="0"/>
  <mergeCells count="4">
    <mergeCell ref="A1:C1"/>
    <mergeCell ref="A4:F4"/>
    <mergeCell ref="A17:I17"/>
    <mergeCell ref="A16:H16"/>
  </mergeCells>
  <hyperlinks>
    <hyperlink ref="A2" location="'Table of Contents'!A1" display="Back to Table of Contents"/>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39997558519241921"/>
    <pageSetUpPr fitToPage="1"/>
  </sheetPr>
  <dimension ref="A1:I39"/>
  <sheetViews>
    <sheetView showGridLines="0" workbookViewId="0">
      <pane ySplit="2" topLeftCell="A3" activePane="bottomLeft" state="frozen"/>
      <selection pane="bottomLeft"/>
    </sheetView>
  </sheetViews>
  <sheetFormatPr defaultRowHeight="15" x14ac:dyDescent="0.25"/>
  <cols>
    <col min="1" max="1" width="16.7109375" customWidth="1"/>
    <col min="2" max="9" width="15.85546875" customWidth="1"/>
  </cols>
  <sheetData>
    <row r="1" spans="1:9" ht="15.75" x14ac:dyDescent="0.25">
      <c r="A1" s="1077" t="s">
        <v>505</v>
      </c>
      <c r="B1" s="1077"/>
      <c r="C1" s="1077"/>
      <c r="D1" s="958"/>
    </row>
    <row r="2" spans="1:9" x14ac:dyDescent="0.25">
      <c r="A2" s="772" t="s">
        <v>578</v>
      </c>
    </row>
    <row r="3" spans="1:9" x14ac:dyDescent="0.25">
      <c r="A3" s="31"/>
      <c r="B3" s="31"/>
      <c r="C3" s="31"/>
      <c r="D3" s="31"/>
      <c r="E3" s="31"/>
      <c r="F3" s="31"/>
      <c r="G3" s="31"/>
      <c r="H3" s="31"/>
      <c r="I3" s="31"/>
    </row>
    <row r="4" spans="1:9" ht="15.75" customHeight="1" x14ac:dyDescent="0.25">
      <c r="A4" s="1087" t="s">
        <v>547</v>
      </c>
      <c r="B4" s="1087"/>
      <c r="C4" s="1087"/>
      <c r="D4" s="1087"/>
      <c r="E4" s="1087"/>
      <c r="F4" s="1087"/>
      <c r="G4" s="1087"/>
      <c r="H4" s="1087"/>
      <c r="I4" s="1087"/>
    </row>
    <row r="5" spans="1:9" ht="15.75" customHeight="1" x14ac:dyDescent="0.25">
      <c r="A5" t="s">
        <v>363</v>
      </c>
      <c r="B5" t="s">
        <v>764</v>
      </c>
      <c r="C5" s="635"/>
      <c r="D5" s="959"/>
      <c r="E5" s="635"/>
      <c r="F5" s="635"/>
      <c r="G5" s="635"/>
      <c r="H5" s="635"/>
      <c r="I5" s="635"/>
    </row>
    <row r="6" spans="1:9" ht="15.75" customHeight="1" x14ac:dyDescent="0.25">
      <c r="A6" t="s">
        <v>364</v>
      </c>
      <c r="B6" t="s">
        <v>366</v>
      </c>
      <c r="C6" s="635"/>
      <c r="D6" s="959"/>
      <c r="E6" s="635"/>
      <c r="F6" s="635"/>
      <c r="G6" s="635"/>
      <c r="H6" s="635"/>
      <c r="I6" s="635"/>
    </row>
    <row r="7" spans="1:9" ht="15.75" customHeight="1" x14ac:dyDescent="0.25">
      <c r="A7" t="s">
        <v>365</v>
      </c>
      <c r="B7" t="s">
        <v>367</v>
      </c>
      <c r="C7" s="635"/>
      <c r="D7" s="959"/>
      <c r="E7" s="635"/>
      <c r="F7" s="635"/>
      <c r="G7" s="635"/>
      <c r="H7" s="635"/>
      <c r="I7" s="635"/>
    </row>
    <row r="8" spans="1:9" ht="15.75" x14ac:dyDescent="0.25">
      <c r="A8" s="312"/>
      <c r="B8" s="233"/>
      <c r="C8" s="233"/>
      <c r="D8" s="233"/>
      <c r="E8" s="233"/>
      <c r="F8" s="233"/>
      <c r="G8" s="233"/>
      <c r="H8" s="233"/>
      <c r="I8" s="234" t="s">
        <v>7</v>
      </c>
    </row>
    <row r="9" spans="1:9" ht="26.25" x14ac:dyDescent="0.25">
      <c r="A9" s="181" t="s">
        <v>1</v>
      </c>
      <c r="B9" s="236" t="s">
        <v>27</v>
      </c>
      <c r="C9" s="236" t="s">
        <v>28</v>
      </c>
      <c r="D9" s="1020" t="s">
        <v>956</v>
      </c>
      <c r="E9" s="236" t="s">
        <v>2</v>
      </c>
      <c r="F9" s="236" t="s">
        <v>90</v>
      </c>
      <c r="G9" s="236" t="s">
        <v>29</v>
      </c>
      <c r="H9" s="222" t="s">
        <v>26</v>
      </c>
      <c r="I9" s="414" t="s">
        <v>91</v>
      </c>
    </row>
    <row r="10" spans="1:9" x14ac:dyDescent="0.25">
      <c r="A10" s="281" t="str">
        <f>'T12'!$A$5</f>
        <v>2011-12</v>
      </c>
      <c r="B10" s="433">
        <f>'T12'!C5</f>
        <v>0.4</v>
      </c>
      <c r="C10" s="433">
        <f>'T12'!D5</f>
        <v>0.3</v>
      </c>
      <c r="D10" s="433"/>
      <c r="E10" s="433">
        <f>'T12'!E5</f>
        <v>2.1</v>
      </c>
      <c r="F10" s="433">
        <f>'T12'!F5</f>
        <v>1.4</v>
      </c>
      <c r="G10" s="433">
        <f>'T12'!G5</f>
        <v>0.4</v>
      </c>
      <c r="H10" s="434">
        <f>'T12'!H5</f>
        <v>0.6</v>
      </c>
      <c r="I10" s="435">
        <f>'T12'!I5</f>
        <v>0.6</v>
      </c>
    </row>
    <row r="11" spans="1:9" x14ac:dyDescent="0.25">
      <c r="A11" s="223" t="str">
        <f>'T12'!$A$6</f>
        <v>2012-13</v>
      </c>
      <c r="B11" s="225">
        <f>'T12'!C6</f>
        <v>0.5</v>
      </c>
      <c r="C11" s="225">
        <f>'T12'!D6</f>
        <v>0.3</v>
      </c>
      <c r="D11" s="225"/>
      <c r="E11" s="225">
        <f>'T12'!E6</f>
        <v>2.1</v>
      </c>
      <c r="F11" s="225">
        <f>'T12'!F6</f>
        <v>1.5</v>
      </c>
      <c r="G11" s="225">
        <f>'T12'!G6</f>
        <v>0.5</v>
      </c>
      <c r="H11" s="182">
        <f>'T12'!H6</f>
        <v>0.6</v>
      </c>
      <c r="I11" s="227">
        <f>'T12'!I6</f>
        <v>0.6</v>
      </c>
    </row>
    <row r="12" spans="1:9" x14ac:dyDescent="0.25">
      <c r="A12" s="223" t="str">
        <f>'T12'!$A$7</f>
        <v>2013-14</v>
      </c>
      <c r="B12" s="225">
        <f>'T12'!C7</f>
        <v>0.2</v>
      </c>
      <c r="C12" s="225">
        <f>'T12'!D7</f>
        <v>0.2</v>
      </c>
      <c r="D12" s="225"/>
      <c r="E12" s="225">
        <f>'T12'!E7</f>
        <v>1.8</v>
      </c>
      <c r="F12" s="225">
        <f>'T12'!F7</f>
        <v>0.7</v>
      </c>
      <c r="G12" s="225">
        <f>'T12'!G7</f>
        <v>0</v>
      </c>
      <c r="H12" s="182">
        <f>'T12'!H7</f>
        <v>0.3</v>
      </c>
      <c r="I12" s="227">
        <f>'T12'!I7</f>
        <v>0.3</v>
      </c>
    </row>
    <row r="13" spans="1:9" x14ac:dyDescent="0.25">
      <c r="A13" s="223" t="str">
        <f>'T12'!$A$8</f>
        <v>2014-15</v>
      </c>
      <c r="B13" s="225">
        <f>'T12'!C8</f>
        <v>0.2</v>
      </c>
      <c r="C13" s="225">
        <f>'T12'!D8</f>
        <v>0.2</v>
      </c>
      <c r="D13" s="225"/>
      <c r="E13" s="225">
        <f>'T12'!E8</f>
        <v>2.2000000000000002</v>
      </c>
      <c r="F13" s="225">
        <f>'T12'!F8</f>
        <v>0.8</v>
      </c>
      <c r="G13" s="225">
        <f>'T12'!G8</f>
        <v>0</v>
      </c>
      <c r="H13" s="182">
        <f>'T12'!H8</f>
        <v>0.3</v>
      </c>
      <c r="I13" s="227">
        <f>'T12'!I8</f>
        <v>0.3</v>
      </c>
    </row>
    <row r="14" spans="1:9" x14ac:dyDescent="0.25">
      <c r="A14" s="223" t="str">
        <f>'T12'!$A$10</f>
        <v>2015-16</v>
      </c>
      <c r="B14" s="225">
        <f>'T12'!C10</f>
        <v>0</v>
      </c>
      <c r="C14" s="225">
        <f>'T12'!D10</f>
        <v>0.1</v>
      </c>
      <c r="D14" s="225"/>
      <c r="E14" s="225">
        <f>'T12'!E10</f>
        <v>0</v>
      </c>
      <c r="F14" s="225">
        <f>'T12'!F10</f>
        <v>0.5</v>
      </c>
      <c r="G14" s="225">
        <f>'T12'!G10</f>
        <v>0.3</v>
      </c>
      <c r="H14" s="182">
        <f>'T12'!H10</f>
        <v>0.1</v>
      </c>
      <c r="I14" s="227">
        <f>'T12'!I10</f>
        <v>0.1</v>
      </c>
    </row>
    <row r="15" spans="1:9" x14ac:dyDescent="0.25">
      <c r="A15" s="223" t="str">
        <f>'T12'!$A$12</f>
        <v>2016-17</v>
      </c>
      <c r="B15" s="225">
        <f>'T12'!C12</f>
        <v>0</v>
      </c>
      <c r="C15" s="225">
        <f>'T12'!D12</f>
        <v>0.1</v>
      </c>
      <c r="D15" s="225"/>
      <c r="E15" s="225">
        <f>'T12'!E12</f>
        <v>0</v>
      </c>
      <c r="F15" s="225">
        <f>'T12'!F12</f>
        <v>0.4</v>
      </c>
      <c r="G15" s="225">
        <f>'T12'!G12</f>
        <v>0.3</v>
      </c>
      <c r="H15" s="182">
        <f>'T12'!H12</f>
        <v>0.1</v>
      </c>
      <c r="I15" s="227">
        <f>'T12'!I12</f>
        <v>0.1</v>
      </c>
    </row>
    <row r="16" spans="1:9" x14ac:dyDescent="0.25">
      <c r="A16" s="223" t="str">
        <f>'T12'!$A$14</f>
        <v>2017-18</v>
      </c>
      <c r="B16" s="225">
        <f>'T12'!C14</f>
        <v>0.3</v>
      </c>
      <c r="C16" s="225">
        <f>'T12'!D14</f>
        <v>0.3</v>
      </c>
      <c r="D16" s="225"/>
      <c r="E16" s="225">
        <f>'T12'!E14</f>
        <v>0</v>
      </c>
      <c r="F16" s="225">
        <f>'T12'!F14</f>
        <v>1.2</v>
      </c>
      <c r="G16" s="225">
        <f>'T12'!G14</f>
        <v>0.3</v>
      </c>
      <c r="H16" s="227">
        <f>'T12'!H14</f>
        <v>0.4</v>
      </c>
      <c r="I16" s="227">
        <f>'T12'!I14</f>
        <v>0.4</v>
      </c>
    </row>
    <row r="17" spans="1:9" x14ac:dyDescent="0.25">
      <c r="A17" s="223" t="str">
        <f>'T12'!$A$16</f>
        <v>2018-19</v>
      </c>
      <c r="B17" s="225">
        <f>'T12'!C16</f>
        <v>0.7</v>
      </c>
      <c r="C17" s="225">
        <f>'T12'!D16</f>
        <v>0.4</v>
      </c>
      <c r="D17" s="225"/>
      <c r="E17" s="225">
        <f>'T12'!E16</f>
        <v>0.5</v>
      </c>
      <c r="F17" s="225">
        <f>'T12'!F16</f>
        <v>2.1</v>
      </c>
      <c r="G17" s="225">
        <f>'T12'!G16</f>
        <v>0.3</v>
      </c>
      <c r="H17" s="227">
        <f>'T12'!H16</f>
        <v>0.7</v>
      </c>
      <c r="I17" s="227">
        <f>'T12'!I16</f>
        <v>0.7</v>
      </c>
    </row>
    <row r="18" spans="1:9" ht="15.75" thickBot="1" x14ac:dyDescent="0.3">
      <c r="A18" s="237" t="str">
        <f>'T12'!$A$18</f>
        <v>2019-20</v>
      </c>
      <c r="B18" s="238">
        <f>'T12'!C18</f>
        <v>0.7</v>
      </c>
      <c r="C18" s="238">
        <f>'T12'!D18</f>
        <v>0.4</v>
      </c>
      <c r="D18" s="238">
        <f>'T12'!J18</f>
        <v>0</v>
      </c>
      <c r="E18" s="238">
        <f>'T12'!E18</f>
        <v>0.5</v>
      </c>
      <c r="F18" s="238">
        <f>'T12'!F18</f>
        <v>2.2999999999999998</v>
      </c>
      <c r="G18" s="238">
        <f>'T12'!G18</f>
        <v>0.3</v>
      </c>
      <c r="H18" s="239">
        <f>'T12'!H18</f>
        <v>0.8</v>
      </c>
      <c r="I18" s="239">
        <f>'T12'!I18</f>
        <v>0.8</v>
      </c>
    </row>
    <row r="19" spans="1:9" x14ac:dyDescent="0.25">
      <c r="A19" s="31"/>
      <c r="B19" s="31"/>
      <c r="C19" s="31"/>
      <c r="D19" s="31"/>
      <c r="E19" s="31"/>
      <c r="F19" s="31"/>
      <c r="G19" s="31"/>
      <c r="H19" s="31"/>
      <c r="I19" s="31"/>
    </row>
    <row r="20" spans="1:9" x14ac:dyDescent="0.25">
      <c r="A20" s="491" t="s">
        <v>8</v>
      </c>
      <c r="B20" s="31"/>
      <c r="C20" s="31"/>
      <c r="D20" s="31"/>
      <c r="E20" s="31"/>
      <c r="F20" s="31"/>
      <c r="G20" s="31"/>
      <c r="H20" s="31"/>
      <c r="I20" s="31"/>
    </row>
    <row r="21" spans="1:9" ht="15" customHeight="1" x14ac:dyDescent="0.25">
      <c r="A21" s="1113" t="s">
        <v>811</v>
      </c>
      <c r="B21" s="1113"/>
      <c r="C21" s="1113"/>
      <c r="D21" s="1113"/>
      <c r="E21" s="1113"/>
      <c r="F21" s="1113"/>
      <c r="G21" s="1113"/>
      <c r="H21" s="1113"/>
      <c r="I21" s="1113"/>
    </row>
    <row r="22" spans="1:9" ht="15" customHeight="1" x14ac:dyDescent="0.25">
      <c r="A22" s="498" t="s">
        <v>983</v>
      </c>
      <c r="B22" s="976"/>
      <c r="C22" s="976"/>
      <c r="D22" s="976"/>
      <c r="E22" s="976"/>
      <c r="F22" s="976"/>
      <c r="G22" s="976"/>
      <c r="H22" s="976"/>
      <c r="I22" s="976"/>
    </row>
    <row r="23" spans="1:9" x14ac:dyDescent="0.25">
      <c r="A23" s="545"/>
      <c r="B23" s="31"/>
      <c r="C23" s="31"/>
      <c r="D23" s="31"/>
      <c r="E23" s="31"/>
      <c r="F23" s="31"/>
      <c r="G23" s="31"/>
      <c r="H23" s="31"/>
      <c r="I23" s="31"/>
    </row>
    <row r="24" spans="1:9" ht="15.75" customHeight="1" x14ac:dyDescent="0.25">
      <c r="A24" s="1114" t="s">
        <v>548</v>
      </c>
      <c r="B24" s="1114"/>
      <c r="C24" s="1114"/>
      <c r="D24" s="1114"/>
      <c r="E24" s="1114"/>
      <c r="F24" s="1114"/>
      <c r="G24" s="1114"/>
      <c r="H24" s="1114"/>
      <c r="I24" s="1114"/>
    </row>
    <row r="25" spans="1:9" ht="15.75" customHeight="1" x14ac:dyDescent="0.25">
      <c r="A25" t="s">
        <v>363</v>
      </c>
      <c r="B25" t="s">
        <v>765</v>
      </c>
      <c r="C25" s="636"/>
      <c r="D25" s="963"/>
      <c r="E25" s="636"/>
      <c r="F25" s="636"/>
      <c r="G25" s="636"/>
      <c r="H25" s="636"/>
      <c r="I25" s="636"/>
    </row>
    <row r="26" spans="1:9" ht="15.75" customHeight="1" x14ac:dyDescent="0.25">
      <c r="A26" t="s">
        <v>364</v>
      </c>
      <c r="B26" t="s">
        <v>366</v>
      </c>
      <c r="C26" s="636"/>
      <c r="D26" s="963"/>
      <c r="E26" s="636"/>
      <c r="F26" s="636"/>
      <c r="G26" s="636"/>
      <c r="H26" s="636"/>
      <c r="I26" s="636"/>
    </row>
    <row r="27" spans="1:9" ht="15.75" customHeight="1" x14ac:dyDescent="0.25">
      <c r="A27" t="s">
        <v>365</v>
      </c>
      <c r="B27" t="s">
        <v>367</v>
      </c>
      <c r="C27" s="849"/>
      <c r="D27" s="963"/>
      <c r="E27" s="849"/>
      <c r="F27" s="849"/>
      <c r="G27" s="849"/>
      <c r="H27" s="849"/>
      <c r="I27" s="849"/>
    </row>
    <row r="28" spans="1:9" ht="15.75" x14ac:dyDescent="0.25">
      <c r="C28" s="233"/>
      <c r="D28" s="233"/>
      <c r="E28" s="233"/>
      <c r="F28" s="233"/>
      <c r="G28" s="233"/>
      <c r="H28" s="233"/>
      <c r="I28" s="234" t="s">
        <v>7</v>
      </c>
    </row>
    <row r="29" spans="1:9" ht="26.25" x14ac:dyDescent="0.25">
      <c r="A29" s="181" t="s">
        <v>1</v>
      </c>
      <c r="B29" s="766" t="s">
        <v>27</v>
      </c>
      <c r="C29" s="236" t="s">
        <v>28</v>
      </c>
      <c r="D29" s="1020" t="s">
        <v>956</v>
      </c>
      <c r="E29" s="236" t="s">
        <v>2</v>
      </c>
      <c r="F29" s="236" t="s">
        <v>90</v>
      </c>
      <c r="G29" s="236" t="s">
        <v>29</v>
      </c>
      <c r="H29" s="222" t="s">
        <v>26</v>
      </c>
      <c r="I29" s="414" t="s">
        <v>91</v>
      </c>
    </row>
    <row r="30" spans="1:9" x14ac:dyDescent="0.25">
      <c r="A30" s="281" t="str">
        <f>'T12'!$A$9</f>
        <v>2014-15</v>
      </c>
      <c r="B30" s="433">
        <f>'T12'!C9</f>
        <v>80.8</v>
      </c>
      <c r="C30" s="433">
        <f>'T12'!D9</f>
        <v>96.9</v>
      </c>
      <c r="D30" s="433"/>
      <c r="E30" s="433">
        <f>'T12'!E9</f>
        <v>60.4</v>
      </c>
      <c r="F30" s="433">
        <f>'T12'!F9</f>
        <v>77.900000000000006</v>
      </c>
      <c r="G30" s="433">
        <f>'T12'!G9</f>
        <v>47.4</v>
      </c>
      <c r="H30" s="433">
        <f>'T12'!H9</f>
        <v>84.1</v>
      </c>
      <c r="I30" s="433">
        <f>'T12'!I9</f>
        <v>85.9</v>
      </c>
    </row>
    <row r="31" spans="1:9" x14ac:dyDescent="0.25">
      <c r="A31" s="223" t="str">
        <f>'T12'!$A$11</f>
        <v>2015-16</v>
      </c>
      <c r="B31" s="225">
        <f>'T12'!C11</f>
        <v>100</v>
      </c>
      <c r="C31" s="225">
        <f>'T12'!D11</f>
        <v>98</v>
      </c>
      <c r="D31" s="225"/>
      <c r="E31" s="225">
        <f>'T12'!E11</f>
        <v>100</v>
      </c>
      <c r="F31" s="225">
        <f>'T12'!F11</f>
        <v>95</v>
      </c>
      <c r="G31" s="225">
        <f>'T12'!G11</f>
        <v>94</v>
      </c>
      <c r="H31" s="225">
        <f>'T12'!H11</f>
        <v>99</v>
      </c>
      <c r="I31" s="225">
        <f>'T12'!I11</f>
        <v>99</v>
      </c>
    </row>
    <row r="32" spans="1:9" x14ac:dyDescent="0.25">
      <c r="A32" s="223" t="str">
        <f>'T12'!$A$13</f>
        <v>2016-17</v>
      </c>
      <c r="B32" s="225">
        <f>'T12'!C13</f>
        <v>99.5</v>
      </c>
      <c r="C32" s="225">
        <f>'T12'!D13</f>
        <v>95.2</v>
      </c>
      <c r="D32" s="225"/>
      <c r="E32" s="225">
        <f>'T12'!E13</f>
        <v>99.4</v>
      </c>
      <c r="F32" s="225">
        <f>'T12'!F13</f>
        <v>90.9</v>
      </c>
      <c r="G32" s="225">
        <f>'T12'!G13</f>
        <v>96.2</v>
      </c>
      <c r="H32" s="225">
        <f>'T12'!H13</f>
        <v>96.8</v>
      </c>
      <c r="I32" s="225">
        <f>'T12'!I13</f>
        <v>96.9</v>
      </c>
    </row>
    <row r="33" spans="1:9" x14ac:dyDescent="0.25">
      <c r="A33" s="223" t="str">
        <f>'T12'!$A$15</f>
        <v>2017-18</v>
      </c>
      <c r="B33" s="225">
        <f>'T12'!C15</f>
        <v>91.4</v>
      </c>
      <c r="C33" s="225">
        <f>'T12'!D15</f>
        <v>80.599999999999994</v>
      </c>
      <c r="D33" s="225"/>
      <c r="E33" s="225">
        <f>'T12'!E15</f>
        <v>87.3</v>
      </c>
      <c r="F33" s="225">
        <f>'T12'!F15</f>
        <v>75.099999999999994</v>
      </c>
      <c r="G33" s="225">
        <f>'T12'!G15</f>
        <v>96.4</v>
      </c>
      <c r="H33" s="225">
        <f>'T12'!H15</f>
        <v>85.8</v>
      </c>
      <c r="I33" s="225">
        <f>'T12'!I15</f>
        <v>85.3</v>
      </c>
    </row>
    <row r="34" spans="1:9" x14ac:dyDescent="0.25">
      <c r="A34" s="223" t="str">
        <f>'T12'!$A$17</f>
        <v>2018-19</v>
      </c>
      <c r="B34" s="225">
        <f>'T12'!C17</f>
        <v>78.8</v>
      </c>
      <c r="C34" s="225">
        <f>'T12'!D17</f>
        <v>73.8</v>
      </c>
      <c r="D34" s="225"/>
      <c r="E34" s="225">
        <f>'T12'!E17</f>
        <v>78.3</v>
      </c>
      <c r="F34" s="225">
        <f>'T12'!F17</f>
        <v>60.1</v>
      </c>
      <c r="G34" s="225">
        <f>'T12'!G17</f>
        <v>95.9</v>
      </c>
      <c r="H34" s="225">
        <f>'T12'!H17</f>
        <v>75.7</v>
      </c>
      <c r="I34" s="225">
        <f>'T12'!I17</f>
        <v>74.900000000000006</v>
      </c>
    </row>
    <row r="35" spans="1:9" ht="15.75" thickBot="1" x14ac:dyDescent="0.3">
      <c r="A35" s="237" t="str">
        <f>'T12'!$A$19</f>
        <v>2019-20</v>
      </c>
      <c r="B35" s="238">
        <f>'T12'!C19</f>
        <v>75.900000000000006</v>
      </c>
      <c r="C35" s="238">
        <f>'T12'!D19</f>
        <v>74.099999999999994</v>
      </c>
      <c r="D35" s="238">
        <f>'T12'!J19</f>
        <v>55.6</v>
      </c>
      <c r="E35" s="238">
        <f>'T12'!E19</f>
        <v>78.7</v>
      </c>
      <c r="F35" s="238">
        <f>'T12'!F19</f>
        <v>59.3</v>
      </c>
      <c r="G35" s="238">
        <f>'T12'!G19</f>
        <v>94.9</v>
      </c>
      <c r="H35" s="238">
        <f>'T12'!H19</f>
        <v>74.2</v>
      </c>
      <c r="I35" s="238">
        <f>'T12'!I19</f>
        <v>73.400000000000006</v>
      </c>
    </row>
    <row r="36" spans="1:9" x14ac:dyDescent="0.25">
      <c r="A36" s="240"/>
      <c r="B36" s="241"/>
      <c r="C36" s="241"/>
      <c r="D36" s="241"/>
      <c r="E36" s="241"/>
      <c r="F36" s="241"/>
      <c r="G36" s="241"/>
      <c r="H36" s="241"/>
      <c r="I36" s="241"/>
    </row>
    <row r="37" spans="1:9" x14ac:dyDescent="0.25">
      <c r="A37" s="492" t="s">
        <v>8</v>
      </c>
      <c r="B37" s="241"/>
      <c r="C37" s="241"/>
      <c r="D37" s="241"/>
      <c r="E37" s="241"/>
      <c r="F37" s="241"/>
      <c r="G37" s="241"/>
      <c r="H37" s="241"/>
      <c r="I37" s="241"/>
    </row>
    <row r="38" spans="1:9" ht="26.25" customHeight="1" x14ac:dyDescent="0.25">
      <c r="A38" s="1113" t="s">
        <v>812</v>
      </c>
      <c r="B38" s="1113"/>
      <c r="C38" s="1113"/>
      <c r="D38" s="1113"/>
      <c r="E38" s="1113"/>
      <c r="F38" s="1113"/>
      <c r="G38" s="1113"/>
      <c r="H38" s="1113"/>
      <c r="I38" s="1113"/>
    </row>
    <row r="39" spans="1:9" ht="15" customHeight="1" x14ac:dyDescent="0.25">
      <c r="A39" s="1113" t="s">
        <v>983</v>
      </c>
      <c r="B39" s="1113"/>
      <c r="C39" s="1113"/>
      <c r="D39" s="1113"/>
      <c r="E39" s="1113"/>
      <c r="F39" s="1113"/>
      <c r="G39" s="1113"/>
      <c r="H39" s="1113"/>
      <c r="I39" s="1113"/>
    </row>
  </sheetData>
  <sheetProtection algorithmName="SHA-512" hashValue="Kzlq7RF13XK5pi/lJphGkCSt2rcEh3WEFXfnz/TciHc6fiO05KrcVLzAIjI8+1tPWqO2N7WLjRYQWCxzK4k7nw==" saltValue="omledz3gwqfz7bmShsQ/GA==" spinCount="100000" sheet="1" scenarios="1" formatCells="0" formatColumns="0" formatRows="0" sort="0" autoFilter="0" pivotTables="0"/>
  <mergeCells count="6">
    <mergeCell ref="A1:C1"/>
    <mergeCell ref="A39:I39"/>
    <mergeCell ref="A4:I4"/>
    <mergeCell ref="A24:I24"/>
    <mergeCell ref="A21:I21"/>
    <mergeCell ref="A38:I38"/>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Z76"/>
  <sheetViews>
    <sheetView showGridLines="0" zoomScale="99" workbookViewId="0">
      <pane ySplit="2" topLeftCell="A3" activePane="bottomLeft" state="frozen"/>
      <selection pane="bottomLeft" sqref="A1:C1"/>
    </sheetView>
  </sheetViews>
  <sheetFormatPr defaultRowHeight="15" x14ac:dyDescent="0.25"/>
  <cols>
    <col min="1" max="1" width="31" bestFit="1" customWidth="1"/>
    <col min="2" max="9" width="12.5703125" customWidth="1"/>
    <col min="10" max="10" width="14.5703125" bestFit="1" customWidth="1"/>
    <col min="11" max="11" width="12.42578125" bestFit="1" customWidth="1"/>
  </cols>
  <sheetData>
    <row r="1" spans="1:8" ht="15.75" x14ac:dyDescent="0.25">
      <c r="A1" s="1077" t="s">
        <v>505</v>
      </c>
      <c r="B1" s="1077"/>
      <c r="C1" s="1077"/>
    </row>
    <row r="2" spans="1:8" x14ac:dyDescent="0.25">
      <c r="A2" s="772" t="s">
        <v>578</v>
      </c>
    </row>
    <row r="3" spans="1:8" x14ac:dyDescent="0.25">
      <c r="A3" s="31"/>
      <c r="B3" s="31"/>
      <c r="C3" s="31"/>
      <c r="D3" s="31"/>
      <c r="E3" s="31"/>
      <c r="F3" s="31"/>
      <c r="G3" s="31"/>
      <c r="H3" s="31"/>
    </row>
    <row r="4" spans="1:8" ht="15.75" x14ac:dyDescent="0.25">
      <c r="A4" s="1087" t="s">
        <v>553</v>
      </c>
      <c r="B4" s="1087"/>
      <c r="C4" s="1087"/>
      <c r="D4" s="1087"/>
      <c r="E4" s="1087"/>
      <c r="F4" s="1087"/>
      <c r="G4" s="1087"/>
      <c r="H4" s="1087"/>
    </row>
    <row r="5" spans="1:8" ht="15.75" x14ac:dyDescent="0.25">
      <c r="A5" t="s">
        <v>511</v>
      </c>
      <c r="B5" s="635"/>
      <c r="C5" s="635"/>
      <c r="D5" s="635"/>
      <c r="E5" s="635"/>
      <c r="F5" s="635"/>
      <c r="G5" s="635"/>
      <c r="H5" s="635"/>
    </row>
    <row r="6" spans="1:8" ht="15.75" x14ac:dyDescent="0.25">
      <c r="A6" t="s">
        <v>363</v>
      </c>
      <c r="B6" t="s">
        <v>766</v>
      </c>
      <c r="C6" s="635"/>
      <c r="D6" s="635"/>
      <c r="E6" s="635"/>
      <c r="F6" s="635"/>
      <c r="G6" s="635"/>
      <c r="H6" s="635"/>
    </row>
    <row r="7" spans="1:8" ht="15.75" x14ac:dyDescent="0.25">
      <c r="A7" t="s">
        <v>364</v>
      </c>
      <c r="B7" t="s">
        <v>366</v>
      </c>
      <c r="C7" s="635"/>
      <c r="D7" s="635"/>
      <c r="E7" s="635"/>
      <c r="F7" s="635"/>
      <c r="G7" s="635"/>
      <c r="H7" s="635"/>
    </row>
    <row r="8" spans="1:8" x14ac:dyDescent="0.25">
      <c r="A8" t="s">
        <v>365</v>
      </c>
      <c r="B8" t="s">
        <v>367</v>
      </c>
    </row>
    <row r="10" spans="1:8" x14ac:dyDescent="0.25">
      <c r="A10" s="437" t="s">
        <v>1</v>
      </c>
    </row>
    <row r="11" spans="1:8" x14ac:dyDescent="0.25">
      <c r="A11" t="str">
        <f>hentrant!D43</f>
        <v>2019-20</v>
      </c>
    </row>
    <row r="12" spans="1:8" s="689" customFormat="1" ht="30" customHeight="1" x14ac:dyDescent="0.25">
      <c r="A12" s="769" t="s">
        <v>211</v>
      </c>
      <c r="B12" s="789" t="s">
        <v>27</v>
      </c>
      <c r="C12" s="789" t="s">
        <v>28</v>
      </c>
      <c r="D12" s="789" t="s">
        <v>2</v>
      </c>
      <c r="E12" s="789" t="s">
        <v>3</v>
      </c>
      <c r="F12" s="789" t="s">
        <v>29</v>
      </c>
      <c r="G12" s="789" t="s">
        <v>10</v>
      </c>
    </row>
    <row r="13" spans="1:8" x14ac:dyDescent="0.25">
      <c r="A13" s="437" t="s">
        <v>321</v>
      </c>
      <c r="B13" s="366">
        <f>GETPIVOTDATA("Total Of PositionRef",hentrant!$A$45,"AgeRange",A13,"StaffType","WT")</f>
        <v>0</v>
      </c>
      <c r="C13" s="366">
        <f>GETPIVOTDATA("Total Of PositionRef",hentrant!$A$45,"AgeRange",A13,"StaffType","RDS")</f>
        <v>8</v>
      </c>
      <c r="D13" s="366">
        <f>IFERROR(GETPIVOTDATA("Total Of PositionRef",hentrant!$A$45,"AgeRange",A13,"StaffType","Control"),0)</f>
        <v>0</v>
      </c>
      <c r="E13" s="366">
        <f>GETPIVOTDATA("Total Of PositionRef",hentrant!$A$45,"AgeRange",A13,"StaffType","Support")</f>
        <v>3</v>
      </c>
      <c r="F13" s="366">
        <f>GETPIVOTDATA("Total Of PositionRef",hentrant!$A$45,"AgeRange",A13,"StaffType","Vol")</f>
        <v>0</v>
      </c>
      <c r="G13" s="1035">
        <f>SUM(B13:F13)</f>
        <v>11</v>
      </c>
    </row>
    <row r="14" spans="1:8" x14ac:dyDescent="0.25">
      <c r="A14" s="437" t="s">
        <v>105</v>
      </c>
      <c r="B14" s="366">
        <f>GETPIVOTDATA("Total Of PositionRef",hentrant!$A$45,"AgeRange",A14,"StaffType","WT")</f>
        <v>7</v>
      </c>
      <c r="C14" s="366">
        <f>GETPIVOTDATA("Total Of PositionRef",hentrant!$A$45,"AgeRange",A14,"StaffType","RDS")</f>
        <v>52</v>
      </c>
      <c r="D14" s="366">
        <f>IFERROR(GETPIVOTDATA("Total Of PositionRef",hentrant!$A$45,"AgeRange",A14,"StaffType","Control"),0)</f>
        <v>0</v>
      </c>
      <c r="E14" s="366">
        <f>GETPIVOTDATA("Total Of PositionRef",hentrant!$A$45,"AgeRange",A14,"StaffType","Support")</f>
        <v>6</v>
      </c>
      <c r="F14" s="366">
        <f>GETPIVOTDATA("Total Of PositionRef",hentrant!$A$45,"AgeRange",A14,"StaffType","Vol")</f>
        <v>4</v>
      </c>
      <c r="G14" s="1035">
        <f t="shared" ref="G14:G23" si="0">SUM(B14:F14)</f>
        <v>69</v>
      </c>
    </row>
    <row r="15" spans="1:8" x14ac:dyDescent="0.25">
      <c r="A15" s="437" t="s">
        <v>106</v>
      </c>
      <c r="B15" s="366">
        <f>GETPIVOTDATA("Total Of PositionRef",hentrant!$A$45,"AgeRange",A15,"StaffType","WT")</f>
        <v>41</v>
      </c>
      <c r="C15" s="366">
        <f>GETPIVOTDATA("Total Of PositionRef",hentrant!$A$45,"AgeRange",A15,"StaffType","RDS")</f>
        <v>43</v>
      </c>
      <c r="D15" s="366">
        <f>IFERROR(GETPIVOTDATA("Total Of PositionRef",hentrant!$A$45,"AgeRange",A15,"StaffType","Control"),0)</f>
        <v>0</v>
      </c>
      <c r="E15" s="366">
        <f>GETPIVOTDATA("Total Of PositionRef",hentrant!$A$45,"AgeRange",A15,"StaffType","Support")</f>
        <v>14</v>
      </c>
      <c r="F15" s="366">
        <f>GETPIVOTDATA("Total Of PositionRef",hentrant!$A$45,"AgeRange",A15,"StaffType","Vol")</f>
        <v>2</v>
      </c>
      <c r="G15" s="1035">
        <f t="shared" si="0"/>
        <v>100</v>
      </c>
    </row>
    <row r="16" spans="1:8" x14ac:dyDescent="0.25">
      <c r="A16" s="437" t="s">
        <v>107</v>
      </c>
      <c r="B16" s="366">
        <f>GETPIVOTDATA("Total Of PositionRef",hentrant!$A$45,"AgeRange",A16,"StaffType","WT")</f>
        <v>43</v>
      </c>
      <c r="C16" s="366">
        <f>GETPIVOTDATA("Total Of PositionRef",hentrant!$A$45,"AgeRange",A16,"StaffType","RDS")</f>
        <v>42</v>
      </c>
      <c r="D16" s="366">
        <f>IFERROR(GETPIVOTDATA("Total Of PositionRef",hentrant!$A$45,"AgeRange",A16,"StaffType","Control"),0)</f>
        <v>0</v>
      </c>
      <c r="E16" s="366">
        <f>GETPIVOTDATA("Total Of PositionRef",hentrant!$A$45,"AgeRange",A16,"StaffType","Support")</f>
        <v>5</v>
      </c>
      <c r="F16" s="366">
        <f>GETPIVOTDATA("Total Of PositionRef",hentrant!$A$45,"AgeRange",A16,"StaffType","Vol")</f>
        <v>6</v>
      </c>
      <c r="G16" s="1035">
        <f t="shared" si="0"/>
        <v>96</v>
      </c>
    </row>
    <row r="17" spans="1:8" x14ac:dyDescent="0.25">
      <c r="A17" s="437" t="s">
        <v>108</v>
      </c>
      <c r="B17" s="366">
        <f>GETPIVOTDATA("Total Of PositionRef",hentrant!$A$45,"AgeRange",A17,"StaffType","WT")</f>
        <v>14</v>
      </c>
      <c r="C17" s="366">
        <f>GETPIVOTDATA("Total Of PositionRef",hentrant!$A$45,"AgeRange",A17,"StaffType","RDS")</f>
        <v>40</v>
      </c>
      <c r="D17" s="366">
        <f>IFERROR(GETPIVOTDATA("Total Of PositionRef",hentrant!$A$45,"AgeRange",A17,"StaffType","Control"),0)</f>
        <v>0</v>
      </c>
      <c r="E17" s="366">
        <f>GETPIVOTDATA("Total Of PositionRef",hentrant!$A$45,"AgeRange",A17,"StaffType","Support")</f>
        <v>10</v>
      </c>
      <c r="F17" s="366">
        <f>GETPIVOTDATA("Total Of PositionRef",hentrant!$A$45,"AgeRange",A17,"StaffType","Vol")</f>
        <v>2</v>
      </c>
      <c r="G17" s="1035">
        <f t="shared" si="0"/>
        <v>66</v>
      </c>
    </row>
    <row r="18" spans="1:8" x14ac:dyDescent="0.25">
      <c r="A18" s="437" t="s">
        <v>109</v>
      </c>
      <c r="B18" s="366">
        <f>GETPIVOTDATA("Total Of PositionRef",hentrant!$A$45,"AgeRange",A18,"StaffType","WT")</f>
        <v>9</v>
      </c>
      <c r="C18" s="366">
        <f>GETPIVOTDATA("Total Of PositionRef",hentrant!$A$45,"AgeRange",A18,"StaffType","RDS")</f>
        <v>11</v>
      </c>
      <c r="D18" s="366">
        <f>IFERROR(GETPIVOTDATA("Total Of PositionRef",hentrant!$A$45,"AgeRange",A18,"StaffType","Control"),0)</f>
        <v>0</v>
      </c>
      <c r="E18" s="366">
        <f>GETPIVOTDATA("Total Of PositionRef",hentrant!$A$45,"AgeRange",A18,"StaffType","Support")</f>
        <v>10</v>
      </c>
      <c r="F18" s="366">
        <f>GETPIVOTDATA("Total Of PositionRef",hentrant!$A$45,"AgeRange",A18,"StaffType","Vol")</f>
        <v>1</v>
      </c>
      <c r="G18" s="1035">
        <f t="shared" si="0"/>
        <v>31</v>
      </c>
    </row>
    <row r="19" spans="1:8" x14ac:dyDescent="0.25">
      <c r="A19" s="437" t="s">
        <v>110</v>
      </c>
      <c r="B19" s="366">
        <f>GETPIVOTDATA("Total Of PositionRef",hentrant!$A$45,"AgeRange",A19,"StaffType","WT")</f>
        <v>3</v>
      </c>
      <c r="C19" s="366">
        <f>GETPIVOTDATA("Total Of PositionRef",hentrant!$A$45,"AgeRange",A19,"StaffType","RDS")</f>
        <v>16</v>
      </c>
      <c r="D19" s="366">
        <f>IFERROR(GETPIVOTDATA("Total Of PositionRef",hentrant!$A$45,"AgeRange",A19,"StaffType","Control"),0)</f>
        <v>0</v>
      </c>
      <c r="E19" s="366">
        <f>GETPIVOTDATA("Total Of PositionRef",hentrant!$A$45,"AgeRange",A19,"StaffType","Support")</f>
        <v>5</v>
      </c>
      <c r="F19" s="366">
        <f>GETPIVOTDATA("Total Of PositionRef",hentrant!$A$45,"AgeRange",A19,"StaffType","Vol")</f>
        <v>3</v>
      </c>
      <c r="G19" s="1035">
        <f t="shared" si="0"/>
        <v>27</v>
      </c>
    </row>
    <row r="20" spans="1:8" x14ac:dyDescent="0.25">
      <c r="A20" s="437" t="s">
        <v>111</v>
      </c>
      <c r="B20" s="366">
        <f>GETPIVOTDATA("Total Of PositionRef",hentrant!$A$45,"AgeRange",A20,"StaffType","WT")</f>
        <v>1</v>
      </c>
      <c r="C20" s="366">
        <f>GETPIVOTDATA("Total Of PositionRef",hentrant!$A$45,"AgeRange",A20,"StaffType","RDS")</f>
        <v>8</v>
      </c>
      <c r="D20" s="366">
        <f>IFERROR(GETPIVOTDATA("Total Of PositionRef",hentrant!$A$45,"AgeRange",A20,"StaffType","Control"),0)</f>
        <v>0</v>
      </c>
      <c r="E20" s="366">
        <f>GETPIVOTDATA("Total Of PositionRef",hentrant!$A$45,"AgeRange",A20,"StaffType","Support")</f>
        <v>7</v>
      </c>
      <c r="F20" s="366">
        <f>GETPIVOTDATA("Total Of PositionRef",hentrant!$A$45,"AgeRange",A20,"StaffType","Vol")</f>
        <v>3</v>
      </c>
      <c r="G20" s="1035">
        <f t="shared" si="0"/>
        <v>19</v>
      </c>
    </row>
    <row r="21" spans="1:8" x14ac:dyDescent="0.25">
      <c r="A21" s="437" t="s">
        <v>112</v>
      </c>
      <c r="B21" s="366">
        <f>GETPIVOTDATA("Total Of PositionRef",hentrant!$A$45,"AgeRange",A21,"StaffType","WT")</f>
        <v>1</v>
      </c>
      <c r="C21" s="366">
        <f>GETPIVOTDATA("Total Of PositionRef",hentrant!$A$45,"AgeRange",A21,"StaffType","RDS")</f>
        <v>3</v>
      </c>
      <c r="D21" s="366">
        <f>IFERROR(GETPIVOTDATA("Total Of PositionRef",hentrant!$A$45,"AgeRange",A21,"StaffType","Control"),0)</f>
        <v>0</v>
      </c>
      <c r="E21" s="366">
        <f>GETPIVOTDATA("Total Of PositionRef",hentrant!$A$45,"AgeRange",A21,"StaffType","Support")</f>
        <v>6</v>
      </c>
      <c r="F21" s="366">
        <f>GETPIVOTDATA("Total Of PositionRef",hentrant!$A$45,"AgeRange",A21,"StaffType","Vol")</f>
        <v>0</v>
      </c>
      <c r="G21" s="1035">
        <f t="shared" si="0"/>
        <v>10</v>
      </c>
    </row>
    <row r="22" spans="1:8" x14ac:dyDescent="0.25">
      <c r="A22" s="437" t="s">
        <v>113</v>
      </c>
      <c r="B22" s="366">
        <f>GETPIVOTDATA("Total Of PositionRef",hentrant!$A$45,"AgeRange",A22,"StaffType","WT")</f>
        <v>0</v>
      </c>
      <c r="C22" s="366">
        <f>GETPIVOTDATA("Total Of PositionRef",hentrant!$A$45,"AgeRange",A22,"StaffType","RDS")</f>
        <v>0</v>
      </c>
      <c r="D22" s="366">
        <f>IFERROR(GETPIVOTDATA("Total Of PositionRef",hentrant!$A$45,"AgeRange",A22,"StaffType","Control"),0)</f>
        <v>0</v>
      </c>
      <c r="E22" s="366">
        <f>GETPIVOTDATA("Total Of PositionRef",hentrant!$A$45,"AgeRange",A22,"StaffType","Support")</f>
        <v>1</v>
      </c>
      <c r="F22" s="366">
        <f>GETPIVOTDATA("Total Of PositionRef",hentrant!$A$45,"AgeRange",A22,"StaffType","Vol")</f>
        <v>0</v>
      </c>
      <c r="G22" s="1035">
        <f t="shared" si="0"/>
        <v>1</v>
      </c>
    </row>
    <row r="23" spans="1:8" x14ac:dyDescent="0.25">
      <c r="A23" s="437" t="s">
        <v>114</v>
      </c>
      <c r="B23" s="366">
        <f>IFERROR(GETPIVOTDATA("Total Of PositionRef",hentrant!$A$45,"AgeRange",A23,"StaffType","WT"),0)</f>
        <v>0</v>
      </c>
      <c r="C23" s="366">
        <f>IFERROR(GETPIVOTDATA("Total Of PositionRef",hentrant!$A$45,"AgeRange",A23,"StaffType","RDS"),0)</f>
        <v>0</v>
      </c>
      <c r="D23" s="366">
        <f>IFERROR(GETPIVOTDATA("Total Of PositionRef",hentrant!$A$45,"AgeRange",A23,"StaffType","Control"),0)</f>
        <v>0</v>
      </c>
      <c r="E23" s="366">
        <f>IFERROR(GETPIVOTDATA("Total Of PositionRef",hentrant!$A$45,"AgeRange",A23,"StaffType","Support"),0)</f>
        <v>0</v>
      </c>
      <c r="F23" s="366">
        <f>IFERROR(GETPIVOTDATA("Total Of PositionRef",hentrant!$A$45,"AgeRange",A23,"StaffType","Vol"),0)</f>
        <v>0</v>
      </c>
      <c r="G23" s="1035">
        <f t="shared" si="0"/>
        <v>0</v>
      </c>
    </row>
    <row r="24" spans="1:8" ht="15.75" thickBot="1" x14ac:dyDescent="0.3">
      <c r="A24" s="767" t="s">
        <v>406</v>
      </c>
      <c r="B24" s="1036">
        <f>SUM(B13:B23)</f>
        <v>119</v>
      </c>
      <c r="C24" s="1036">
        <f t="shared" ref="C24:G24" si="1">SUM(C13:C23)</f>
        <v>223</v>
      </c>
      <c r="D24" s="1036">
        <f t="shared" si="1"/>
        <v>0</v>
      </c>
      <c r="E24" s="1036">
        <f t="shared" si="1"/>
        <v>67</v>
      </c>
      <c r="F24" s="1036">
        <f t="shared" si="1"/>
        <v>21</v>
      </c>
      <c r="G24" s="1036">
        <f t="shared" si="1"/>
        <v>430</v>
      </c>
    </row>
    <row r="25" spans="1:8" x14ac:dyDescent="0.25">
      <c r="A25" s="768"/>
      <c r="B25" s="768"/>
      <c r="C25" s="768"/>
      <c r="D25" s="768"/>
      <c r="E25" s="768"/>
      <c r="F25" s="768"/>
      <c r="G25" s="768"/>
    </row>
    <row r="26" spans="1:8" x14ac:dyDescent="0.25">
      <c r="A26" s="491" t="s">
        <v>8</v>
      </c>
      <c r="B26" s="768"/>
      <c r="C26" s="768"/>
      <c r="D26" s="768"/>
      <c r="E26" s="768"/>
      <c r="F26" s="768"/>
      <c r="G26" s="768"/>
    </row>
    <row r="27" spans="1:8" ht="44.25" customHeight="1" x14ac:dyDescent="0.25">
      <c r="A27" s="1080" t="s">
        <v>813</v>
      </c>
      <c r="B27" s="1080"/>
      <c r="C27" s="1080"/>
      <c r="D27" s="1080"/>
      <c r="E27" s="1080"/>
      <c r="F27" s="1080"/>
      <c r="G27" s="1080"/>
      <c r="H27" s="1080"/>
    </row>
    <row r="29" spans="1:8" ht="15.75" customHeight="1" x14ac:dyDescent="0.25">
      <c r="A29" s="1087" t="s">
        <v>554</v>
      </c>
      <c r="B29" s="1087"/>
      <c r="C29" s="1087"/>
      <c r="D29" s="1087"/>
      <c r="E29" s="1087"/>
      <c r="F29" s="1087"/>
      <c r="G29" s="1087"/>
      <c r="H29" s="1087"/>
    </row>
    <row r="30" spans="1:8" ht="15.75" x14ac:dyDescent="0.25">
      <c r="A30" t="s">
        <v>511</v>
      </c>
      <c r="B30" s="635"/>
      <c r="C30" s="635"/>
      <c r="D30" s="635"/>
      <c r="E30" s="635"/>
      <c r="F30" s="635"/>
      <c r="G30" s="635"/>
      <c r="H30" s="635"/>
    </row>
    <row r="31" spans="1:8" ht="15.75" x14ac:dyDescent="0.25">
      <c r="A31" t="s">
        <v>363</v>
      </c>
      <c r="B31" t="s">
        <v>767</v>
      </c>
      <c r="C31" s="635"/>
      <c r="D31" s="635"/>
      <c r="E31" s="635"/>
      <c r="F31" s="635"/>
      <c r="G31" s="635"/>
      <c r="H31" s="635"/>
    </row>
    <row r="32" spans="1:8" ht="15.75" x14ac:dyDescent="0.25">
      <c r="A32" t="s">
        <v>364</v>
      </c>
      <c r="B32" t="s">
        <v>366</v>
      </c>
      <c r="C32" s="635"/>
      <c r="D32" s="635"/>
      <c r="E32" s="635"/>
      <c r="F32" s="635"/>
      <c r="G32" s="635"/>
      <c r="H32" s="635"/>
    </row>
    <row r="33" spans="1:8" x14ac:dyDescent="0.25">
      <c r="A33" t="s">
        <v>365</v>
      </c>
      <c r="B33" t="s">
        <v>367</v>
      </c>
    </row>
    <row r="35" spans="1:8" x14ac:dyDescent="0.25">
      <c r="A35" s="437" t="s">
        <v>1</v>
      </c>
    </row>
    <row r="36" spans="1:8" x14ac:dyDescent="0.25">
      <c r="A36" t="str">
        <f>hentrant!D23</f>
        <v>2019-20</v>
      </c>
      <c r="B36" s="790"/>
      <c r="C36" s="790"/>
      <c r="D36" s="790"/>
      <c r="E36" s="790"/>
      <c r="F36" s="790"/>
      <c r="G36" s="790"/>
    </row>
    <row r="37" spans="1:8" s="689" customFormat="1" ht="30" customHeight="1" x14ac:dyDescent="0.25">
      <c r="A37" s="769" t="str">
        <f>hentrant!A23</f>
        <v>FisYr</v>
      </c>
      <c r="B37" s="789" t="s">
        <v>27</v>
      </c>
      <c r="C37" s="789" t="s">
        <v>28</v>
      </c>
      <c r="D37" s="789" t="s">
        <v>2</v>
      </c>
      <c r="E37" s="789" t="s">
        <v>3</v>
      </c>
      <c r="F37" s="789" t="s">
        <v>549</v>
      </c>
      <c r="G37" s="789" t="s">
        <v>10</v>
      </c>
    </row>
    <row r="38" spans="1:8" x14ac:dyDescent="0.25">
      <c r="A38" s="437" t="str">
        <f>hentrant!A27</f>
        <v>Female</v>
      </c>
      <c r="B38">
        <f>GETPIVOTDATA("Total Of PositionRef",hentrant!$A$25,"Gender","Female","StaffType","WT")</f>
        <v>21</v>
      </c>
      <c r="C38">
        <f>GETPIVOTDATA("Total Of PositionRef",hentrant!$A$25,"Gender","Female","StaffType","RDS")</f>
        <v>23</v>
      </c>
      <c r="D38">
        <f>IFERROR(GETPIVOTDATA("Total Of PositionRef",hentrant!$A$25,"Gender","Female","StaffType","Control"),0)</f>
        <v>0</v>
      </c>
      <c r="E38">
        <f>GETPIVOTDATA("Total Of PositionRef",hentrant!$A$25,"Gender","Female","StaffType","Support")</f>
        <v>38</v>
      </c>
      <c r="F38">
        <f>GETPIVOTDATA("Total Of PositionRef",hentrant!$A$25,"Gender","Female","StaffType","Vol")</f>
        <v>6</v>
      </c>
      <c r="G38">
        <f>SUM(B38:F38)</f>
        <v>88</v>
      </c>
    </row>
    <row r="39" spans="1:8" x14ac:dyDescent="0.25">
      <c r="A39" s="437" t="str">
        <f>hentrant!A28</f>
        <v>Male</v>
      </c>
      <c r="B39">
        <f>GETPIVOTDATA("Total Of PositionRef",hentrant!$A$25,"Gender","Male","StaffType","WT")</f>
        <v>98</v>
      </c>
      <c r="C39">
        <f>GETPIVOTDATA("Total Of PositionRef",hentrant!$A$25,"Gender","Male","StaffType","RDS")</f>
        <v>200</v>
      </c>
      <c r="D39">
        <f>IFERROR(GETPIVOTDATA("Total Of PositionRef",hentrant!$A$25,"Gender","Male","StaffType","Control"),0)</f>
        <v>0</v>
      </c>
      <c r="E39">
        <f>GETPIVOTDATA("Total Of PositionRef",hentrant!$A$25,"Gender","Male","StaffType","Support")</f>
        <v>29</v>
      </c>
      <c r="F39">
        <f>GETPIVOTDATA("Total Of PositionRef",hentrant!$A$25,"Gender","Male","StaffType","Vol")</f>
        <v>15</v>
      </c>
      <c r="G39">
        <f>SUM(B39:F39)</f>
        <v>342</v>
      </c>
    </row>
    <row r="40" spans="1:8" ht="15.75" thickBot="1" x14ac:dyDescent="0.3">
      <c r="A40" s="767" t="s">
        <v>406</v>
      </c>
      <c r="B40" s="767">
        <f t="shared" ref="B40:G40" si="2">SUM(B38:B39)</f>
        <v>119</v>
      </c>
      <c r="C40" s="767">
        <f t="shared" si="2"/>
        <v>223</v>
      </c>
      <c r="D40" s="767">
        <f t="shared" si="2"/>
        <v>0</v>
      </c>
      <c r="E40" s="767">
        <f>SUM(E38:E39)</f>
        <v>67</v>
      </c>
      <c r="F40" s="767">
        <f>SUM(F38:F39)</f>
        <v>21</v>
      </c>
      <c r="G40" s="767">
        <f t="shared" si="2"/>
        <v>430</v>
      </c>
    </row>
    <row r="41" spans="1:8" x14ac:dyDescent="0.25">
      <c r="A41" s="768"/>
      <c r="B41" s="768"/>
      <c r="C41" s="768"/>
      <c r="D41" s="768"/>
      <c r="E41" s="768"/>
      <c r="F41" s="768"/>
      <c r="G41" s="768"/>
    </row>
    <row r="42" spans="1:8" x14ac:dyDescent="0.25">
      <c r="A42" s="491" t="s">
        <v>8</v>
      </c>
      <c r="B42" s="768"/>
      <c r="C42" s="768"/>
      <c r="D42" s="768"/>
      <c r="E42" s="768"/>
      <c r="F42" s="768"/>
      <c r="G42" s="768"/>
    </row>
    <row r="43" spans="1:8" ht="45" customHeight="1" x14ac:dyDescent="0.25">
      <c r="A43" s="1080" t="s">
        <v>813</v>
      </c>
      <c r="B43" s="1080"/>
      <c r="C43" s="1080"/>
      <c r="D43" s="1080"/>
      <c r="E43" s="1080"/>
      <c r="F43" s="1080"/>
      <c r="G43" s="1080"/>
      <c r="H43" s="1080"/>
    </row>
    <row r="44" spans="1:8" x14ac:dyDescent="0.25">
      <c r="A44" s="491"/>
    </row>
    <row r="45" spans="1:8" ht="15.75" x14ac:dyDescent="0.25">
      <c r="A45" s="1087" t="s">
        <v>555</v>
      </c>
      <c r="B45" s="1087"/>
      <c r="C45" s="1087"/>
      <c r="D45" s="1087"/>
      <c r="E45" s="1087"/>
      <c r="F45" s="1087"/>
      <c r="G45" s="1087"/>
      <c r="H45" s="1087"/>
    </row>
    <row r="46" spans="1:8" ht="15.75" x14ac:dyDescent="0.25">
      <c r="A46" t="s">
        <v>511</v>
      </c>
      <c r="B46" s="635"/>
      <c r="C46" s="635"/>
      <c r="D46" s="635"/>
      <c r="E46" s="635"/>
      <c r="F46" s="635"/>
      <c r="G46" s="635"/>
      <c r="H46" s="635"/>
    </row>
    <row r="47" spans="1:8" ht="15.75" x14ac:dyDescent="0.25">
      <c r="A47" t="s">
        <v>363</v>
      </c>
      <c r="B47" t="s">
        <v>768</v>
      </c>
      <c r="C47" s="635"/>
      <c r="D47" s="635"/>
      <c r="E47" s="635"/>
      <c r="F47" s="635"/>
      <c r="G47" s="635"/>
      <c r="H47" s="635"/>
    </row>
    <row r="48" spans="1:8" ht="15.75" x14ac:dyDescent="0.25">
      <c r="A48" t="s">
        <v>364</v>
      </c>
      <c r="B48" t="s">
        <v>366</v>
      </c>
      <c r="C48" s="635"/>
      <c r="D48" s="635"/>
      <c r="E48" s="635"/>
      <c r="F48" s="635"/>
      <c r="G48" s="635"/>
    </row>
    <row r="49" spans="1:8" ht="15.75" customHeight="1" x14ac:dyDescent="0.25">
      <c r="A49" t="s">
        <v>365</v>
      </c>
      <c r="B49" t="s">
        <v>367</v>
      </c>
    </row>
    <row r="50" spans="1:8" ht="15.75" customHeight="1" x14ac:dyDescent="0.25"/>
    <row r="51" spans="1:8" ht="15.75" customHeight="1" x14ac:dyDescent="0.25">
      <c r="A51" s="437" t="s">
        <v>1</v>
      </c>
    </row>
    <row r="52" spans="1:8" ht="15.75" customHeight="1" x14ac:dyDescent="0.25">
      <c r="A52" t="str">
        <f>hentrant!D13</f>
        <v>2019-20</v>
      </c>
      <c r="H52" s="770" t="s">
        <v>7</v>
      </c>
    </row>
    <row r="53" spans="1:8" ht="45" customHeight="1" x14ac:dyDescent="0.25">
      <c r="A53" s="181" t="s">
        <v>552</v>
      </c>
      <c r="B53" s="791" t="s">
        <v>27</v>
      </c>
      <c r="C53" s="791" t="s">
        <v>28</v>
      </c>
      <c r="D53" s="791" t="s">
        <v>2</v>
      </c>
      <c r="E53" s="791" t="s">
        <v>90</v>
      </c>
      <c r="F53" s="791" t="s">
        <v>29</v>
      </c>
      <c r="G53" s="632" t="s">
        <v>10</v>
      </c>
      <c r="H53" s="632" t="s">
        <v>551</v>
      </c>
    </row>
    <row r="54" spans="1:8" x14ac:dyDescent="0.25">
      <c r="A54" s="281" t="s">
        <v>118</v>
      </c>
      <c r="B54" s="433">
        <f>GETPIVOTDATA("Per",hentrant!$A$15,"Type","WT","Eth","Ethnic Minority")</f>
        <v>0</v>
      </c>
      <c r="C54" s="433">
        <f>GETPIVOTDATA("Per",hentrant!$A$15,"Type","RDS","Eth","Ethnic Minority")</f>
        <v>0.9</v>
      </c>
      <c r="D54" s="433" t="str">
        <f>IFERROR(GETPIVOTDATA("Per",hentrant!$A$15,"Type","Control","Eth","Ethnic Minority"),"")</f>
        <v/>
      </c>
      <c r="E54" s="433">
        <f>GETPIVOTDATA("Per",hentrant!$A$15,"Type","Support","Eth","Ethnic Minority")</f>
        <v>0</v>
      </c>
      <c r="F54" s="433">
        <f>GETPIVOTDATA("Per",hentrant!$A$15,"Type","Vol","Eth","Ethnic Minority")</f>
        <v>0</v>
      </c>
      <c r="G54" s="435">
        <f>GETPIVOTDATA("Per",hentrant!$A$15,"Type","Total","Eth","Ethnic Minority")</f>
        <v>0.5</v>
      </c>
      <c r="H54" s="435">
        <f>GETPIVOTDATA("Per",hentrant!$A$15,"Type","Total (ex Vol)","Eth","Ethnic Minority")</f>
        <v>0.5</v>
      </c>
    </row>
    <row r="55" spans="1:8" x14ac:dyDescent="0.25">
      <c r="A55" s="223" t="s">
        <v>117</v>
      </c>
      <c r="B55">
        <f>GETPIVOTDATA("Per",hentrant!$A$15,"Type","WT","Eth","White")</f>
        <v>14.3</v>
      </c>
      <c r="C55" s="225">
        <f>GETPIVOTDATA("Per",hentrant!$A$15,"Type","RDS","Eth","White")</f>
        <v>10.8</v>
      </c>
      <c r="D55" s="225" t="str">
        <f>IFERROR(GETPIVOTDATA("Per",hentrant!$A$15,"Type","Control","Eth","White"),"")</f>
        <v/>
      </c>
      <c r="E55" s="225">
        <f>GETPIVOTDATA("Per",hentrant!$A$15,"Type","Support","Eth","White")</f>
        <v>37.299999999999997</v>
      </c>
      <c r="F55" s="225">
        <f>GETPIVOTDATA("Per",hentrant!$A$15,"Type","Vol","Eth","White")</f>
        <v>4.8</v>
      </c>
      <c r="G55" s="227">
        <f>GETPIVOTDATA("Per",hentrant!$A$15,"Type","Total","Eth","White")</f>
        <v>15.6</v>
      </c>
      <c r="H55" s="227">
        <f>GETPIVOTDATA("Per",hentrant!$A$15,"Type","Total (ex Vol)","Eth","White")</f>
        <v>16.100000000000001</v>
      </c>
    </row>
    <row r="56" spans="1:8" x14ac:dyDescent="0.25">
      <c r="A56" s="583" t="s">
        <v>383</v>
      </c>
      <c r="B56" s="771">
        <f>GETPIVOTDATA("Per",hentrant!$A$15,"Type","WT","Eth","Not Stated")</f>
        <v>85.7</v>
      </c>
      <c r="C56" s="771">
        <f>GETPIVOTDATA("Per",hentrant!$A$15,"Type","RDS","Eth","Not Stated")</f>
        <v>88.3</v>
      </c>
      <c r="D56" s="771" t="str">
        <f>IFERROR(GETPIVOTDATA("Per",hentrant!$A$15,"Type","Control","Eth","Not Stated"),"")</f>
        <v/>
      </c>
      <c r="E56" s="771">
        <f>GETPIVOTDATA("Per",hentrant!$A$15,"Type","Support","Eth","Not Stated")</f>
        <v>62.7</v>
      </c>
      <c r="F56" s="771">
        <f>GETPIVOTDATA("Per",hentrant!$A$15,"Type","Vol","Eth","Not Stated")</f>
        <v>95.2</v>
      </c>
      <c r="G56" s="754">
        <f>GETPIVOTDATA("Per",hentrant!$A$15,"Type","Total","Eth","Not Stated")</f>
        <v>84</v>
      </c>
      <c r="H56" s="754">
        <f>GETPIVOTDATA("Per",hentrant!$A$15,"Type","Total (ex Vol)","Eth","Not Stated")</f>
        <v>83.4</v>
      </c>
    </row>
    <row r="58" spans="1:8" x14ac:dyDescent="0.25">
      <c r="A58" s="491" t="s">
        <v>8</v>
      </c>
      <c r="B58" s="31"/>
      <c r="C58" s="31"/>
      <c r="D58" s="31"/>
      <c r="E58" s="31"/>
      <c r="F58" s="31"/>
      <c r="G58" s="31"/>
      <c r="H58" s="31"/>
    </row>
    <row r="59" spans="1:8" ht="15" customHeight="1" x14ac:dyDescent="0.25">
      <c r="A59" s="1113" t="s">
        <v>558</v>
      </c>
      <c r="B59" s="1113"/>
      <c r="C59" s="1113"/>
      <c r="D59" s="1113"/>
      <c r="E59" s="1113"/>
      <c r="F59" s="1113"/>
      <c r="G59" s="1113"/>
      <c r="H59" s="1113"/>
    </row>
    <row r="60" spans="1:8" ht="30" customHeight="1" x14ac:dyDescent="0.25">
      <c r="A60" s="1113" t="s">
        <v>814</v>
      </c>
      <c r="B60" s="1113"/>
      <c r="C60" s="1113"/>
      <c r="D60" s="1113"/>
      <c r="E60" s="1113"/>
      <c r="F60" s="1113"/>
      <c r="G60" s="1113"/>
      <c r="H60" s="1113"/>
    </row>
    <row r="61" spans="1:8" ht="15" customHeight="1" x14ac:dyDescent="0.25">
      <c r="A61" s="634"/>
      <c r="B61" s="634"/>
      <c r="C61" s="634"/>
      <c r="D61" s="634"/>
      <c r="E61" s="634"/>
      <c r="F61" s="634"/>
      <c r="G61" s="634"/>
      <c r="H61" s="634"/>
    </row>
    <row r="62" spans="1:8" ht="15.75" x14ac:dyDescent="0.25">
      <c r="A62" s="1087" t="s">
        <v>556</v>
      </c>
      <c r="B62" s="1087"/>
      <c r="C62" s="1087"/>
      <c r="D62" s="1087"/>
      <c r="E62" s="1087"/>
      <c r="F62" s="1087"/>
      <c r="G62" s="1087"/>
      <c r="H62" s="1087"/>
    </row>
    <row r="63" spans="1:8" ht="15.75" x14ac:dyDescent="0.25">
      <c r="A63" t="s">
        <v>511</v>
      </c>
      <c r="B63" s="635"/>
      <c r="C63" s="635"/>
      <c r="D63" s="635"/>
      <c r="E63" s="635"/>
      <c r="F63" s="635"/>
      <c r="G63" s="635"/>
      <c r="H63" s="635"/>
    </row>
    <row r="64" spans="1:8" ht="15.75" x14ac:dyDescent="0.25">
      <c r="A64" t="s">
        <v>363</v>
      </c>
      <c r="B64" t="s">
        <v>769</v>
      </c>
      <c r="C64" s="635"/>
      <c r="D64" s="1023"/>
      <c r="F64" s="635"/>
      <c r="G64" s="635"/>
      <c r="H64" s="635"/>
    </row>
    <row r="65" spans="1:26" ht="15.75" x14ac:dyDescent="0.25">
      <c r="A65" t="s">
        <v>364</v>
      </c>
      <c r="B65" t="s">
        <v>366</v>
      </c>
      <c r="C65" s="635"/>
      <c r="D65" s="635"/>
      <c r="E65" s="635"/>
      <c r="F65" s="635"/>
      <c r="G65" s="635"/>
    </row>
    <row r="66" spans="1:26" x14ac:dyDescent="0.25">
      <c r="A66" t="s">
        <v>365</v>
      </c>
      <c r="B66" t="s">
        <v>367</v>
      </c>
    </row>
    <row r="68" spans="1:26" x14ac:dyDescent="0.25">
      <c r="A68" t="s">
        <v>1</v>
      </c>
      <c r="H68" s="770" t="s">
        <v>7</v>
      </c>
    </row>
    <row r="69" spans="1:26" ht="45" customHeight="1" x14ac:dyDescent="0.25">
      <c r="A69" s="181" t="str">
        <f>hentrant!$D$1</f>
        <v>2019-20</v>
      </c>
      <c r="B69" s="791" t="s">
        <v>27</v>
      </c>
      <c r="C69" s="791" t="s">
        <v>28</v>
      </c>
      <c r="D69" s="791" t="s">
        <v>2</v>
      </c>
      <c r="E69" s="791" t="s">
        <v>90</v>
      </c>
      <c r="F69" s="791" t="s">
        <v>29</v>
      </c>
      <c r="G69" s="632" t="s">
        <v>10</v>
      </c>
      <c r="H69" s="632" t="s">
        <v>551</v>
      </c>
    </row>
    <row r="70" spans="1:26" x14ac:dyDescent="0.25">
      <c r="A70" s="281" t="str">
        <f>hentrant!A6</f>
        <v>Not Disabled</v>
      </c>
      <c r="B70" s="1056">
        <f>GETPIVOTDATA("Total",hentrant!$A$3,"DisStat","Disabled","Type","WT")</f>
        <v>0.8</v>
      </c>
      <c r="C70" s="1056">
        <f>GETPIVOTDATA("Total",hentrant!$A$3,"DisStat","Disabled","Type","RDS")</f>
        <v>0.4</v>
      </c>
      <c r="D70" s="1056" t="str">
        <f>IFERROR(GETPIVOTDATA("Total",hentrant!$A$3,"DisStat","Disabled","Type","Control"),"")</f>
        <v/>
      </c>
      <c r="E70" s="1056">
        <f>GETPIVOTDATA("Total",hentrant!$A$3,"DisStat","Disabled","Type","Support")</f>
        <v>4.5</v>
      </c>
      <c r="F70" s="1056">
        <f>GETPIVOTDATA("Total",hentrant!$A$3,"DisStat","Disabled","Type","Vol")</f>
        <v>0</v>
      </c>
      <c r="G70" s="1057">
        <f>GETPIVOTDATA("Total",hentrant!$A$3,"DisStat","Disabled","Type","Total")</f>
        <v>1.2</v>
      </c>
      <c r="H70" s="1057">
        <f>GETPIVOTDATA("Total",hentrant!$A$3,"DisStat","Disabled","Type","TotalExVol")</f>
        <v>1.2</v>
      </c>
    </row>
    <row r="71" spans="1:26" x14ac:dyDescent="0.25">
      <c r="A71" s="223" t="str">
        <f>hentrant!A7</f>
        <v>Not Known</v>
      </c>
      <c r="B71" s="1058">
        <f>GETPIVOTDATA("Total",hentrant!$A$3,"DisStat","Not Disabled","Type","WT")</f>
        <v>9.1999999999999993</v>
      </c>
      <c r="C71" s="1058">
        <f>GETPIVOTDATA("Total",hentrant!$A$3,"DisStat","Not Disabled","Type","RDS")</f>
        <v>8.5</v>
      </c>
      <c r="D71" s="1058" t="str">
        <f>IFERROR(GETPIVOTDATA("Total",hentrant!$A$3,"DisStat","Not Disabled","Type","Control"),"")</f>
        <v/>
      </c>
      <c r="E71" s="1058">
        <f>GETPIVOTDATA("Total",hentrant!$A$3,"DisStat","Not Disabled","Type","Support")</f>
        <v>23.9</v>
      </c>
      <c r="F71" s="1058">
        <f>GETPIVOTDATA("Total",hentrant!$A$3,"DisStat","Not Disabled","Type","Vol")</f>
        <v>0</v>
      </c>
      <c r="G71" s="1059">
        <f>GETPIVOTDATA("Total",hentrant!$A$3,"DisStat","Not Disabled","Type","Total")</f>
        <v>10.7</v>
      </c>
      <c r="H71" s="1059">
        <f>GETPIVOTDATA("Total",hentrant!$A$3,"DisStat","Not Disabled","Type","TotalExVol")</f>
        <v>11.2</v>
      </c>
    </row>
    <row r="72" spans="1:26" x14ac:dyDescent="0.25">
      <c r="A72" s="583" t="str">
        <f>hentrant!A8</f>
        <v>Grand Total</v>
      </c>
      <c r="B72" s="1060">
        <f>GETPIVOTDATA("Total",hentrant!$A$3,"DisStat","Not Known","Type","WT")</f>
        <v>89.9</v>
      </c>
      <c r="C72" s="1060">
        <f>GETPIVOTDATA("Total",hentrant!$A$3,"DisStat","Not Known","Type","RDS")</f>
        <v>91</v>
      </c>
      <c r="D72" s="1060" t="str">
        <f>IFERROR(GETPIVOTDATA("Total",hentrant!$A$3,"DisStat","Not Known","Type","Control"),"")</f>
        <v/>
      </c>
      <c r="E72" s="1060">
        <f>GETPIVOTDATA("Total",hentrant!$A$3,"DisStat","Not Known","Type","Support")</f>
        <v>71.599999999999994</v>
      </c>
      <c r="F72" s="1060">
        <f>GETPIVOTDATA("Total",hentrant!$A$3,"DisStat","Not Known","Type","Vol")</f>
        <v>100</v>
      </c>
      <c r="G72" s="1061">
        <f>GETPIVOTDATA("Total",hentrant!$A$3,"DisStat","Not Known","Type","Total")</f>
        <v>88.1</v>
      </c>
      <c r="H72" s="1061">
        <f>GETPIVOTDATA("Total",hentrant!$A$3,"DisStat","Not Known","Type","TotalExVol")</f>
        <v>87.5</v>
      </c>
      <c r="Z72" t="s">
        <v>495</v>
      </c>
    </row>
    <row r="74" spans="1:26" x14ac:dyDescent="0.25">
      <c r="A74" s="491" t="s">
        <v>8</v>
      </c>
      <c r="B74" s="31"/>
      <c r="C74" s="31"/>
      <c r="D74" s="31"/>
      <c r="E74" s="31"/>
      <c r="F74" s="31"/>
      <c r="G74" s="31"/>
      <c r="H74" s="31"/>
    </row>
    <row r="75" spans="1:26" ht="15.75" customHeight="1" x14ac:dyDescent="0.25">
      <c r="A75" s="1113" t="s">
        <v>558</v>
      </c>
      <c r="B75" s="1113"/>
      <c r="C75" s="1113"/>
      <c r="D75" s="1113"/>
      <c r="E75" s="1113"/>
      <c r="F75" s="1113"/>
      <c r="G75" s="1113"/>
      <c r="H75" s="1113"/>
    </row>
    <row r="76" spans="1:26" ht="30.75" customHeight="1" x14ac:dyDescent="0.25">
      <c r="A76" s="1113" t="s">
        <v>814</v>
      </c>
      <c r="B76" s="1113"/>
      <c r="C76" s="1113"/>
      <c r="D76" s="1113"/>
      <c r="E76" s="1113"/>
      <c r="F76" s="1113"/>
      <c r="G76" s="1113"/>
      <c r="H76" s="1113"/>
    </row>
  </sheetData>
  <sheetProtection algorithmName="SHA-512" hashValue="FRrCGqr4rpl1iI1poFBDzVLxFeM6ydMVrc+s2U4T04JrKwMJ+ypO4go5TlEVzR16wHucLPAsOBDxjAoBYK21RA==" saltValue="KoD5Cl+Fb+tC3p0/NJhXWQ==" spinCount="100000" sheet="1" scenarios="1" formatCells="0" formatColumns="0" formatRows="0" sort="0" autoFilter="0" pivotTables="0"/>
  <mergeCells count="11">
    <mergeCell ref="A76:H76"/>
    <mergeCell ref="A62:H62"/>
    <mergeCell ref="A59:H59"/>
    <mergeCell ref="A75:H75"/>
    <mergeCell ref="A1:C1"/>
    <mergeCell ref="A4:H4"/>
    <mergeCell ref="A29:H29"/>
    <mergeCell ref="A45:H45"/>
    <mergeCell ref="A27:H27"/>
    <mergeCell ref="A43:H43"/>
    <mergeCell ref="A60:H60"/>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57"/>
  <sheetViews>
    <sheetView workbookViewId="0">
      <selection activeCell="H6" sqref="H6"/>
    </sheetView>
  </sheetViews>
  <sheetFormatPr defaultRowHeight="15" x14ac:dyDescent="0.25"/>
  <cols>
    <col min="1" max="1" width="13.140625" bestFit="1" customWidth="1"/>
    <col min="2" max="2" width="16.28515625" bestFit="1" customWidth="1"/>
    <col min="3" max="3" width="8" bestFit="1" customWidth="1"/>
    <col min="4" max="4" width="7.7109375" bestFit="1" customWidth="1"/>
    <col min="5" max="5" width="5" bestFit="1" customWidth="1"/>
    <col min="6" max="6" width="5.42578125" bestFit="1" customWidth="1"/>
    <col min="7" max="7" width="10.42578125" bestFit="1" customWidth="1"/>
    <col min="8" max="9" width="11.28515625" bestFit="1" customWidth="1"/>
    <col min="10" max="10" width="12" bestFit="1" customWidth="1"/>
    <col min="11" max="11" width="19.42578125" bestFit="1" customWidth="1"/>
    <col min="12" max="12" width="17" bestFit="1" customWidth="1"/>
    <col min="13" max="13" width="24.42578125" bestFit="1" customWidth="1"/>
    <col min="14" max="18" width="21.5703125" bestFit="1" customWidth="1"/>
    <col min="19" max="19" width="18.28515625" bestFit="1" customWidth="1"/>
    <col min="20" max="20" width="26.5703125" bestFit="1" customWidth="1"/>
    <col min="21" max="21" width="22.28515625" bestFit="1" customWidth="1"/>
    <col min="22" max="22" width="18.28515625" bestFit="1" customWidth="1"/>
    <col min="23" max="23" width="26.5703125" bestFit="1" customWidth="1"/>
    <col min="24" max="24" width="22.28515625" bestFit="1" customWidth="1"/>
  </cols>
  <sheetData>
    <row r="1" spans="1:8" x14ac:dyDescent="0.25">
      <c r="A1" s="565" t="s">
        <v>245</v>
      </c>
      <c r="B1" t="s">
        <v>851</v>
      </c>
      <c r="D1" t="str">
        <f>B1</f>
        <v>2019-20</v>
      </c>
    </row>
    <row r="3" spans="1:8" x14ac:dyDescent="0.25">
      <c r="A3" s="565" t="s">
        <v>252</v>
      </c>
      <c r="B3" s="565" t="s">
        <v>271</v>
      </c>
    </row>
    <row r="4" spans="1:8" x14ac:dyDescent="0.25">
      <c r="A4" s="565" t="s">
        <v>246</v>
      </c>
      <c r="B4" t="s">
        <v>9</v>
      </c>
      <c r="C4" t="s">
        <v>3</v>
      </c>
      <c r="D4" t="s">
        <v>315</v>
      </c>
      <c r="E4" t="s">
        <v>316</v>
      </c>
      <c r="F4" t="s">
        <v>26</v>
      </c>
      <c r="G4" t="s">
        <v>1064</v>
      </c>
      <c r="H4" t="s">
        <v>251</v>
      </c>
    </row>
    <row r="5" spans="1:8" x14ac:dyDescent="0.25">
      <c r="A5" s="1068" t="s">
        <v>984</v>
      </c>
      <c r="B5" s="567">
        <v>0.4</v>
      </c>
      <c r="C5" s="567">
        <v>4.5</v>
      </c>
      <c r="D5" s="567"/>
      <c r="E5" s="567">
        <v>0.8</v>
      </c>
      <c r="F5" s="567">
        <v>1.2</v>
      </c>
      <c r="G5" s="567">
        <v>1.2</v>
      </c>
      <c r="H5" s="567">
        <v>8.1</v>
      </c>
    </row>
    <row r="6" spans="1:8" x14ac:dyDescent="0.25">
      <c r="A6" s="1068" t="s">
        <v>985</v>
      </c>
      <c r="B6" s="567">
        <v>8.5</v>
      </c>
      <c r="C6" s="567">
        <v>23.9</v>
      </c>
      <c r="D6" s="567"/>
      <c r="E6" s="567">
        <v>9.1999999999999993</v>
      </c>
      <c r="F6" s="567">
        <v>10.7</v>
      </c>
      <c r="G6" s="567">
        <v>11.2</v>
      </c>
      <c r="H6" s="567">
        <v>63.5</v>
      </c>
    </row>
    <row r="7" spans="1:8" x14ac:dyDescent="0.25">
      <c r="A7" s="1068" t="s">
        <v>879</v>
      </c>
      <c r="B7" s="567">
        <v>91</v>
      </c>
      <c r="C7" s="567">
        <v>71.599999999999994</v>
      </c>
      <c r="D7" s="567">
        <v>100</v>
      </c>
      <c r="E7" s="567">
        <v>89.9</v>
      </c>
      <c r="F7" s="567">
        <v>88.1</v>
      </c>
      <c r="G7" s="567">
        <v>87.5</v>
      </c>
      <c r="H7" s="567">
        <v>528.1</v>
      </c>
    </row>
    <row r="8" spans="1:8" x14ac:dyDescent="0.25">
      <c r="A8" s="1068" t="s">
        <v>251</v>
      </c>
      <c r="B8" s="567">
        <v>99.9</v>
      </c>
      <c r="C8" s="567">
        <v>100</v>
      </c>
      <c r="D8" s="567">
        <v>100</v>
      </c>
      <c r="E8" s="567">
        <v>99.9</v>
      </c>
      <c r="F8" s="567">
        <v>100</v>
      </c>
      <c r="G8" s="567">
        <v>99.9</v>
      </c>
      <c r="H8" s="567">
        <v>599.70000000000005</v>
      </c>
    </row>
    <row r="13" spans="1:8" x14ac:dyDescent="0.25">
      <c r="A13" s="565" t="s">
        <v>245</v>
      </c>
      <c r="B13" t="s">
        <v>851</v>
      </c>
      <c r="D13" t="str">
        <f>B13</f>
        <v>2019-20</v>
      </c>
    </row>
    <row r="15" spans="1:8" x14ac:dyDescent="0.25">
      <c r="A15" s="565" t="s">
        <v>1026</v>
      </c>
      <c r="B15" s="565" t="s">
        <v>271</v>
      </c>
    </row>
    <row r="16" spans="1:8" x14ac:dyDescent="0.25">
      <c r="A16" s="565" t="s">
        <v>246</v>
      </c>
      <c r="B16" t="s">
        <v>9</v>
      </c>
      <c r="C16" t="s">
        <v>3</v>
      </c>
      <c r="D16" t="s">
        <v>26</v>
      </c>
      <c r="E16" t="s">
        <v>324</v>
      </c>
      <c r="F16" t="s">
        <v>315</v>
      </c>
      <c r="G16" t="s">
        <v>316</v>
      </c>
      <c r="H16" t="s">
        <v>251</v>
      </c>
    </row>
    <row r="17" spans="1:8" x14ac:dyDescent="0.25">
      <c r="A17" s="1068" t="s">
        <v>118</v>
      </c>
      <c r="B17" s="567">
        <v>0.9</v>
      </c>
      <c r="C17" s="567"/>
      <c r="D17" s="567">
        <v>0.5</v>
      </c>
      <c r="E17" s="567">
        <v>0.5</v>
      </c>
      <c r="F17" s="567"/>
      <c r="G17" s="567"/>
      <c r="H17" s="567">
        <v>1.9</v>
      </c>
    </row>
    <row r="18" spans="1:8" x14ac:dyDescent="0.25">
      <c r="A18" s="1068" t="s">
        <v>383</v>
      </c>
      <c r="B18" s="567">
        <v>88.3</v>
      </c>
      <c r="C18" s="567">
        <v>62.7</v>
      </c>
      <c r="D18" s="567">
        <v>84</v>
      </c>
      <c r="E18" s="567">
        <v>83.4</v>
      </c>
      <c r="F18" s="567">
        <v>95.2</v>
      </c>
      <c r="G18" s="567">
        <v>85.7</v>
      </c>
      <c r="H18" s="567">
        <v>499.29999999999995</v>
      </c>
    </row>
    <row r="19" spans="1:8" x14ac:dyDescent="0.25">
      <c r="A19" s="1068" t="s">
        <v>117</v>
      </c>
      <c r="B19" s="567">
        <v>10.8</v>
      </c>
      <c r="C19" s="567">
        <v>37.299999999999997</v>
      </c>
      <c r="D19" s="567">
        <v>15.6</v>
      </c>
      <c r="E19" s="567">
        <v>16.100000000000001</v>
      </c>
      <c r="F19" s="567">
        <v>4.8</v>
      </c>
      <c r="G19" s="567">
        <v>14.3</v>
      </c>
      <c r="H19" s="567">
        <v>98.899999999999991</v>
      </c>
    </row>
    <row r="20" spans="1:8" x14ac:dyDescent="0.25">
      <c r="A20" s="1068" t="s">
        <v>251</v>
      </c>
      <c r="B20" s="567">
        <v>100</v>
      </c>
      <c r="C20" s="567">
        <v>100</v>
      </c>
      <c r="D20" s="567">
        <v>100.1</v>
      </c>
      <c r="E20" s="567">
        <v>100</v>
      </c>
      <c r="F20" s="567">
        <v>100</v>
      </c>
      <c r="G20" s="567">
        <v>100</v>
      </c>
      <c r="H20" s="567">
        <v>600.09999999999991</v>
      </c>
    </row>
    <row r="23" spans="1:8" x14ac:dyDescent="0.25">
      <c r="A23" s="565" t="s">
        <v>329</v>
      </c>
      <c r="B23" t="s">
        <v>851</v>
      </c>
      <c r="D23" t="str">
        <f>B23</f>
        <v>2019-20</v>
      </c>
    </row>
    <row r="25" spans="1:8" x14ac:dyDescent="0.25">
      <c r="A25" s="565" t="s">
        <v>1027</v>
      </c>
      <c r="B25" s="565" t="s">
        <v>271</v>
      </c>
    </row>
    <row r="26" spans="1:8" x14ac:dyDescent="0.25">
      <c r="A26" s="565" t="s">
        <v>246</v>
      </c>
      <c r="B26" t="s">
        <v>9</v>
      </c>
      <c r="C26" t="s">
        <v>3</v>
      </c>
      <c r="D26" t="s">
        <v>315</v>
      </c>
      <c r="E26" t="s">
        <v>316</v>
      </c>
      <c r="F26" t="s">
        <v>251</v>
      </c>
    </row>
    <row r="27" spans="1:8" x14ac:dyDescent="0.25">
      <c r="A27" s="1068" t="s">
        <v>92</v>
      </c>
      <c r="B27" s="567">
        <v>23</v>
      </c>
      <c r="C27" s="567">
        <v>38</v>
      </c>
      <c r="D27" s="567">
        <v>6</v>
      </c>
      <c r="E27" s="567">
        <v>21</v>
      </c>
      <c r="F27" s="567">
        <v>88</v>
      </c>
    </row>
    <row r="28" spans="1:8" x14ac:dyDescent="0.25">
      <c r="A28" s="1068" t="s">
        <v>93</v>
      </c>
      <c r="B28" s="567">
        <v>200</v>
      </c>
      <c r="C28" s="567">
        <v>29</v>
      </c>
      <c r="D28" s="567">
        <v>15</v>
      </c>
      <c r="E28" s="567">
        <v>98</v>
      </c>
      <c r="F28" s="567">
        <v>342</v>
      </c>
    </row>
    <row r="29" spans="1:8" x14ac:dyDescent="0.25">
      <c r="A29" s="1068" t="s">
        <v>251</v>
      </c>
      <c r="B29" s="567">
        <v>223</v>
      </c>
      <c r="C29" s="567">
        <v>67</v>
      </c>
      <c r="D29" s="567">
        <v>21</v>
      </c>
      <c r="E29" s="567">
        <v>119</v>
      </c>
      <c r="F29" s="567">
        <v>430</v>
      </c>
    </row>
    <row r="43" spans="1:6" x14ac:dyDescent="0.25">
      <c r="A43" s="565" t="s">
        <v>329</v>
      </c>
      <c r="B43" t="s">
        <v>851</v>
      </c>
      <c r="D43" t="str">
        <f>B43</f>
        <v>2019-20</v>
      </c>
    </row>
    <row r="45" spans="1:6" x14ac:dyDescent="0.25">
      <c r="A45" s="565" t="s">
        <v>1027</v>
      </c>
      <c r="B45" s="565" t="s">
        <v>271</v>
      </c>
    </row>
    <row r="46" spans="1:6" x14ac:dyDescent="0.25">
      <c r="A46" s="565" t="s">
        <v>246</v>
      </c>
      <c r="B46" t="s">
        <v>9</v>
      </c>
      <c r="C46" t="s">
        <v>3</v>
      </c>
      <c r="D46" t="s">
        <v>315</v>
      </c>
      <c r="E46" t="s">
        <v>316</v>
      </c>
      <c r="F46" t="s">
        <v>251</v>
      </c>
    </row>
    <row r="47" spans="1:6" x14ac:dyDescent="0.25">
      <c r="A47" s="1068" t="s">
        <v>105</v>
      </c>
      <c r="B47" s="567">
        <v>52</v>
      </c>
      <c r="C47" s="567">
        <v>6</v>
      </c>
      <c r="D47" s="567">
        <v>4</v>
      </c>
      <c r="E47" s="567">
        <v>7</v>
      </c>
      <c r="F47" s="567">
        <v>69</v>
      </c>
    </row>
    <row r="48" spans="1:6" x14ac:dyDescent="0.25">
      <c r="A48" s="1068" t="s">
        <v>106</v>
      </c>
      <c r="B48" s="567">
        <v>43</v>
      </c>
      <c r="C48" s="567">
        <v>14</v>
      </c>
      <c r="D48" s="567">
        <v>2</v>
      </c>
      <c r="E48" s="567">
        <v>41</v>
      </c>
      <c r="F48" s="567">
        <v>100</v>
      </c>
    </row>
    <row r="49" spans="1:6" x14ac:dyDescent="0.25">
      <c r="A49" s="1068" t="s">
        <v>107</v>
      </c>
      <c r="B49" s="567">
        <v>42</v>
      </c>
      <c r="C49" s="567">
        <v>5</v>
      </c>
      <c r="D49" s="567">
        <v>6</v>
      </c>
      <c r="E49" s="567">
        <v>43</v>
      </c>
      <c r="F49" s="567">
        <v>96</v>
      </c>
    </row>
    <row r="50" spans="1:6" x14ac:dyDescent="0.25">
      <c r="A50" s="1068" t="s">
        <v>108</v>
      </c>
      <c r="B50" s="567">
        <v>40</v>
      </c>
      <c r="C50" s="567">
        <v>10</v>
      </c>
      <c r="D50" s="567">
        <v>2</v>
      </c>
      <c r="E50" s="567">
        <v>14</v>
      </c>
      <c r="F50" s="567">
        <v>66</v>
      </c>
    </row>
    <row r="51" spans="1:6" x14ac:dyDescent="0.25">
      <c r="A51" s="1068" t="s">
        <v>109</v>
      </c>
      <c r="B51" s="567">
        <v>11</v>
      </c>
      <c r="C51" s="567">
        <v>10</v>
      </c>
      <c r="D51" s="567">
        <v>1</v>
      </c>
      <c r="E51" s="567">
        <v>9</v>
      </c>
      <c r="F51" s="567">
        <v>31</v>
      </c>
    </row>
    <row r="52" spans="1:6" x14ac:dyDescent="0.25">
      <c r="A52" s="1068" t="s">
        <v>110</v>
      </c>
      <c r="B52" s="567">
        <v>16</v>
      </c>
      <c r="C52" s="567">
        <v>5</v>
      </c>
      <c r="D52" s="567">
        <v>3</v>
      </c>
      <c r="E52" s="567">
        <v>3</v>
      </c>
      <c r="F52" s="567">
        <v>27</v>
      </c>
    </row>
    <row r="53" spans="1:6" x14ac:dyDescent="0.25">
      <c r="A53" s="1068" t="s">
        <v>111</v>
      </c>
      <c r="B53" s="567">
        <v>8</v>
      </c>
      <c r="C53" s="567">
        <v>7</v>
      </c>
      <c r="D53" s="567">
        <v>3</v>
      </c>
      <c r="E53" s="567">
        <v>1</v>
      </c>
      <c r="F53" s="567">
        <v>19</v>
      </c>
    </row>
    <row r="54" spans="1:6" x14ac:dyDescent="0.25">
      <c r="A54" s="1068" t="s">
        <v>112</v>
      </c>
      <c r="B54" s="567">
        <v>3</v>
      </c>
      <c r="C54" s="567">
        <v>6</v>
      </c>
      <c r="D54" s="567"/>
      <c r="E54" s="567">
        <v>1</v>
      </c>
      <c r="F54" s="567">
        <v>10</v>
      </c>
    </row>
    <row r="55" spans="1:6" x14ac:dyDescent="0.25">
      <c r="A55" s="1068" t="s">
        <v>113</v>
      </c>
      <c r="B55" s="567"/>
      <c r="C55" s="567">
        <v>1</v>
      </c>
      <c r="D55" s="567"/>
      <c r="E55" s="567"/>
      <c r="F55" s="567">
        <v>1</v>
      </c>
    </row>
    <row r="56" spans="1:6" x14ac:dyDescent="0.25">
      <c r="A56" s="1068" t="s">
        <v>321</v>
      </c>
      <c r="B56" s="567">
        <v>8</v>
      </c>
      <c r="C56" s="567">
        <v>3</v>
      </c>
      <c r="D56" s="567"/>
      <c r="E56" s="567"/>
      <c r="F56" s="567">
        <v>11</v>
      </c>
    </row>
    <row r="57" spans="1:6" x14ac:dyDescent="0.25">
      <c r="A57" s="1068" t="s">
        <v>251</v>
      </c>
      <c r="B57" s="567">
        <v>223</v>
      </c>
      <c r="C57" s="567">
        <v>67</v>
      </c>
      <c r="D57" s="567">
        <v>21</v>
      </c>
      <c r="E57" s="567">
        <v>119</v>
      </c>
      <c r="F57" s="567">
        <v>430</v>
      </c>
    </row>
  </sheetData>
  <sheetProtection algorithmName="SHA-512" hashValue="0K3bymoSyLiTUIJp3+u8LH9tgbAgIWlaFti/TqB57Mt2vuTKtqMcoAUIXRwClNQUKy6QngwbFYWbypCBPc5f6w==" saltValue="Z2cdGibjpm+4pBzk1snmEA==" spinCount="100000" sheet="1" scenarios="1" formatCells="0" formatColumns="0" formatRows="0" sort="0" autoFilter="0" pivotTables="0"/>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33"/>
  <sheetViews>
    <sheetView showGridLines="0" workbookViewId="0">
      <pane ySplit="2" topLeftCell="A12" activePane="bottomLeft" state="frozen"/>
      <selection pane="bottomLeft" sqref="A1:C1"/>
    </sheetView>
  </sheetViews>
  <sheetFormatPr defaultRowHeight="15" x14ac:dyDescent="0.25"/>
  <cols>
    <col min="1" max="1" width="35.85546875" customWidth="1"/>
    <col min="2" max="13" width="12.140625" customWidth="1"/>
  </cols>
  <sheetData>
    <row r="1" spans="1:13" ht="15.75" x14ac:dyDescent="0.25">
      <c r="A1" s="1077" t="s">
        <v>505</v>
      </c>
      <c r="B1" s="1077"/>
      <c r="C1" s="1077"/>
    </row>
    <row r="2" spans="1:13" ht="15.75" x14ac:dyDescent="0.25">
      <c r="A2" s="772" t="s">
        <v>578</v>
      </c>
      <c r="B2" s="660"/>
      <c r="C2" s="660"/>
    </row>
    <row r="4" spans="1:13" ht="15.75" x14ac:dyDescent="0.25">
      <c r="A4" s="1087" t="s">
        <v>557</v>
      </c>
      <c r="B4" s="1087"/>
      <c r="C4" s="1087"/>
      <c r="D4" s="1087"/>
      <c r="E4" s="1087"/>
      <c r="F4" s="1087"/>
      <c r="G4" s="1087"/>
      <c r="H4" s="1087"/>
    </row>
    <row r="5" spans="1:13" ht="15.75" customHeight="1" x14ac:dyDescent="0.25">
      <c r="A5" t="s">
        <v>511</v>
      </c>
      <c r="B5" s="635"/>
      <c r="C5" s="635"/>
      <c r="D5" s="635"/>
      <c r="E5" s="635"/>
      <c r="F5" s="635"/>
      <c r="G5" s="635"/>
      <c r="H5" s="635"/>
    </row>
    <row r="6" spans="1:13" ht="15.75" x14ac:dyDescent="0.25">
      <c r="A6" t="s">
        <v>363</v>
      </c>
      <c r="B6" t="s">
        <v>770</v>
      </c>
      <c r="C6" s="635"/>
      <c r="D6" s="635"/>
      <c r="E6" s="635"/>
      <c r="F6" s="635"/>
      <c r="G6" s="635"/>
      <c r="H6" s="635"/>
    </row>
    <row r="7" spans="1:13" ht="15.75" x14ac:dyDescent="0.25">
      <c r="A7" t="s">
        <v>364</v>
      </c>
      <c r="B7" t="s">
        <v>366</v>
      </c>
      <c r="C7" s="635"/>
      <c r="D7" s="635"/>
      <c r="E7" s="635"/>
      <c r="F7" s="635"/>
      <c r="G7" s="635"/>
      <c r="H7" s="635"/>
    </row>
    <row r="8" spans="1:13" x14ac:dyDescent="0.25">
      <c r="A8" t="s">
        <v>365</v>
      </c>
      <c r="B8" t="s">
        <v>367</v>
      </c>
    </row>
    <row r="10" spans="1:13" x14ac:dyDescent="0.25">
      <c r="A10" s="437" t="s">
        <v>1</v>
      </c>
    </row>
    <row r="11" spans="1:13" x14ac:dyDescent="0.25">
      <c r="A11" t="str">
        <f>hleavers!A1</f>
        <v>FisYr</v>
      </c>
    </row>
    <row r="12" spans="1:13" s="689" customFormat="1" ht="30" x14ac:dyDescent="0.25">
      <c r="A12" s="769" t="s">
        <v>550</v>
      </c>
      <c r="B12" s="789" t="s">
        <v>27</v>
      </c>
      <c r="C12" s="789" t="s">
        <v>28</v>
      </c>
      <c r="D12" s="789" t="s">
        <v>2</v>
      </c>
      <c r="E12" s="789" t="s">
        <v>3</v>
      </c>
      <c r="F12" s="789" t="s">
        <v>549</v>
      </c>
      <c r="G12" s="789" t="s">
        <v>10</v>
      </c>
      <c r="H12"/>
      <c r="I12"/>
      <c r="J12"/>
      <c r="K12"/>
      <c r="L12"/>
      <c r="M12"/>
    </row>
    <row r="13" spans="1:13" x14ac:dyDescent="0.25">
      <c r="A13" s="1035" t="s">
        <v>986</v>
      </c>
      <c r="B13" s="366">
        <f>GETPIVOTDATA("Total Of Headcount",hleavers!$A$3,"LeavingReason",A13,"StaffType","WT")</f>
        <v>4</v>
      </c>
      <c r="C13" s="366">
        <f>GETPIVOTDATA("Total Of Headcount",hleavers!$A$3,"LeavingReason",A13,"StaffType","RDS")</f>
        <v>2</v>
      </c>
      <c r="D13" s="366">
        <f>GETPIVOTDATA("Total Of Headcount",hleavers!$A$3,"LeavingReason",A13,"StaffType","Control")</f>
        <v>0</v>
      </c>
      <c r="E13" s="366">
        <f>GETPIVOTDATA("Total Of Headcount",hleavers!$A$3,"LeavingReason",A13,"StaffType","Support")</f>
        <v>1</v>
      </c>
      <c r="F13" s="366">
        <f>GETPIVOTDATA("Total Of Headcount",hleavers!$A$3,"LeavingReason",A13,"StaffType","Vol")</f>
        <v>0</v>
      </c>
      <c r="G13" s="1035">
        <f>GETPIVOTDATA("Total Of Headcount",hleavers!$A$3,"LeavingReason",A13)</f>
        <v>7</v>
      </c>
    </row>
    <row r="14" spans="1:13" x14ac:dyDescent="0.25">
      <c r="A14" s="1035" t="s">
        <v>987</v>
      </c>
      <c r="B14" s="366">
        <f>GETPIVOTDATA("Total Of Headcount",hleavers!$A$3,"LeavingReason",A14,"StaffType","WT")</f>
        <v>0</v>
      </c>
      <c r="C14" s="366">
        <f>GETPIVOTDATA("Total Of Headcount",hleavers!$A$3,"LeavingReason",A14,"StaffType","RDS")</f>
        <v>0</v>
      </c>
      <c r="D14" s="366">
        <f>GETPIVOTDATA("Total Of Headcount",hleavers!$A$3,"LeavingReason",A14,"StaffType","Control")</f>
        <v>0</v>
      </c>
      <c r="E14" s="366">
        <f>GETPIVOTDATA("Total Of Headcount",hleavers!$A$3,"LeavingReason",A14,"StaffType","Support")</f>
        <v>7</v>
      </c>
      <c r="F14" s="366">
        <f>GETPIVOTDATA("Total Of Headcount",hleavers!$A$3,"LeavingReason",A14,"StaffType","Vol")</f>
        <v>0</v>
      </c>
      <c r="G14" s="1035">
        <f>GETPIVOTDATA("Total Of Headcount",hleavers!$A$3,"LeavingReason",A14)</f>
        <v>7</v>
      </c>
    </row>
    <row r="15" spans="1:13" x14ac:dyDescent="0.25">
      <c r="A15" s="1035" t="s">
        <v>200</v>
      </c>
      <c r="B15" s="366">
        <f>GETPIVOTDATA("Total Of Headcount",hleavers!$A$3,"LeavingReason",A15,"StaffType","WT")</f>
        <v>2</v>
      </c>
      <c r="C15" s="366">
        <f>GETPIVOTDATA("Total Of Headcount",hleavers!$A$3,"LeavingReason",A15,"StaffType","RDS")</f>
        <v>4</v>
      </c>
      <c r="D15" s="366">
        <f>GETPIVOTDATA("Total Of Headcount",hleavers!$A$3,"LeavingReason",A15,"StaffType","Control")</f>
        <v>1</v>
      </c>
      <c r="E15" s="366">
        <f>GETPIVOTDATA("Total Of Headcount",hleavers!$A$3,"LeavingReason",A15,"StaffType","Support")</f>
        <v>0</v>
      </c>
      <c r="F15" s="366">
        <f>GETPIVOTDATA("Total Of Headcount",hleavers!$A$3,"LeavingReason",A15,"StaffType","Vol")</f>
        <v>2</v>
      </c>
      <c r="G15" s="1035">
        <f>GETPIVOTDATA("Total Of Headcount",hleavers!$A$3,"LeavingReason",A15)</f>
        <v>9</v>
      </c>
    </row>
    <row r="16" spans="1:13" x14ac:dyDescent="0.25">
      <c r="A16" s="1035" t="s">
        <v>988</v>
      </c>
      <c r="B16" s="366">
        <f>GETPIVOTDATA("Total Of Headcount",hleavers!$A$3,"LeavingReason",A16,"StaffType","WT")</f>
        <v>21</v>
      </c>
      <c r="C16" s="366">
        <f>GETPIVOTDATA("Total Of Headcount",hleavers!$A$3,"LeavingReason",A16,"StaffType","RDS")</f>
        <v>163</v>
      </c>
      <c r="D16" s="366">
        <f>GETPIVOTDATA("Total Of Headcount",hleavers!$A$3,"LeavingReason",A16,"StaffType","Control")</f>
        <v>5</v>
      </c>
      <c r="E16" s="366">
        <f>GETPIVOTDATA("Total Of Headcount",hleavers!$A$3,"LeavingReason",A16,"StaffType","Support")</f>
        <v>29</v>
      </c>
      <c r="F16" s="366">
        <f>GETPIVOTDATA("Total Of Headcount",hleavers!$A$3,"LeavingReason",A16,"StaffType","Vol")</f>
        <v>18</v>
      </c>
      <c r="G16" s="1035">
        <f>GETPIVOTDATA("Total Of Headcount",hleavers!$A$3,"LeavingReason",A16)</f>
        <v>236</v>
      </c>
    </row>
    <row r="17" spans="1:13" x14ac:dyDescent="0.25">
      <c r="A17" s="1035" t="s">
        <v>989</v>
      </c>
      <c r="B17" s="366">
        <f>GETPIVOTDATA("Total Of Headcount",hleavers!$A$3,"LeavingReason",A17,"StaffType","WT")</f>
        <v>16</v>
      </c>
      <c r="C17" s="366">
        <f>GETPIVOTDATA("Total Of Headcount",hleavers!$A$3,"LeavingReason",A17,"StaffType","RDS")</f>
        <v>3</v>
      </c>
      <c r="D17" s="366">
        <f>GETPIVOTDATA("Total Of Headcount",hleavers!$A$3,"LeavingReason",A17,"StaffType","Control")</f>
        <v>0</v>
      </c>
      <c r="E17" s="366">
        <f>GETPIVOTDATA("Total Of Headcount",hleavers!$A$3,"LeavingReason",A17,"StaffType","Support")</f>
        <v>1</v>
      </c>
      <c r="F17" s="366">
        <f>GETPIVOTDATA("Total Of Headcount",hleavers!$A$3,"LeavingReason",A17,"StaffType","Vol")</f>
        <v>1</v>
      </c>
      <c r="G17" s="1035">
        <f>GETPIVOTDATA("Total Of Headcount",hleavers!$A$3,"LeavingReason",A17)</f>
        <v>21</v>
      </c>
    </row>
    <row r="18" spans="1:13" x14ac:dyDescent="0.25">
      <c r="A18" s="1035" t="s">
        <v>990</v>
      </c>
      <c r="B18" s="366">
        <f>GETPIVOTDATA("Total Of Headcount",hleavers!$A$3,"LeavingReason",A18,"StaffType","WT")</f>
        <v>152</v>
      </c>
      <c r="C18" s="366">
        <f>GETPIVOTDATA("Total Of Headcount",hleavers!$A$3,"LeavingReason",A18,"StaffType","RDS")</f>
        <v>41</v>
      </c>
      <c r="D18" s="366">
        <f>GETPIVOTDATA("Total Of Headcount",hleavers!$A$3,"LeavingReason",A18,"StaffType","Control")</f>
        <v>6</v>
      </c>
      <c r="E18" s="366">
        <f>GETPIVOTDATA("Total Of Headcount",hleavers!$A$3,"LeavingReason",A18,"StaffType","Support")</f>
        <v>14</v>
      </c>
      <c r="F18" s="366">
        <f>GETPIVOTDATA("Total Of Headcount",hleavers!$A$3,"LeavingReason",A18,"StaffType","Vol")</f>
        <v>4</v>
      </c>
      <c r="G18" s="1035">
        <f>GETPIVOTDATA("Total Of Headcount",hleavers!$A$3,"LeavingReason",A18)</f>
        <v>217</v>
      </c>
    </row>
    <row r="19" spans="1:13" x14ac:dyDescent="0.25">
      <c r="A19" s="1035" t="s">
        <v>991</v>
      </c>
      <c r="B19" s="366">
        <f>IFERROR(GETPIVOTDATA("Total Of Headcount",hleavers!$A$3,"LeavingReason",A19,"StaffType","WT"),0)</f>
        <v>0</v>
      </c>
      <c r="C19" s="366">
        <f>IFERROR(GETPIVOTDATA("Total Of Headcount",hleavers!$A$3,"LeavingReason",A19,"StaffType","RDS"),0)</f>
        <v>0</v>
      </c>
      <c r="D19" s="366">
        <f>IFERROR(GETPIVOTDATA("Total Of Headcount",hleavers!$A$3,"LeavingReason",A19,"StaffType","Control"),0)</f>
        <v>0</v>
      </c>
      <c r="E19" s="366">
        <f>IFERROR(GETPIVOTDATA("Total Of Headcount",hleavers!$A$3,"LeavingReason",A19,"StaffType","Support"),0)</f>
        <v>0</v>
      </c>
      <c r="F19" s="366">
        <f>IFERROR(GETPIVOTDATA("Total Of Headcount",hleavers!$A$3,"LeavingReason",A19,"StaffType","Vol"),0)</f>
        <v>0</v>
      </c>
      <c r="G19" s="1035">
        <f>IFERROR(GETPIVOTDATA("Total Of Headcount",hleavers!$A$3,"LeavingReason",A19),0)</f>
        <v>0</v>
      </c>
    </row>
    <row r="20" spans="1:13" x14ac:dyDescent="0.25">
      <c r="A20" s="1035" t="s">
        <v>992</v>
      </c>
      <c r="B20" s="366">
        <f>GETPIVOTDATA("Total Of Headcount",hleavers!$A$3,"LeavingReason",A20,"StaffType","WT")</f>
        <v>7</v>
      </c>
      <c r="C20" s="366">
        <f>GETPIVOTDATA("Total Of Headcount",hleavers!$A$3,"LeavingReason",A20,"StaffType","RDS")</f>
        <v>5</v>
      </c>
      <c r="D20" s="366">
        <f>GETPIVOTDATA("Total Of Headcount",hleavers!$A$3,"LeavingReason",A20,"StaffType","Control")</f>
        <v>1</v>
      </c>
      <c r="E20" s="366">
        <f>GETPIVOTDATA("Total Of Headcount",hleavers!$A$3,"LeavingReason",A20,"StaffType","Support")</f>
        <v>1</v>
      </c>
      <c r="F20" s="366">
        <f>GETPIVOTDATA("Total Of Headcount",hleavers!$A$3,"LeavingReason",A20,"StaffType","Vol")</f>
        <v>0</v>
      </c>
      <c r="G20" s="1035">
        <f>GETPIVOTDATA("Total Of Headcount",hleavers!$A$3,"LeavingReason",A20)</f>
        <v>14</v>
      </c>
    </row>
    <row r="21" spans="1:13" x14ac:dyDescent="0.25">
      <c r="A21" s="1035" t="s">
        <v>993</v>
      </c>
      <c r="B21" s="366">
        <f>IFERROR(GETPIVOTDATA("Total Of Headcount",hleavers!$A$3,"LeavingReason",A21,"StaffType","WT"),0)</f>
        <v>0</v>
      </c>
      <c r="C21" s="366">
        <f>IFERROR(GETPIVOTDATA("Total Of Headcount",hleavers!$A$3,"LeavingReason",A21,"StaffType","RDS"),0)</f>
        <v>0</v>
      </c>
      <c r="D21" s="366">
        <f>IFERROR(GETPIVOTDATA("Total Of Headcount",hleavers!$A$3,"LeavingReason",A21,"StaffType","Control"),0)</f>
        <v>0</v>
      </c>
      <c r="E21" s="366">
        <f>IFERROR(GETPIVOTDATA("Total Of Headcount",hleavers!$A$3,"LeavingReason",A21,"StaffType","Support"),0)</f>
        <v>0</v>
      </c>
      <c r="F21" s="366">
        <f>IFERROR(GETPIVOTDATA("Total Of Headcount",hleavers!$A$3,"LeavingReason",A21,"StaffType","Vol"),0)</f>
        <v>0</v>
      </c>
      <c r="G21" s="1035">
        <f>IFERROR(GETPIVOTDATA("Total Of Headcount",hleavers!$A$3,"LeavingReason",A21),0)</f>
        <v>0</v>
      </c>
    </row>
    <row r="22" spans="1:13" x14ac:dyDescent="0.25">
      <c r="A22" s="1035" t="s">
        <v>994</v>
      </c>
      <c r="B22" s="366">
        <f>IFERROR(GETPIVOTDATA("Total Of Headcount",hleavers!$A$3,"LeavingReason",A22,"StaffType","WT"),0)</f>
        <v>0</v>
      </c>
      <c r="C22" s="366">
        <f>IFERROR(GETPIVOTDATA("Total Of Headcount",hleavers!$A$3,"LeavingReason",A22,"StaffType","RDS"),0)</f>
        <v>0</v>
      </c>
      <c r="D22" s="366">
        <f>IFERROR(GETPIVOTDATA("Total Of Headcount",hleavers!$A$3,"LeavingReason",A22,"StaffType","Control"),0)</f>
        <v>0</v>
      </c>
      <c r="E22" s="366">
        <f>IFERROR(GETPIVOTDATA("Total Of Headcount",hleavers!$A$3,"LeavingReason",A22,"StaffType","Support"),0)</f>
        <v>0</v>
      </c>
      <c r="F22" s="366">
        <f>IFERROR(GETPIVOTDATA("Total Of Headcount",hleavers!$A$3,"LeavingReason",A22,"StaffType","Vol"),0)</f>
        <v>0</v>
      </c>
      <c r="G22" s="1035">
        <f>IFERROR(GETPIVOTDATA("Total Of Headcount",hleavers!$A$3,"LeavingReason",A22),0)</f>
        <v>0</v>
      </c>
    </row>
    <row r="23" spans="1:13" x14ac:dyDescent="0.25">
      <c r="A23" s="1035" t="s">
        <v>995</v>
      </c>
      <c r="B23" s="366">
        <f>IFERROR(GETPIVOTDATA("Total Of Headcount",hleavers!$A$3,"LeavingReason",A23,"StaffType","WT"),0)</f>
        <v>0</v>
      </c>
      <c r="C23" s="366">
        <f>IFERROR(GETPIVOTDATA("Total Of Headcount",hleavers!$A$3,"LeavingReason",A23,"StaffType","RDS"),0)</f>
        <v>0</v>
      </c>
      <c r="D23" s="366">
        <f>IFERROR(GETPIVOTDATA("Total Of Headcount",hleavers!$A$3,"LeavingReason",A23,"StaffType","Control"),0)</f>
        <v>0</v>
      </c>
      <c r="E23" s="366">
        <f>IFERROR(GETPIVOTDATA("Total Of Headcount",hleavers!$A$3,"LeavingReason",A23,"StaffType","Support"),0)</f>
        <v>0</v>
      </c>
      <c r="F23" s="366">
        <f>IFERROR(GETPIVOTDATA("Total Of Headcount",hleavers!$A$3,"LeavingReason",A23,"StaffType","Vol"),0)</f>
        <v>0</v>
      </c>
      <c r="G23" s="1035">
        <f>IFERROR(GETPIVOTDATA("Total Of Headcount",hleavers!$A$3,"LeavingReason",A23),0)</f>
        <v>0</v>
      </c>
    </row>
    <row r="24" spans="1:13" ht="15.75" thickBot="1" x14ac:dyDescent="0.3">
      <c r="A24" s="767" t="s">
        <v>406</v>
      </c>
      <c r="B24" s="767">
        <f t="shared" ref="B24:G24" si="0">SUM(B13:B23)</f>
        <v>202</v>
      </c>
      <c r="C24" s="767">
        <f t="shared" si="0"/>
        <v>218</v>
      </c>
      <c r="D24" s="767">
        <f t="shared" si="0"/>
        <v>13</v>
      </c>
      <c r="E24" s="767">
        <f>SUM(E13:E23)</f>
        <v>53</v>
      </c>
      <c r="F24" s="767">
        <f>SUM(F13:F23)</f>
        <v>25</v>
      </c>
      <c r="G24" s="767">
        <f t="shared" si="0"/>
        <v>511</v>
      </c>
    </row>
    <row r="26" spans="1:13" x14ac:dyDescent="0.25">
      <c r="A26" s="491" t="s">
        <v>8</v>
      </c>
    </row>
    <row r="27" spans="1:13" ht="30.75" customHeight="1" x14ac:dyDescent="0.25">
      <c r="A27" s="1080" t="s">
        <v>815</v>
      </c>
      <c r="B27" s="1080"/>
      <c r="C27" s="1080"/>
      <c r="D27" s="1080"/>
      <c r="E27" s="1080"/>
      <c r="F27" s="1080"/>
      <c r="G27" s="1080"/>
      <c r="H27" s="1080"/>
      <c r="I27" s="1080"/>
      <c r="J27" s="1080"/>
      <c r="K27" s="1080"/>
      <c r="L27" s="1080"/>
      <c r="M27" s="1080"/>
    </row>
    <row r="28" spans="1:13" x14ac:dyDescent="0.25">
      <c r="A28" t="s">
        <v>816</v>
      </c>
    </row>
    <row r="31" spans="1:13" ht="15" customHeight="1" x14ac:dyDescent="0.25"/>
    <row r="33" spans="2:8" x14ac:dyDescent="0.25">
      <c r="B33" s="942"/>
      <c r="C33" s="942"/>
      <c r="D33" s="942"/>
      <c r="E33" s="942"/>
      <c r="F33" s="942"/>
      <c r="G33" s="942"/>
      <c r="H33" s="942"/>
    </row>
  </sheetData>
  <sheetProtection algorithmName="SHA-512" hashValue="1yHFXeWO+GQ6NUSVMMUNAbErRrN8EvG5uan+zrs4I2hd1eOnF5h0d6JZdTRb8dHHmsG/g95kJlimNGD4jZfNxA==" saltValue="8IhoGPq0jcBmRdvZ2q2VSA==" spinCount="100000" sheet="1" scenarios="1" formatCells="0" formatColumns="0" formatRows="0" sort="0" autoFilter="0" pivotTables="0"/>
  <mergeCells count="3">
    <mergeCell ref="A1:C1"/>
    <mergeCell ref="A4:H4"/>
    <mergeCell ref="A27:M27"/>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12"/>
  <sheetViews>
    <sheetView workbookViewId="0">
      <selection activeCell="F9" sqref="F9"/>
    </sheetView>
  </sheetViews>
  <sheetFormatPr defaultRowHeight="15" x14ac:dyDescent="0.25"/>
  <cols>
    <col min="1" max="1" width="27.28515625" bestFit="1" customWidth="1"/>
    <col min="2" max="2" width="16.28515625" bestFit="1" customWidth="1"/>
    <col min="3" max="3" width="4.42578125" bestFit="1" customWidth="1"/>
    <col min="4" max="4" width="8" bestFit="1" customWidth="1"/>
    <col min="5" max="6" width="4" bestFit="1" customWidth="1"/>
    <col min="7" max="7" width="11.28515625" bestFit="1" customWidth="1"/>
  </cols>
  <sheetData>
    <row r="1" spans="1:7" x14ac:dyDescent="0.25">
      <c r="A1" s="565" t="s">
        <v>329</v>
      </c>
      <c r="B1" t="s">
        <v>851</v>
      </c>
    </row>
    <row r="3" spans="1:7" x14ac:dyDescent="0.25">
      <c r="A3" s="565" t="s">
        <v>1028</v>
      </c>
      <c r="B3" s="565" t="s">
        <v>271</v>
      </c>
    </row>
    <row r="4" spans="1:7" x14ac:dyDescent="0.25">
      <c r="A4" s="565" t="s">
        <v>246</v>
      </c>
      <c r="B4" t="s">
        <v>2</v>
      </c>
      <c r="C4" t="s">
        <v>9</v>
      </c>
      <c r="D4" t="s">
        <v>3</v>
      </c>
      <c r="E4" t="s">
        <v>315</v>
      </c>
      <c r="F4" t="s">
        <v>316</v>
      </c>
      <c r="G4" t="s">
        <v>251</v>
      </c>
    </row>
    <row r="5" spans="1:7" x14ac:dyDescent="0.25">
      <c r="A5" s="1068" t="s">
        <v>986</v>
      </c>
      <c r="B5" s="567"/>
      <c r="C5" s="567">
        <v>2</v>
      </c>
      <c r="D5" s="567">
        <v>1</v>
      </c>
      <c r="E5" s="567"/>
      <c r="F5" s="567">
        <v>4</v>
      </c>
      <c r="G5" s="567">
        <v>7</v>
      </c>
    </row>
    <row r="6" spans="1:7" x14ac:dyDescent="0.25">
      <c r="A6" s="1068" t="s">
        <v>987</v>
      </c>
      <c r="B6" s="567"/>
      <c r="C6" s="567"/>
      <c r="D6" s="567">
        <v>7</v>
      </c>
      <c r="E6" s="567"/>
      <c r="F6" s="567"/>
      <c r="G6" s="567">
        <v>7</v>
      </c>
    </row>
    <row r="7" spans="1:7" x14ac:dyDescent="0.25">
      <c r="A7" s="1068" t="s">
        <v>200</v>
      </c>
      <c r="B7" s="567">
        <v>1</v>
      </c>
      <c r="C7" s="567">
        <v>4</v>
      </c>
      <c r="D7" s="567"/>
      <c r="E7" s="567">
        <v>2</v>
      </c>
      <c r="F7" s="567">
        <v>2</v>
      </c>
      <c r="G7" s="567">
        <v>9</v>
      </c>
    </row>
    <row r="8" spans="1:7" x14ac:dyDescent="0.25">
      <c r="A8" s="1068" t="s">
        <v>988</v>
      </c>
      <c r="B8" s="567">
        <v>5</v>
      </c>
      <c r="C8" s="567">
        <v>163</v>
      </c>
      <c r="D8" s="567">
        <v>29</v>
      </c>
      <c r="E8" s="567">
        <v>18</v>
      </c>
      <c r="F8" s="567">
        <v>21</v>
      </c>
      <c r="G8" s="567">
        <v>236</v>
      </c>
    </row>
    <row r="9" spans="1:7" x14ac:dyDescent="0.25">
      <c r="A9" s="1068" t="s">
        <v>989</v>
      </c>
      <c r="B9" s="567"/>
      <c r="C9" s="567">
        <v>3</v>
      </c>
      <c r="D9" s="567">
        <v>1</v>
      </c>
      <c r="E9" s="567">
        <v>1</v>
      </c>
      <c r="F9" s="567">
        <v>16</v>
      </c>
      <c r="G9" s="567">
        <v>21</v>
      </c>
    </row>
    <row r="10" spans="1:7" x14ac:dyDescent="0.25">
      <c r="A10" s="1068" t="s">
        <v>990</v>
      </c>
      <c r="B10" s="567">
        <v>6</v>
      </c>
      <c r="C10" s="567">
        <v>41</v>
      </c>
      <c r="D10" s="567">
        <v>14</v>
      </c>
      <c r="E10" s="567">
        <v>4</v>
      </c>
      <c r="F10" s="567">
        <v>152</v>
      </c>
      <c r="G10" s="567">
        <v>217</v>
      </c>
    </row>
    <row r="11" spans="1:7" x14ac:dyDescent="0.25">
      <c r="A11" s="1068" t="s">
        <v>992</v>
      </c>
      <c r="B11" s="567">
        <v>1</v>
      </c>
      <c r="C11" s="567">
        <v>5</v>
      </c>
      <c r="D11" s="567">
        <v>1</v>
      </c>
      <c r="E11" s="567"/>
      <c r="F11" s="567">
        <v>7</v>
      </c>
      <c r="G11" s="567">
        <v>14</v>
      </c>
    </row>
    <row r="12" spans="1:7" x14ac:dyDescent="0.25">
      <c r="A12" s="1068" t="s">
        <v>251</v>
      </c>
      <c r="B12" s="567">
        <v>13</v>
      </c>
      <c r="C12" s="567">
        <v>218</v>
      </c>
      <c r="D12" s="567">
        <v>53</v>
      </c>
      <c r="E12" s="567">
        <v>25</v>
      </c>
      <c r="F12" s="567">
        <v>202</v>
      </c>
      <c r="G12" s="567">
        <v>511</v>
      </c>
    </row>
  </sheetData>
  <sheetProtection algorithmName="SHA-512" hashValue="MyVEueeDYFccTfEnW5GI64Ad7SK4eRlEMs5g6j81WgDpzT/8T5jey0RHqvxczXLtWm6Y2antfVBX72XL3IxfLw==" saltValue="PaCeIyEp4mQ4nYHd0EWwEA=="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6"/>
  <sheetViews>
    <sheetView showGridLines="0" zoomScale="107" zoomScaleNormal="70" workbookViewId="0">
      <pane ySplit="2" topLeftCell="A3" activePane="bottomLeft" state="frozen"/>
      <selection pane="bottomLeft" sqref="A1:C1"/>
    </sheetView>
  </sheetViews>
  <sheetFormatPr defaultRowHeight="15" x14ac:dyDescent="0.25"/>
  <sheetData>
    <row r="1" spans="1:8" ht="15.75" x14ac:dyDescent="0.25">
      <c r="A1" s="1077" t="s">
        <v>505</v>
      </c>
      <c r="B1" s="1077"/>
      <c r="C1" s="1077"/>
    </row>
    <row r="2" spans="1:8" ht="15.75" x14ac:dyDescent="0.25">
      <c r="A2" s="772" t="s">
        <v>578</v>
      </c>
      <c r="B2" s="660"/>
      <c r="C2" s="660"/>
    </row>
    <row r="4" spans="1:8" ht="15.75" x14ac:dyDescent="0.25">
      <c r="A4" s="1087" t="s">
        <v>559</v>
      </c>
      <c r="B4" s="1087"/>
      <c r="C4" s="1087"/>
      <c r="D4" s="1087"/>
      <c r="E4" s="1087"/>
      <c r="F4" s="1087"/>
      <c r="G4" s="1087"/>
      <c r="H4" s="1087"/>
    </row>
    <row r="5" spans="1:8" x14ac:dyDescent="0.25">
      <c r="A5" s="944" t="s">
        <v>798</v>
      </c>
    </row>
    <row r="6" spans="1:8" x14ac:dyDescent="0.25">
      <c r="A6" s="944" t="s">
        <v>731</v>
      </c>
    </row>
  </sheetData>
  <sheetProtection algorithmName="SHA-512" hashValue="8qm/7Ul+IO/aLKwWsSfYld1b/1a7lUAOmXti61hIY2Zjz+kmvhr1R/DAKIF0UZ/x40a6nwmud5VWcTQIydo0bQ==" saltValue="1BHd1ZR15hSaMFZjGE6glA=="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
  <sheetViews>
    <sheetView showGridLines="0" workbookViewId="0">
      <pane ySplit="2" topLeftCell="A3" activePane="bottomLeft" state="frozen"/>
      <selection pane="bottomLeft" sqref="A1:C1"/>
    </sheetView>
  </sheetViews>
  <sheetFormatPr defaultRowHeight="15" x14ac:dyDescent="0.25"/>
  <sheetData>
    <row r="1" spans="1:8" ht="15.75" x14ac:dyDescent="0.25">
      <c r="A1" s="1077" t="s">
        <v>505</v>
      </c>
      <c r="B1" s="1077"/>
      <c r="C1" s="1077"/>
    </row>
    <row r="2" spans="1:8" ht="15.75" x14ac:dyDescent="0.25">
      <c r="A2" s="772" t="s">
        <v>578</v>
      </c>
      <c r="B2" s="660"/>
      <c r="C2" s="660"/>
    </row>
    <row r="4" spans="1:8" ht="15.75" x14ac:dyDescent="0.25">
      <c r="A4" s="1087" t="s">
        <v>560</v>
      </c>
      <c r="B4" s="1087"/>
      <c r="C4" s="1087"/>
      <c r="D4" s="1087"/>
      <c r="E4" s="1087"/>
      <c r="F4" s="1087"/>
      <c r="G4" s="1087"/>
      <c r="H4" s="1087"/>
    </row>
    <row r="5" spans="1:8" x14ac:dyDescent="0.25">
      <c r="A5" s="944" t="s">
        <v>798</v>
      </c>
    </row>
    <row r="6" spans="1:8" x14ac:dyDescent="0.25">
      <c r="A6" s="944" t="s">
        <v>732</v>
      </c>
    </row>
  </sheetData>
  <sheetProtection algorithmName="SHA-512" hashValue="9FcNoHhJaX4LrZRPKlu+/62QMd7NGTEMwEhcfCZJffDrbrRLNLMMeAggunJ2YcTwJBaH9ZpPyX61C07OpMgNgg==" saltValue="GllH91ifZP45rMN5rAIurA=="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1077" t="s">
        <v>505</v>
      </c>
      <c r="B1" s="1077"/>
      <c r="C1" s="1077"/>
    </row>
    <row r="2" spans="1:8" ht="15.75" x14ac:dyDescent="0.25">
      <c r="A2" s="772" t="s">
        <v>578</v>
      </c>
      <c r="B2" s="660"/>
      <c r="C2" s="660"/>
    </row>
    <row r="4" spans="1:8" ht="15.75" x14ac:dyDescent="0.25">
      <c r="A4" s="1087" t="s">
        <v>561</v>
      </c>
      <c r="B4" s="1087"/>
      <c r="C4" s="1087"/>
      <c r="D4" s="1087"/>
      <c r="E4" s="1087"/>
      <c r="F4" s="1087"/>
      <c r="G4" s="1087"/>
      <c r="H4" s="1087"/>
    </row>
    <row r="5" spans="1:8" x14ac:dyDescent="0.25">
      <c r="A5" s="944" t="s">
        <v>798</v>
      </c>
    </row>
    <row r="6" spans="1:8" x14ac:dyDescent="0.25">
      <c r="A6" s="944" t="s">
        <v>733</v>
      </c>
    </row>
  </sheetData>
  <sheetProtection algorithmName="SHA-512" hashValue="A8pZbMvKikFX0Vz9TM8MBtZ0tnFmCaOof2E5J8s0oyNtUF1hCtmoR9YlvKmi/GT8bmDC9JdHPH64N+4uYymc2g==" saltValue="jtOsPYDj+7mo8gEcoTA1YQ=="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40"/>
  <sheetViews>
    <sheetView showGridLines="0" workbookViewId="0">
      <pane ySplit="2" topLeftCell="A3" activePane="bottomLeft" state="frozen"/>
      <selection pane="bottomLeft"/>
    </sheetView>
  </sheetViews>
  <sheetFormatPr defaultRowHeight="15" x14ac:dyDescent="0.25"/>
  <sheetData>
    <row r="1" spans="1:8" ht="15.75" x14ac:dyDescent="0.25">
      <c r="A1" s="1077" t="s">
        <v>505</v>
      </c>
      <c r="B1" s="1077"/>
      <c r="C1" s="1077"/>
    </row>
    <row r="2" spans="1:8" ht="15.75" x14ac:dyDescent="0.25">
      <c r="A2" s="772" t="s">
        <v>578</v>
      </c>
      <c r="B2" s="660"/>
      <c r="C2" s="660"/>
    </row>
    <row r="4" spans="1:8" ht="15.75" x14ac:dyDescent="0.25">
      <c r="A4" s="1087" t="s">
        <v>525</v>
      </c>
      <c r="B4" s="1087"/>
      <c r="C4" s="1087"/>
      <c r="D4" s="1087"/>
      <c r="E4" s="1087"/>
      <c r="F4" s="1087"/>
      <c r="G4" s="1087"/>
      <c r="H4" s="1087"/>
    </row>
    <row r="5" spans="1:8" x14ac:dyDescent="0.25">
      <c r="A5" s="944" t="s">
        <v>798</v>
      </c>
    </row>
    <row r="6" spans="1:8" x14ac:dyDescent="0.25">
      <c r="A6" s="944" t="s">
        <v>734</v>
      </c>
    </row>
    <row r="40" spans="1:1" ht="21" x14ac:dyDescent="0.35">
      <c r="A40" s="481" t="s">
        <v>208</v>
      </c>
    </row>
  </sheetData>
  <sheetProtection algorithmName="SHA-512" hashValue="AnUoV8lQzusQuH+T5EztN7vBpQH/NdpvZcrPT/hLKPss9j+8uqy15GCULOqMsQsOdnTI3XniI/NBFqi+juGVRQ==" saltValue="UTBwCXPFDWge5K9Hr5C0Fw=="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
  <sheetViews>
    <sheetView showGridLines="0" workbookViewId="0"/>
  </sheetViews>
  <sheetFormatPr defaultRowHeight="15" x14ac:dyDescent="0.25"/>
  <sheetData>
    <row r="1" spans="1:8" ht="15.75" x14ac:dyDescent="0.25">
      <c r="A1" s="1077" t="s">
        <v>505</v>
      </c>
      <c r="B1" s="1077"/>
      <c r="C1" s="1077"/>
    </row>
    <row r="2" spans="1:8" ht="15.75" x14ac:dyDescent="0.25">
      <c r="A2" s="772" t="s">
        <v>578</v>
      </c>
      <c r="B2" s="979"/>
      <c r="C2" s="979"/>
    </row>
    <row r="4" spans="1:8" ht="15.75" x14ac:dyDescent="0.25">
      <c r="A4" s="1087" t="s">
        <v>525</v>
      </c>
      <c r="B4" s="1087"/>
      <c r="C4" s="1087"/>
      <c r="D4" s="1087"/>
      <c r="E4" s="1087"/>
      <c r="F4" s="1087"/>
      <c r="G4" s="1087"/>
      <c r="H4" s="1087"/>
    </row>
    <row r="5" spans="1:8" x14ac:dyDescent="0.25">
      <c r="A5" s="944" t="s">
        <v>798</v>
      </c>
    </row>
    <row r="6" spans="1:8" x14ac:dyDescent="0.25">
      <c r="A6" s="1026" t="s">
        <v>996</v>
      </c>
    </row>
  </sheetData>
  <sheetProtection algorithmName="SHA-512" hashValue="XDgQ/FwF/i9EX2yzT0DAr3pKo1QLjiTo3oOb6W8sum+gxrkD/c3reCxBHZiDm7v8VFenu334EjYjSQGdIxT+RQ==" saltValue="LFbNXHzHVu6tV0xzYFnw0w=="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59999389629810485"/>
    <pageSetUpPr fitToPage="1"/>
  </sheetPr>
  <dimension ref="A1:I50"/>
  <sheetViews>
    <sheetView showGridLines="0" workbookViewId="0">
      <pane ySplit="2" topLeftCell="A3" activePane="bottomLeft" state="frozen"/>
      <selection pane="bottomLeft" activeCell="F9" sqref="F9"/>
    </sheetView>
  </sheetViews>
  <sheetFormatPr defaultRowHeight="15" x14ac:dyDescent="0.25"/>
  <cols>
    <col min="1" max="1" width="16.85546875" customWidth="1"/>
    <col min="2" max="2" width="22" customWidth="1"/>
    <col min="3" max="7" width="13.85546875" customWidth="1"/>
    <col min="8" max="9" width="11.140625" customWidth="1"/>
    <col min="10" max="10" width="4.140625" customWidth="1"/>
    <col min="11" max="11" width="13.42578125" customWidth="1"/>
  </cols>
  <sheetData>
    <row r="1" spans="1:8" ht="15.75" x14ac:dyDescent="0.25">
      <c r="A1" s="1077" t="s">
        <v>590</v>
      </c>
      <c r="B1" s="1077"/>
      <c r="C1" s="1077"/>
    </row>
    <row r="2" spans="1:8" ht="15.75" x14ac:dyDescent="0.25">
      <c r="A2" s="772" t="s">
        <v>578</v>
      </c>
      <c r="B2" s="774"/>
      <c r="C2" s="774"/>
    </row>
    <row r="3" spans="1:8" ht="15.75" x14ac:dyDescent="0.25">
      <c r="D3" s="242"/>
      <c r="E3" s="242"/>
      <c r="F3" s="242"/>
    </row>
    <row r="4" spans="1:8" ht="15.75" x14ac:dyDescent="0.25">
      <c r="A4" s="1078" t="s">
        <v>592</v>
      </c>
      <c r="B4" s="1078"/>
      <c r="C4" s="1078"/>
      <c r="D4" s="1078"/>
      <c r="E4" s="1078"/>
      <c r="F4" s="1078"/>
    </row>
    <row r="5" spans="1:8" ht="15.75" x14ac:dyDescent="0.25">
      <c r="A5" t="s">
        <v>363</v>
      </c>
      <c r="B5" t="s">
        <v>712</v>
      </c>
      <c r="C5" s="777"/>
      <c r="D5" s="777"/>
      <c r="E5" s="777"/>
      <c r="F5" s="777"/>
    </row>
    <row r="6" spans="1:8" ht="15.75" x14ac:dyDescent="0.25">
      <c r="A6" t="s">
        <v>364</v>
      </c>
      <c r="B6" t="s">
        <v>366</v>
      </c>
      <c r="C6" s="777"/>
      <c r="D6" s="777"/>
      <c r="E6" s="777"/>
      <c r="F6" s="777"/>
    </row>
    <row r="7" spans="1:8" ht="15.75" x14ac:dyDescent="0.25">
      <c r="A7" t="s">
        <v>365</v>
      </c>
      <c r="B7" t="s">
        <v>367</v>
      </c>
      <c r="C7" s="777"/>
      <c r="D7" s="777"/>
      <c r="E7" s="777"/>
      <c r="F7" s="777"/>
    </row>
    <row r="8" spans="1:8" ht="15.75" x14ac:dyDescent="0.25">
      <c r="C8" s="1032"/>
      <c r="D8" s="1032"/>
      <c r="E8" s="1032"/>
      <c r="F8" s="1032"/>
    </row>
    <row r="9" spans="1:8" x14ac:dyDescent="0.25">
      <c r="A9" s="437" t="s">
        <v>1</v>
      </c>
    </row>
    <row r="10" spans="1:8" x14ac:dyDescent="0.25">
      <c r="A10" t="str">
        <f>'h13'!C39</f>
        <v>2019-20</v>
      </c>
      <c r="B10" s="248"/>
      <c r="C10" s="249"/>
      <c r="D10" s="249"/>
      <c r="E10" s="249"/>
      <c r="F10" s="249"/>
      <c r="G10" s="249"/>
      <c r="H10" s="551" t="s">
        <v>6</v>
      </c>
    </row>
    <row r="11" spans="1:8" s="689" customFormat="1" ht="27.75" customHeight="1" x14ac:dyDescent="0.25">
      <c r="A11" s="795" t="s">
        <v>515</v>
      </c>
      <c r="B11" s="795" t="s">
        <v>30</v>
      </c>
      <c r="C11" s="261" t="s">
        <v>119</v>
      </c>
      <c r="D11" s="261" t="s">
        <v>384</v>
      </c>
      <c r="E11" s="261" t="s">
        <v>385</v>
      </c>
      <c r="F11" s="261" t="s">
        <v>195</v>
      </c>
      <c r="G11" s="261" t="s">
        <v>29</v>
      </c>
      <c r="H11" s="796" t="s">
        <v>26</v>
      </c>
    </row>
    <row r="12" spans="1:8" ht="19.5" customHeight="1" x14ac:dyDescent="0.25">
      <c r="A12" s="576" t="s">
        <v>301</v>
      </c>
      <c r="B12" s="577" t="s">
        <v>31</v>
      </c>
      <c r="C12" s="61">
        <f>IFERROR(GETPIVOTDATA("Sum of Wholetime",'h13'!$A$41,"Council",B12),0)</f>
        <v>3</v>
      </c>
      <c r="D12" s="61">
        <f>IFERROR(GETPIVOTDATA("Sum of Wholetime and Retained",'h13'!$A$41,"Council",B12),0)</f>
        <v>0</v>
      </c>
      <c r="E12" s="61">
        <f>IFERROR(GETPIVOTDATA("Sum of Wholetime and Day",'h13'!$A$41,"Council",B12),0)</f>
        <v>0</v>
      </c>
      <c r="F12" s="61">
        <f>IFERROR(GETPIVOTDATA("Sum of Retained",'h13'!$A$41,"Council",B12),0)</f>
        <v>1</v>
      </c>
      <c r="G12" s="61">
        <f>IFERROR(GETPIVOTDATA("Sum of Volunteer",'h13'!$A$41,"Council",B12),0)</f>
        <v>0</v>
      </c>
      <c r="H12" s="251">
        <f>SUM(C12:G12)</f>
        <v>4</v>
      </c>
    </row>
    <row r="13" spans="1:8" x14ac:dyDescent="0.25">
      <c r="A13" s="109" t="s">
        <v>302</v>
      </c>
      <c r="B13" s="64" t="s">
        <v>32</v>
      </c>
      <c r="C13" s="61">
        <f>IFERROR(GETPIVOTDATA("Sum of Wholetime",'h13'!$A$41,"Council",B13),0)</f>
        <v>0</v>
      </c>
      <c r="D13" s="61">
        <f>IFERROR(GETPIVOTDATA("Sum of Wholetime and Retained",'h13'!$A$41,"Council",B13),0)</f>
        <v>1</v>
      </c>
      <c r="E13" s="61">
        <f>IFERROR(GETPIVOTDATA("Sum of Wholetime and Day",'h13'!$A$41,"Council",B13),0)</f>
        <v>0</v>
      </c>
      <c r="F13" s="61">
        <f>IFERROR(GETPIVOTDATA("Sum of Retained",'h13'!$A$41,"Council",B13),0)</f>
        <v>23</v>
      </c>
      <c r="G13" s="61">
        <f>IFERROR(GETPIVOTDATA("Sum of Volunteer",'h13'!$A$41,"Council",B13),0)</f>
        <v>0</v>
      </c>
      <c r="H13" s="108">
        <f t="shared" ref="H13:H43" si="0">SUM(C13:G13)</f>
        <v>24</v>
      </c>
    </row>
    <row r="14" spans="1:8" x14ac:dyDescent="0.25">
      <c r="A14" s="109" t="s">
        <v>308</v>
      </c>
      <c r="B14" s="64" t="s">
        <v>33</v>
      </c>
      <c r="C14" s="61">
        <f>IFERROR(GETPIVOTDATA("Sum of Wholetime",'h13'!$A$41,"Council",B14),0)</f>
        <v>0</v>
      </c>
      <c r="D14" s="61">
        <f>IFERROR(GETPIVOTDATA("Sum of Wholetime and Retained",'h13'!$A$41,"Council",B14),0)</f>
        <v>1</v>
      </c>
      <c r="E14" s="61">
        <f>IFERROR(GETPIVOTDATA("Sum of Wholetime and Day",'h13'!$A$41,"Council",B14),0)</f>
        <v>0</v>
      </c>
      <c r="F14" s="61">
        <f>IFERROR(GETPIVOTDATA("Sum of Retained",'h13'!$A$41,"Council",B14),0)</f>
        <v>5</v>
      </c>
      <c r="G14" s="61">
        <f>IFERROR(GETPIVOTDATA("Sum of Volunteer",'h13'!$A$41,"Council",B14),0)</f>
        <v>0</v>
      </c>
      <c r="H14" s="108">
        <f t="shared" si="0"/>
        <v>6</v>
      </c>
    </row>
    <row r="15" spans="1:8" x14ac:dyDescent="0.25">
      <c r="A15" s="109" t="s">
        <v>303</v>
      </c>
      <c r="B15" s="64" t="s">
        <v>34</v>
      </c>
      <c r="C15" s="61">
        <f>IFERROR(GETPIVOTDATA("Sum of Wholetime",'h13'!$A$41,"Council",B15),0)</f>
        <v>0</v>
      </c>
      <c r="D15" s="61">
        <f>IFERROR(GETPIVOTDATA("Sum of Wholetime and Retained",'h13'!$A$41,"Council",B15),0)</f>
        <v>2</v>
      </c>
      <c r="E15" s="61">
        <f>IFERROR(GETPIVOTDATA("Sum of Wholetime and Day",'h13'!$A$41,"Council",B15),0)</f>
        <v>0</v>
      </c>
      <c r="F15" s="61">
        <f>IFERROR(GETPIVOTDATA("Sum of Retained",'h13'!$A$41,"Council",B15),0)</f>
        <v>12</v>
      </c>
      <c r="G15" s="61">
        <f>IFERROR(GETPIVOTDATA("Sum of Volunteer",'h13'!$A$41,"Council",B15),0)</f>
        <v>25</v>
      </c>
      <c r="H15" s="108">
        <f t="shared" si="0"/>
        <v>39</v>
      </c>
    </row>
    <row r="16" spans="1:8" x14ac:dyDescent="0.25">
      <c r="A16" s="109" t="s">
        <v>304</v>
      </c>
      <c r="B16" s="64" t="s">
        <v>258</v>
      </c>
      <c r="C16" s="61">
        <f>IFERROR(GETPIVOTDATA("Sum of Wholetime",'h13'!$A$41,"Council",B16),0)</f>
        <v>7</v>
      </c>
      <c r="D16" s="61">
        <f>IFERROR(GETPIVOTDATA("Sum of Wholetime and Retained",'h13'!$A$41,"Council",B16),0)</f>
        <v>0</v>
      </c>
      <c r="E16" s="61">
        <f>IFERROR(GETPIVOTDATA("Sum of Wholetime and Day",'h13'!$A$41,"Council",B16),0)</f>
        <v>0</v>
      </c>
      <c r="F16" s="61">
        <f>IFERROR(GETPIVOTDATA("Sum of Retained",'h13'!$A$41,"Council",B16),0)</f>
        <v>1</v>
      </c>
      <c r="G16" s="61">
        <f>IFERROR(GETPIVOTDATA("Sum of Volunteer",'h13'!$A$41,"Council",B16),0)</f>
        <v>0</v>
      </c>
      <c r="H16" s="108">
        <f t="shared" si="0"/>
        <v>8</v>
      </c>
    </row>
    <row r="17" spans="1:8" x14ac:dyDescent="0.25">
      <c r="A17" s="109" t="s">
        <v>282</v>
      </c>
      <c r="B17" s="64" t="s">
        <v>35</v>
      </c>
      <c r="C17" s="61">
        <f>IFERROR(GETPIVOTDATA("Sum of Wholetime",'h13'!$A$41,"Council",B17),0)</f>
        <v>0</v>
      </c>
      <c r="D17" s="61">
        <f>IFERROR(GETPIVOTDATA("Sum of Wholetime and Retained",'h13'!$A$41,"Council",B17),0)</f>
        <v>1</v>
      </c>
      <c r="E17" s="61">
        <f>IFERROR(GETPIVOTDATA("Sum of Wholetime and Day",'h13'!$A$41,"Council",B17),0)</f>
        <v>0</v>
      </c>
      <c r="F17" s="61">
        <f>IFERROR(GETPIVOTDATA("Sum of Retained",'h13'!$A$41,"Council",B17),0)</f>
        <v>1</v>
      </c>
      <c r="G17" s="61">
        <f>IFERROR(GETPIVOTDATA("Sum of Volunteer",'h13'!$A$41,"Council",B17),0)</f>
        <v>0</v>
      </c>
      <c r="H17" s="108">
        <f t="shared" si="0"/>
        <v>2</v>
      </c>
    </row>
    <row r="18" spans="1:8" x14ac:dyDescent="0.25">
      <c r="A18" s="109" t="s">
        <v>283</v>
      </c>
      <c r="B18" s="64" t="s">
        <v>36</v>
      </c>
      <c r="C18" s="61">
        <f>IFERROR(GETPIVOTDATA("Sum of Wholetime",'h13'!$A$41,"Council",B18),0)</f>
        <v>0</v>
      </c>
      <c r="D18" s="61">
        <f>IFERROR(GETPIVOTDATA("Sum of Wholetime and Retained",'h13'!$A$41,"Council",B18),0)</f>
        <v>1</v>
      </c>
      <c r="E18" s="61">
        <f>IFERROR(GETPIVOTDATA("Sum of Wholetime and Day",'h13'!$A$41,"Council",B18),0)</f>
        <v>0</v>
      </c>
      <c r="F18" s="61">
        <f>IFERROR(GETPIVOTDATA("Sum of Retained",'h13'!$A$41,"Council",B18),0)</f>
        <v>15</v>
      </c>
      <c r="G18" s="61">
        <f>IFERROR(GETPIVOTDATA("Sum of Volunteer",'h13'!$A$41,"Council",B18),0)</f>
        <v>1</v>
      </c>
      <c r="H18" s="108">
        <f t="shared" si="0"/>
        <v>17</v>
      </c>
    </row>
    <row r="19" spans="1:8" x14ac:dyDescent="0.25">
      <c r="A19" s="109" t="s">
        <v>309</v>
      </c>
      <c r="B19" s="64" t="s">
        <v>37</v>
      </c>
      <c r="C19" s="61">
        <f>IFERROR(GETPIVOTDATA("Sum of Wholetime",'h13'!$A$41,"Council",B19),0)</f>
        <v>3</v>
      </c>
      <c r="D19" s="61">
        <f>IFERROR(GETPIVOTDATA("Sum of Wholetime and Retained",'h13'!$A$41,"Council",B19),0)</f>
        <v>1</v>
      </c>
      <c r="E19" s="61">
        <f>IFERROR(GETPIVOTDATA("Sum of Wholetime and Day",'h13'!$A$41,"Council",B19),0)</f>
        <v>0</v>
      </c>
      <c r="F19" s="61">
        <f>IFERROR(GETPIVOTDATA("Sum of Retained",'h13'!$A$41,"Council",B19),0)</f>
        <v>0</v>
      </c>
      <c r="G19" s="61">
        <f>IFERROR(GETPIVOTDATA("Sum of Volunteer",'h13'!$A$41,"Council",B19),0)</f>
        <v>0</v>
      </c>
      <c r="H19" s="108">
        <f t="shared" si="0"/>
        <v>4</v>
      </c>
    </row>
    <row r="20" spans="1:8" x14ac:dyDescent="0.25">
      <c r="A20" s="109" t="s">
        <v>284</v>
      </c>
      <c r="B20" s="64" t="s">
        <v>38</v>
      </c>
      <c r="C20" s="61">
        <f>IFERROR(GETPIVOTDATA("Sum of Wholetime",'h13'!$A$41,"Council",B20),0)</f>
        <v>1</v>
      </c>
      <c r="D20" s="61">
        <f>IFERROR(GETPIVOTDATA("Sum of Wholetime and Retained",'h13'!$A$41,"Council",B20),0)</f>
        <v>0</v>
      </c>
      <c r="E20" s="61">
        <f>IFERROR(GETPIVOTDATA("Sum of Wholetime and Day",'h13'!$A$41,"Council",B20),0)</f>
        <v>0</v>
      </c>
      <c r="F20" s="61">
        <f>IFERROR(GETPIVOTDATA("Sum of Retained",'h13'!$A$41,"Council",B20),0)</f>
        <v>7</v>
      </c>
      <c r="G20" s="61">
        <f>IFERROR(GETPIVOTDATA("Sum of Volunteer",'h13'!$A$41,"Council",B20),0)</f>
        <v>0</v>
      </c>
      <c r="H20" s="108">
        <f t="shared" si="0"/>
        <v>8</v>
      </c>
    </row>
    <row r="21" spans="1:8" x14ac:dyDescent="0.25">
      <c r="A21" s="109" t="s">
        <v>311</v>
      </c>
      <c r="B21" s="64" t="s">
        <v>39</v>
      </c>
      <c r="C21" s="61">
        <f>IFERROR(GETPIVOTDATA("Sum of Wholetime",'h13'!$A$41,"Council",B21),0)</f>
        <v>3</v>
      </c>
      <c r="D21" s="61">
        <f>IFERROR(GETPIVOTDATA("Sum of Wholetime and Retained",'h13'!$A$41,"Council",B21),0)</f>
        <v>0</v>
      </c>
      <c r="E21" s="61">
        <f>IFERROR(GETPIVOTDATA("Sum of Wholetime and Day",'h13'!$A$41,"Council",B21),0)</f>
        <v>0</v>
      </c>
      <c r="F21" s="61">
        <f>IFERROR(GETPIVOTDATA("Sum of Retained",'h13'!$A$41,"Council",B21),0)</f>
        <v>0</v>
      </c>
      <c r="G21" s="61">
        <f>IFERROR(GETPIVOTDATA("Sum of Volunteer",'h13'!$A$41,"Council",B21),0)</f>
        <v>0</v>
      </c>
      <c r="H21" s="108">
        <f t="shared" si="0"/>
        <v>3</v>
      </c>
    </row>
    <row r="22" spans="1:8" x14ac:dyDescent="0.25">
      <c r="A22" s="109" t="s">
        <v>285</v>
      </c>
      <c r="B22" s="64" t="s">
        <v>40</v>
      </c>
      <c r="C22" s="61">
        <f>IFERROR(GETPIVOTDATA("Sum of Wholetime",'h13'!$A$41,"Council",B22),0)</f>
        <v>1</v>
      </c>
      <c r="D22" s="61">
        <f>IFERROR(GETPIVOTDATA("Sum of Wholetime and Retained",'h13'!$A$41,"Council",B22),0)</f>
        <v>0</v>
      </c>
      <c r="E22" s="61">
        <f>IFERROR(GETPIVOTDATA("Sum of Wholetime and Day",'h13'!$A$41,"Council",B22),0)</f>
        <v>0</v>
      </c>
      <c r="F22" s="61">
        <f>IFERROR(GETPIVOTDATA("Sum of Retained",'h13'!$A$41,"Council",B22),0)</f>
        <v>5</v>
      </c>
      <c r="G22" s="61">
        <f>IFERROR(GETPIVOTDATA("Sum of Volunteer",'h13'!$A$41,"Council",B22),0)</f>
        <v>0</v>
      </c>
      <c r="H22" s="108">
        <f t="shared" si="0"/>
        <v>6</v>
      </c>
    </row>
    <row r="23" spans="1:8" x14ac:dyDescent="0.25">
      <c r="A23" s="109" t="s">
        <v>286</v>
      </c>
      <c r="B23" s="64" t="s">
        <v>41</v>
      </c>
      <c r="C23" s="61">
        <f>IFERROR(GETPIVOTDATA("Sum of Wholetime",'h13'!$A$41,"Council",B23),0)</f>
        <v>2</v>
      </c>
      <c r="D23" s="61">
        <f>IFERROR(GETPIVOTDATA("Sum of Wholetime and Retained",'h13'!$A$41,"Council",B23),0)</f>
        <v>0</v>
      </c>
      <c r="E23" s="61">
        <f>IFERROR(GETPIVOTDATA("Sum of Wholetime and Day",'h13'!$A$41,"Council",B23),0)</f>
        <v>0</v>
      </c>
      <c r="F23" s="61">
        <f>IFERROR(GETPIVOTDATA("Sum of Retained",'h13'!$A$41,"Council",B23),0)</f>
        <v>0</v>
      </c>
      <c r="G23" s="61">
        <f>IFERROR(GETPIVOTDATA("Sum of Volunteer",'h13'!$A$41,"Council",B23),0)</f>
        <v>0</v>
      </c>
      <c r="H23" s="108">
        <f t="shared" si="0"/>
        <v>2</v>
      </c>
    </row>
    <row r="24" spans="1:8" x14ac:dyDescent="0.25">
      <c r="A24" s="109" t="s">
        <v>288</v>
      </c>
      <c r="B24" s="64" t="s">
        <v>42</v>
      </c>
      <c r="C24" s="61">
        <f>IFERROR(GETPIVOTDATA("Sum of Wholetime",'h13'!$A$41,"Council",B24),0)</f>
        <v>0</v>
      </c>
      <c r="D24" s="61">
        <f>IFERROR(GETPIVOTDATA("Sum of Wholetime and Retained",'h13'!$A$41,"Council",B24),0)</f>
        <v>3</v>
      </c>
      <c r="E24" s="61">
        <f>IFERROR(GETPIVOTDATA("Sum of Wholetime and Day",'h13'!$A$41,"Council",B24),0)</f>
        <v>0</v>
      </c>
      <c r="F24" s="61">
        <f>IFERROR(GETPIVOTDATA("Sum of Retained",'h13'!$A$41,"Council",B24),0)</f>
        <v>2</v>
      </c>
      <c r="G24" s="61">
        <f>IFERROR(GETPIVOTDATA("Sum of Volunteer",'h13'!$A$41,"Council",B24),0)</f>
        <v>0</v>
      </c>
      <c r="H24" s="108">
        <f t="shared" si="0"/>
        <v>5</v>
      </c>
    </row>
    <row r="25" spans="1:8" x14ac:dyDescent="0.25">
      <c r="A25" s="109" t="s">
        <v>313</v>
      </c>
      <c r="B25" s="64" t="s">
        <v>43</v>
      </c>
      <c r="C25" s="61">
        <f>IFERROR(GETPIVOTDATA("Sum of Wholetime",'h13'!$A$41,"Council",B25),0)</f>
        <v>5</v>
      </c>
      <c r="D25" s="61">
        <f>IFERROR(GETPIVOTDATA("Sum of Wholetime and Retained",'h13'!$A$41,"Council",B25),0)</f>
        <v>0</v>
      </c>
      <c r="E25" s="61">
        <f>IFERROR(GETPIVOTDATA("Sum of Wholetime and Day",'h13'!$A$41,"Council",B25),0)</f>
        <v>0</v>
      </c>
      <c r="F25" s="61">
        <f>IFERROR(GETPIVOTDATA("Sum of Retained",'h13'!$A$41,"Council",B25),0)</f>
        <v>8</v>
      </c>
      <c r="G25" s="61">
        <f>IFERROR(GETPIVOTDATA("Sum of Volunteer",'h13'!$A$41,"Council",B25),0)</f>
        <v>0</v>
      </c>
      <c r="H25" s="108">
        <f t="shared" si="0"/>
        <v>13</v>
      </c>
    </row>
    <row r="26" spans="1:8" x14ac:dyDescent="0.25">
      <c r="A26" s="109" t="str">
        <f>IF(A10 = "2019-20","S12000049","S12000046")</f>
        <v>S12000049</v>
      </c>
      <c r="B26" s="64" t="s">
        <v>121</v>
      </c>
      <c r="C26" s="61">
        <f>IFERROR(GETPIVOTDATA("Sum of Wholetime",'h13'!$A$41,"Council",B26),0)</f>
        <v>11</v>
      </c>
      <c r="D26" s="61">
        <f>IFERROR(GETPIVOTDATA("Sum of Wholetime and Retained",'h13'!$A$41,"Council",B26),0)</f>
        <v>0</v>
      </c>
      <c r="E26" s="61">
        <f>IFERROR(GETPIVOTDATA("Sum of Wholetime and Day",'h13'!$A$41,"Council",B26),0)</f>
        <v>0</v>
      </c>
      <c r="F26" s="61">
        <f>IFERROR(GETPIVOTDATA("Sum of Retained",'h13'!$A$41,"Council",B26),0)</f>
        <v>0</v>
      </c>
      <c r="G26" s="61">
        <f>IFERROR(GETPIVOTDATA("Sum of Volunteer",'h13'!$A$41,"Council",B26),0)</f>
        <v>0</v>
      </c>
      <c r="H26" s="108">
        <f t="shared" si="0"/>
        <v>11</v>
      </c>
    </row>
    <row r="27" spans="1:8" x14ac:dyDescent="0.25">
      <c r="A27" s="109" t="s">
        <v>289</v>
      </c>
      <c r="B27" s="64" t="s">
        <v>44</v>
      </c>
      <c r="C27" s="61">
        <f>IFERROR(GETPIVOTDATA("Sum of Wholetime",'h13'!$A$41,"Council",B27),0)</f>
        <v>0</v>
      </c>
      <c r="D27" s="61">
        <f>IFERROR(GETPIVOTDATA("Sum of Wholetime and Retained",'h13'!$A$41,"Council",B27),0)</f>
        <v>1</v>
      </c>
      <c r="E27" s="61">
        <f>IFERROR(GETPIVOTDATA("Sum of Wholetime and Day",'h13'!$A$41,"Council",B27),0)</f>
        <v>0</v>
      </c>
      <c r="F27" s="61">
        <f>IFERROR(GETPIVOTDATA("Sum of Retained",'h13'!$A$41,"Council",B27),0)</f>
        <v>51</v>
      </c>
      <c r="G27" s="61">
        <f>IFERROR(GETPIVOTDATA("Sum of Volunteer",'h13'!$A$41,"Council",B27),0)</f>
        <v>9</v>
      </c>
      <c r="H27" s="108">
        <f t="shared" si="0"/>
        <v>61</v>
      </c>
    </row>
    <row r="28" spans="1:8" x14ac:dyDescent="0.25">
      <c r="A28" s="109" t="s">
        <v>290</v>
      </c>
      <c r="B28" s="64" t="s">
        <v>45</v>
      </c>
      <c r="C28" s="61">
        <f>IFERROR(GETPIVOTDATA("Sum of Wholetime",'h13'!$A$41,"Council",B28),0)</f>
        <v>0</v>
      </c>
      <c r="D28" s="61">
        <f>IFERROR(GETPIVOTDATA("Sum of Wholetime and Retained",'h13'!$A$41,"Council",B28),0)</f>
        <v>2</v>
      </c>
      <c r="E28" s="61">
        <f>IFERROR(GETPIVOTDATA("Sum of Wholetime and Day",'h13'!$A$41,"Council",B28),0)</f>
        <v>0</v>
      </c>
      <c r="F28" s="61">
        <f>IFERROR(GETPIVOTDATA("Sum of Retained",'h13'!$A$41,"Council",B28),0)</f>
        <v>1</v>
      </c>
      <c r="G28" s="61">
        <f>IFERROR(GETPIVOTDATA("Sum of Volunteer",'h13'!$A$41,"Council",B28),0)</f>
        <v>0</v>
      </c>
      <c r="H28" s="108">
        <f t="shared" si="0"/>
        <v>3</v>
      </c>
    </row>
    <row r="29" spans="1:8" x14ac:dyDescent="0.25">
      <c r="A29" s="109" t="s">
        <v>291</v>
      </c>
      <c r="B29" s="64" t="s">
        <v>46</v>
      </c>
      <c r="C29" s="61">
        <f>IFERROR(GETPIVOTDATA("Sum of Wholetime",'h13'!$A$41,"Council",B29),0)</f>
        <v>1</v>
      </c>
      <c r="D29" s="61">
        <f>IFERROR(GETPIVOTDATA("Sum of Wholetime and Retained",'h13'!$A$41,"Council",B29),0)</f>
        <v>0</v>
      </c>
      <c r="E29" s="61">
        <f>IFERROR(GETPIVOTDATA("Sum of Wholetime and Day",'h13'!$A$41,"Council",B29),0)</f>
        <v>0</v>
      </c>
      <c r="F29" s="61">
        <f>IFERROR(GETPIVOTDATA("Sum of Retained",'h13'!$A$41,"Council",B29),0)</f>
        <v>1</v>
      </c>
      <c r="G29" s="61">
        <f>IFERROR(GETPIVOTDATA("Sum of Volunteer",'h13'!$A$41,"Council",B29),0)</f>
        <v>0</v>
      </c>
      <c r="H29" s="108">
        <f t="shared" si="0"/>
        <v>2</v>
      </c>
    </row>
    <row r="30" spans="1:8" x14ac:dyDescent="0.25">
      <c r="A30" s="109" t="s">
        <v>292</v>
      </c>
      <c r="B30" s="64" t="s">
        <v>47</v>
      </c>
      <c r="C30" s="61">
        <f>IFERROR(GETPIVOTDATA("Sum of Wholetime",'h13'!$A$41,"Council",B30),0)</f>
        <v>0</v>
      </c>
      <c r="D30" s="61">
        <f>IFERROR(GETPIVOTDATA("Sum of Wholetime and Retained",'h13'!$A$41,"Council",B30),0)</f>
        <v>1</v>
      </c>
      <c r="E30" s="61">
        <f>IFERROR(GETPIVOTDATA("Sum of Wholetime and Day",'h13'!$A$41,"Council",B30),0)</f>
        <v>0</v>
      </c>
      <c r="F30" s="61">
        <f>IFERROR(GETPIVOTDATA("Sum of Retained",'h13'!$A$41,"Council",B30),0)</f>
        <v>10</v>
      </c>
      <c r="G30" s="61">
        <f>IFERROR(GETPIVOTDATA("Sum of Volunteer",'h13'!$A$41,"Council",B30),0)</f>
        <v>1</v>
      </c>
      <c r="H30" s="108">
        <f t="shared" si="0"/>
        <v>12</v>
      </c>
    </row>
    <row r="31" spans="1:8" x14ac:dyDescent="0.25">
      <c r="A31" s="109" t="s">
        <v>287</v>
      </c>
      <c r="B31" s="64" t="s">
        <v>48</v>
      </c>
      <c r="C31" s="61">
        <f>IFERROR(GETPIVOTDATA("Sum of Wholetime",'h13'!$A$41,"Council",B31),0)</f>
        <v>0</v>
      </c>
      <c r="D31" s="61">
        <f>IFERROR(GETPIVOTDATA("Sum of Wholetime and Retained",'h13'!$A$41,"Council",B31),0)</f>
        <v>0</v>
      </c>
      <c r="E31" s="61">
        <f>IFERROR(GETPIVOTDATA("Sum of Wholetime and Day",'h13'!$A$41,"Council",B31),0)</f>
        <v>0</v>
      </c>
      <c r="F31" s="61">
        <f>IFERROR(GETPIVOTDATA("Sum of Retained",'h13'!$A$41,"Council",B31),0)</f>
        <v>14</v>
      </c>
      <c r="G31" s="61">
        <f>IFERROR(GETPIVOTDATA("Sum of Volunteer",'h13'!$A$41,"Council",B31),0)</f>
        <v>0</v>
      </c>
      <c r="H31" s="108">
        <f t="shared" si="0"/>
        <v>14</v>
      </c>
    </row>
    <row r="32" spans="1:8" x14ac:dyDescent="0.25">
      <c r="A32" s="109" t="s">
        <v>293</v>
      </c>
      <c r="B32" s="64" t="s">
        <v>49</v>
      </c>
      <c r="C32" s="61">
        <f>IFERROR(GETPIVOTDATA("Sum of Wholetime",'h13'!$A$41,"Council",B32),0)</f>
        <v>1</v>
      </c>
      <c r="D32" s="61">
        <f>IFERROR(GETPIVOTDATA("Sum of Wholetime and Retained",'h13'!$A$41,"Council",B32),0)</f>
        <v>2</v>
      </c>
      <c r="E32" s="61">
        <f>IFERROR(GETPIVOTDATA("Sum of Wholetime and Day",'h13'!$A$41,"Council",B32),0)</f>
        <v>0</v>
      </c>
      <c r="F32" s="61">
        <f>IFERROR(GETPIVOTDATA("Sum of Retained",'h13'!$A$41,"Council",B32),0)</f>
        <v>8</v>
      </c>
      <c r="G32" s="61">
        <f>IFERROR(GETPIVOTDATA("Sum of Volunteer",'h13'!$A$41,"Council",B32),0)</f>
        <v>3</v>
      </c>
      <c r="H32" s="108">
        <f t="shared" si="0"/>
        <v>14</v>
      </c>
    </row>
    <row r="33" spans="1:9" x14ac:dyDescent="0.25">
      <c r="A33" s="109" t="str">
        <f>IF(A10="2019-20","S12000050","S12000044")</f>
        <v>S12000050</v>
      </c>
      <c r="B33" s="64" t="s">
        <v>50</v>
      </c>
      <c r="C33" s="61">
        <f>IFERROR(GETPIVOTDATA("Sum of Wholetime",'h13'!$A$41,"Council",B33),0)</f>
        <v>4</v>
      </c>
      <c r="D33" s="61">
        <f>IFERROR(GETPIVOTDATA("Sum of Wholetime and Retained",'h13'!$A$41,"Council",B33),0)</f>
        <v>0</v>
      </c>
      <c r="E33" s="61">
        <f>IFERROR(GETPIVOTDATA("Sum of Wholetime and Day",'h13'!$A$41,"Council",B33),0)</f>
        <v>0</v>
      </c>
      <c r="F33" s="61">
        <f>IFERROR(GETPIVOTDATA("Sum of Retained",'h13'!$A$41,"Council",B33),0)</f>
        <v>3</v>
      </c>
      <c r="G33" s="61">
        <f>IFERROR(GETPIVOTDATA("Sum of Volunteer",'h13'!$A$41,"Council",B33),0)</f>
        <v>0</v>
      </c>
      <c r="H33" s="108">
        <f t="shared" si="0"/>
        <v>7</v>
      </c>
    </row>
    <row r="34" spans="1:9" x14ac:dyDescent="0.25">
      <c r="A34" s="109" t="s">
        <v>294</v>
      </c>
      <c r="B34" s="64" t="s">
        <v>51</v>
      </c>
      <c r="C34" s="61">
        <f>IFERROR(GETPIVOTDATA("Sum of Wholetime",'h13'!$A$41,"Council",B34),0)</f>
        <v>0</v>
      </c>
      <c r="D34" s="61">
        <f>IFERROR(GETPIVOTDATA("Sum of Wholetime and Retained",'h13'!$A$41,"Council",B34),0)</f>
        <v>0</v>
      </c>
      <c r="E34" s="61">
        <f>IFERROR(GETPIVOTDATA("Sum of Wholetime and Day",'h13'!$A$41,"Council",B34),0)</f>
        <v>0</v>
      </c>
      <c r="F34" s="61">
        <f>IFERROR(GETPIVOTDATA("Sum of Retained",'h13'!$A$41,"Council",B34),0)</f>
        <v>12</v>
      </c>
      <c r="G34" s="61">
        <f>IFERROR(GETPIVOTDATA("Sum of Volunteer",'h13'!$A$41,"Council",B34),0)</f>
        <v>0</v>
      </c>
      <c r="H34" s="108">
        <f t="shared" si="0"/>
        <v>12</v>
      </c>
    </row>
    <row r="35" spans="1:9" x14ac:dyDescent="0.25">
      <c r="A35" s="109" t="s">
        <v>295</v>
      </c>
      <c r="B35" s="64" t="s">
        <v>52</v>
      </c>
      <c r="C35" s="61">
        <f>IFERROR(GETPIVOTDATA("Sum of Wholetime",'h13'!$A$41,"Council",B35),0)</f>
        <v>1</v>
      </c>
      <c r="D35" s="61">
        <f>IFERROR(GETPIVOTDATA("Sum of Wholetime and Retained",'h13'!$A$41,"Council",B35),0)</f>
        <v>0</v>
      </c>
      <c r="E35" s="61">
        <f>IFERROR(GETPIVOTDATA("Sum of Wholetime and Day",'h13'!$A$41,"Council",B35),0)</f>
        <v>0</v>
      </c>
      <c r="F35" s="61">
        <f>IFERROR(GETPIVOTDATA("Sum of Retained",'h13'!$A$41,"Council",B35),0)</f>
        <v>10</v>
      </c>
      <c r="G35" s="61">
        <f>IFERROR(GETPIVOTDATA("Sum of Volunteer",'h13'!$A$41,"Council",B35),0)</f>
        <v>3</v>
      </c>
      <c r="H35" s="108">
        <f t="shared" si="0"/>
        <v>14</v>
      </c>
    </row>
    <row r="36" spans="1:9" x14ac:dyDescent="0.25">
      <c r="A36" s="109" t="s">
        <v>305</v>
      </c>
      <c r="B36" s="64" t="s">
        <v>53</v>
      </c>
      <c r="C36" s="61">
        <f>IFERROR(GETPIVOTDATA("Sum of Wholetime",'h13'!$A$41,"Council",B36),0)</f>
        <v>2</v>
      </c>
      <c r="D36" s="61">
        <f>IFERROR(GETPIVOTDATA("Sum of Wholetime and Retained",'h13'!$A$41,"Council",B36),0)</f>
        <v>1</v>
      </c>
      <c r="E36" s="61">
        <f>IFERROR(GETPIVOTDATA("Sum of Wholetime and Day",'h13'!$A$41,"Council",B36),0)</f>
        <v>0</v>
      </c>
      <c r="F36" s="61">
        <f>IFERROR(GETPIVOTDATA("Sum of Retained",'h13'!$A$41,"Council",B36),0)</f>
        <v>0</v>
      </c>
      <c r="G36" s="61">
        <f>IFERROR(GETPIVOTDATA("Sum of Volunteer",'h13'!$A$41,"Council",B36),0)</f>
        <v>0</v>
      </c>
      <c r="H36" s="108">
        <f t="shared" si="0"/>
        <v>3</v>
      </c>
    </row>
    <row r="37" spans="1:9" x14ac:dyDescent="0.25">
      <c r="A37" s="109" t="s">
        <v>296</v>
      </c>
      <c r="B37" s="64" t="s">
        <v>54</v>
      </c>
      <c r="C37" s="61">
        <f>IFERROR(GETPIVOTDATA("Sum of Wholetime",'h13'!$A$41,"Council",B37),0)</f>
        <v>0</v>
      </c>
      <c r="D37" s="61">
        <f>IFERROR(GETPIVOTDATA("Sum of Wholetime and Retained",'h13'!$A$41,"Council",B37),0)</f>
        <v>2</v>
      </c>
      <c r="E37" s="61">
        <f>IFERROR(GETPIVOTDATA("Sum of Wholetime and Day",'h13'!$A$41,"Council",B37),0)</f>
        <v>0</v>
      </c>
      <c r="F37" s="61">
        <f>IFERROR(GETPIVOTDATA("Sum of Retained",'h13'!$A$41,"Council",B37),0)</f>
        <v>11</v>
      </c>
      <c r="G37" s="61">
        <f>IFERROR(GETPIVOTDATA("Sum of Volunteer",'h13'!$A$41,"Council",B37),0)</f>
        <v>0</v>
      </c>
      <c r="H37" s="108">
        <f t="shared" si="0"/>
        <v>13</v>
      </c>
    </row>
    <row r="38" spans="1:9" x14ac:dyDescent="0.25">
      <c r="A38" s="109" t="s">
        <v>297</v>
      </c>
      <c r="B38" s="64" t="s">
        <v>55</v>
      </c>
      <c r="C38" s="61">
        <f>IFERROR(GETPIVOTDATA("Sum of Wholetime",'h13'!$A$41,"Council",B38),0)</f>
        <v>0</v>
      </c>
      <c r="D38" s="61">
        <f>IFERROR(GETPIVOTDATA("Sum of Wholetime and Retained",'h13'!$A$41,"Council",B38),0)</f>
        <v>0</v>
      </c>
      <c r="E38" s="61">
        <f>IFERROR(GETPIVOTDATA("Sum of Wholetime and Day",'h13'!$A$41,"Council",B38),0)</f>
        <v>0</v>
      </c>
      <c r="F38" s="61">
        <f>IFERROR(GETPIVOTDATA("Sum of Retained",'h13'!$A$41,"Council",B38),0)</f>
        <v>14</v>
      </c>
      <c r="G38" s="61">
        <f>IFERROR(GETPIVOTDATA("Sum of Volunteer",'h13'!$A$41,"Council",B38),0)</f>
        <v>0</v>
      </c>
      <c r="H38" s="108">
        <f t="shared" si="0"/>
        <v>14</v>
      </c>
    </row>
    <row r="39" spans="1:9" x14ac:dyDescent="0.25">
      <c r="A39" s="109" t="s">
        <v>298</v>
      </c>
      <c r="B39" s="64" t="s">
        <v>56</v>
      </c>
      <c r="C39" s="61">
        <f>IFERROR(GETPIVOTDATA("Sum of Wholetime",'h13'!$A$41,"Council",B39),0)</f>
        <v>0</v>
      </c>
      <c r="D39" s="61">
        <f>IFERROR(GETPIVOTDATA("Sum of Wholetime and Retained",'h13'!$A$41,"Council",B39),0)</f>
        <v>1</v>
      </c>
      <c r="E39" s="61">
        <f>IFERROR(GETPIVOTDATA("Sum of Wholetime and Day",'h13'!$A$41,"Council",B39),0)</f>
        <v>0</v>
      </c>
      <c r="F39" s="61">
        <f>IFERROR(GETPIVOTDATA("Sum of Retained",'h13'!$A$41,"Council",B39),0)</f>
        <v>4</v>
      </c>
      <c r="G39" s="61">
        <f>IFERROR(GETPIVOTDATA("Sum of Volunteer",'h13'!$A$41,"Council",B39),0)</f>
        <v>0</v>
      </c>
      <c r="H39" s="108">
        <f t="shared" si="0"/>
        <v>5</v>
      </c>
    </row>
    <row r="40" spans="1:9" x14ac:dyDescent="0.25">
      <c r="A40" s="109" t="s">
        <v>299</v>
      </c>
      <c r="B40" s="64" t="s">
        <v>57</v>
      </c>
      <c r="C40" s="61">
        <f>IFERROR(GETPIVOTDATA("Sum of Wholetime",'h13'!$A$41,"Council",B40),0)</f>
        <v>3</v>
      </c>
      <c r="D40" s="61">
        <f>IFERROR(GETPIVOTDATA("Sum of Wholetime and Retained",'h13'!$A$41,"Council",B40),0)</f>
        <v>1</v>
      </c>
      <c r="E40" s="61">
        <f>IFERROR(GETPIVOTDATA("Sum of Wholetime and Day",'h13'!$A$41,"Council",B40),0)</f>
        <v>0</v>
      </c>
      <c r="F40" s="61">
        <f>IFERROR(GETPIVOTDATA("Sum of Retained",'h13'!$A$41,"Council",B40),0)</f>
        <v>7</v>
      </c>
      <c r="G40" s="61">
        <f>IFERROR(GETPIVOTDATA("Sum of Volunteer",'h13'!$A$41,"Council",B40),0)</f>
        <v>1</v>
      </c>
      <c r="H40" s="108">
        <f t="shared" si="0"/>
        <v>12</v>
      </c>
    </row>
    <row r="41" spans="1:9" x14ac:dyDescent="0.25">
      <c r="A41" s="109" t="s">
        <v>300</v>
      </c>
      <c r="B41" s="64" t="s">
        <v>58</v>
      </c>
      <c r="C41" s="61">
        <f>IFERROR(GETPIVOTDATA("Sum of Wholetime",'h13'!$A$41,"Council",B41),0)</f>
        <v>1</v>
      </c>
      <c r="D41" s="61">
        <f>IFERROR(GETPIVOTDATA("Sum of Wholetime and Retained",'h13'!$A$41,"Council",B41),0)</f>
        <v>0</v>
      </c>
      <c r="E41" s="61">
        <f>IFERROR(GETPIVOTDATA("Sum of Wholetime and Day",'h13'!$A$41,"Council",B41),0)</f>
        <v>0</v>
      </c>
      <c r="F41" s="61">
        <f>IFERROR(GETPIVOTDATA("Sum of Retained",'h13'!$A$41,"Council",B41),0)</f>
        <v>9</v>
      </c>
      <c r="G41" s="61">
        <f>IFERROR(GETPIVOTDATA("Sum of Volunteer",'h13'!$A$41,"Council",B41),0)</f>
        <v>0</v>
      </c>
      <c r="H41" s="108">
        <f t="shared" si="0"/>
        <v>10</v>
      </c>
    </row>
    <row r="42" spans="1:9" x14ac:dyDescent="0.25">
      <c r="A42" s="109" t="s">
        <v>306</v>
      </c>
      <c r="B42" s="64" t="s">
        <v>59</v>
      </c>
      <c r="C42" s="61">
        <f>IFERROR(GETPIVOTDATA("Sum of Wholetime",'h13'!$A$41,"Council",B42),0)</f>
        <v>1</v>
      </c>
      <c r="D42" s="61">
        <f>IFERROR(GETPIVOTDATA("Sum of Wholetime and Retained",'h13'!$A$41,"Council",B42),0)</f>
        <v>1</v>
      </c>
      <c r="E42" s="61">
        <f>IFERROR(GETPIVOTDATA("Sum of Wholetime and Day",'h13'!$A$41,"Council",B42),0)</f>
        <v>0</v>
      </c>
      <c r="F42" s="61">
        <f>IFERROR(GETPIVOTDATA("Sum of Retained",'h13'!$A$41,"Council",B42),0)</f>
        <v>1</v>
      </c>
      <c r="G42" s="61">
        <f>IFERROR(GETPIVOTDATA("Sum of Volunteer",'h13'!$A$41,"Council",B42),0)</f>
        <v>0</v>
      </c>
      <c r="H42" s="108">
        <f t="shared" si="0"/>
        <v>3</v>
      </c>
    </row>
    <row r="43" spans="1:9" x14ac:dyDescent="0.25">
      <c r="A43" s="109" t="s">
        <v>307</v>
      </c>
      <c r="B43" s="64" t="s">
        <v>60</v>
      </c>
      <c r="C43" s="61">
        <f>IFERROR(GETPIVOTDATA("Sum of Wholetime",'h13'!$A$41,"Council",B43),0)</f>
        <v>0</v>
      </c>
      <c r="D43" s="61">
        <f>IFERROR(GETPIVOTDATA("Sum of Wholetime and Retained",'h13'!$A$41,"Council",B43),0)</f>
        <v>1</v>
      </c>
      <c r="E43" s="61">
        <f>IFERROR(GETPIVOTDATA("Sum of Wholetime and Day",'h13'!$A$41,"Council",B43),0)</f>
        <v>1</v>
      </c>
      <c r="F43" s="61">
        <f>IFERROR(GETPIVOTDATA("Sum of Retained",'h13'!$A$41,"Council",B43),0)</f>
        <v>4</v>
      </c>
      <c r="G43" s="61">
        <f>IFERROR(GETPIVOTDATA("Sum of Volunteer",'h13'!$A$41,"Council",B43),0)</f>
        <v>0</v>
      </c>
      <c r="H43" s="108">
        <f t="shared" si="0"/>
        <v>6</v>
      </c>
    </row>
    <row r="44" spans="1:9" ht="21.75" customHeight="1" thickBot="1" x14ac:dyDescent="0.3">
      <c r="A44" s="41"/>
      <c r="B44" s="41" t="s">
        <v>810</v>
      </c>
      <c r="C44" s="86">
        <f t="shared" ref="C44:H44" si="1">SUM(C12:C43)</f>
        <v>50</v>
      </c>
      <c r="D44" s="86">
        <f t="shared" si="1"/>
        <v>23</v>
      </c>
      <c r="E44" s="86">
        <f t="shared" si="1"/>
        <v>1</v>
      </c>
      <c r="F44" s="86">
        <f t="shared" si="1"/>
        <v>240</v>
      </c>
      <c r="G44" s="86">
        <f t="shared" si="1"/>
        <v>43</v>
      </c>
      <c r="H44" s="86">
        <f t="shared" si="1"/>
        <v>357</v>
      </c>
    </row>
    <row r="45" spans="1:9" x14ac:dyDescent="0.25">
      <c r="B45" s="252"/>
      <c r="C45" s="253"/>
      <c r="D45" s="253"/>
      <c r="E45" s="253"/>
      <c r="F45" s="253"/>
      <c r="G45" s="253"/>
      <c r="H45" s="253"/>
    </row>
    <row r="46" spans="1:9" ht="15" customHeight="1" x14ac:dyDescent="0.25">
      <c r="A46" s="64" t="s">
        <v>8</v>
      </c>
    </row>
    <row r="47" spans="1:9" ht="30.75" customHeight="1" x14ac:dyDescent="0.25">
      <c r="A47" s="1080" t="s">
        <v>936</v>
      </c>
      <c r="B47" s="1080"/>
      <c r="C47" s="1080"/>
      <c r="D47" s="1080"/>
      <c r="E47" s="1080"/>
      <c r="F47" s="1080"/>
      <c r="G47" s="1080"/>
      <c r="H47" s="1080"/>
    </row>
    <row r="48" spans="1:9" ht="30.75" customHeight="1" x14ac:dyDescent="0.25">
      <c r="A48" s="1079" t="s">
        <v>796</v>
      </c>
      <c r="B48" s="1079"/>
      <c r="C48" s="1079"/>
      <c r="D48" s="1079"/>
      <c r="E48" s="1079"/>
      <c r="F48" s="1079"/>
      <c r="G48" s="1079"/>
      <c r="H48" s="1079"/>
      <c r="I48" s="1079"/>
    </row>
    <row r="49" spans="1:8" x14ac:dyDescent="0.25">
      <c r="A49" s="1080" t="s">
        <v>936</v>
      </c>
      <c r="B49" s="1080"/>
      <c r="C49" s="1080"/>
      <c r="D49" s="1080"/>
      <c r="E49" s="1080"/>
      <c r="F49" s="1080"/>
      <c r="G49" s="1080"/>
      <c r="H49" s="1080"/>
    </row>
    <row r="50" spans="1:8" x14ac:dyDescent="0.25">
      <c r="A50" t="s">
        <v>935</v>
      </c>
    </row>
  </sheetData>
  <sheetProtection algorithmName="SHA-512" hashValue="SdwtGAflgF5vN8JWk+ZCUG3Q//++bEVRb3hr4np/i3EZc8QHOLJ8L7XpU1my1ttmqx2kROEbV+5daHRsEWOd9g==" saltValue="r/AtbLUYSKymr1nO0XZXIg==" spinCount="100000" sheet="1" scenarios="1" formatCells="0" formatColumns="0" formatRows="0" sort="0" autoFilter="0" pivotTables="0"/>
  <mergeCells count="5">
    <mergeCell ref="A48:I48"/>
    <mergeCell ref="A1:C1"/>
    <mergeCell ref="A4:F4"/>
    <mergeCell ref="A49:H49"/>
    <mergeCell ref="A47:H47"/>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71" orientation="portrait" r:id="rId1"/>
  <drawing r:id="rId2"/>
  <extLst>
    <ext xmlns:x14="http://schemas.microsoft.com/office/spreadsheetml/2009/9/main" uri="{A8765BA9-456A-4dab-B4F3-ACF838C121DE}">
      <x14:slicerList>
        <x14:slicer r:id="rId3"/>
      </x14:slicerList>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39997558519241921"/>
    <pageSetUpPr fitToPage="1"/>
  </sheetPr>
  <dimension ref="A1:AE55"/>
  <sheetViews>
    <sheetView showGridLines="0" zoomScaleNormal="100" workbookViewId="0">
      <pane ySplit="2" topLeftCell="A3" activePane="bottomLeft" state="frozen"/>
      <selection pane="bottomLeft"/>
    </sheetView>
  </sheetViews>
  <sheetFormatPr defaultRowHeight="15" x14ac:dyDescent="0.25"/>
  <cols>
    <col min="1" max="1" width="17.5703125" customWidth="1"/>
    <col min="2" max="2" width="13.7109375" bestFit="1" customWidth="1"/>
    <col min="3" max="3" width="11.28515625" customWidth="1"/>
    <col min="4" max="4" width="13.28515625" customWidth="1"/>
    <col min="5" max="5" width="11.28515625" customWidth="1"/>
    <col min="6" max="6" width="13.7109375" bestFit="1" customWidth="1"/>
    <col min="7" max="7" width="11.28515625" customWidth="1"/>
    <col min="8" max="8" width="13.7109375" bestFit="1" customWidth="1"/>
    <col min="9" max="9" width="11.28515625" customWidth="1"/>
    <col min="10" max="10" width="14.85546875" bestFit="1" customWidth="1"/>
    <col min="11" max="11" width="11.28515625" customWidth="1"/>
  </cols>
  <sheetData>
    <row r="1" spans="1:11" ht="15.75" customHeight="1" x14ac:dyDescent="0.25">
      <c r="A1" s="802" t="s">
        <v>595</v>
      </c>
      <c r="B1" s="802"/>
      <c r="C1" s="802"/>
    </row>
    <row r="2" spans="1:11" ht="15.75" x14ac:dyDescent="0.25">
      <c r="A2" s="772" t="s">
        <v>578</v>
      </c>
      <c r="B2" s="774"/>
      <c r="C2" s="774"/>
    </row>
    <row r="4" spans="1:11" ht="15.75" customHeight="1" x14ac:dyDescent="0.25">
      <c r="A4" s="1116" t="s">
        <v>663</v>
      </c>
      <c r="B4" s="1116"/>
      <c r="C4" s="1116"/>
      <c r="D4" s="1116"/>
      <c r="E4" s="1116"/>
      <c r="F4" s="1116"/>
      <c r="G4" s="1116"/>
      <c r="H4" s="1116"/>
      <c r="I4" s="1116"/>
      <c r="J4" s="1116"/>
      <c r="K4" s="1116"/>
    </row>
    <row r="5" spans="1:11" ht="15.75" customHeight="1" x14ac:dyDescent="0.25">
      <c r="A5" t="s">
        <v>363</v>
      </c>
      <c r="B5" t="s">
        <v>735</v>
      </c>
      <c r="C5" s="778"/>
      <c r="D5" s="778"/>
      <c r="E5" s="778"/>
      <c r="F5" s="778"/>
      <c r="G5" s="778"/>
      <c r="H5" s="778"/>
      <c r="I5" s="778"/>
      <c r="J5" s="778"/>
      <c r="K5" s="778"/>
    </row>
    <row r="6" spans="1:11" ht="15.75" customHeight="1" x14ac:dyDescent="0.25">
      <c r="A6" t="s">
        <v>364</v>
      </c>
      <c r="B6" t="s">
        <v>366</v>
      </c>
      <c r="C6" s="778"/>
      <c r="D6" s="778"/>
      <c r="E6" s="778"/>
      <c r="F6" s="778"/>
      <c r="G6" s="778"/>
      <c r="H6" s="778"/>
      <c r="I6" s="778"/>
      <c r="J6" s="778"/>
      <c r="K6" s="778"/>
    </row>
    <row r="7" spans="1:11" ht="15.75" customHeight="1" x14ac:dyDescent="0.25">
      <c r="A7" t="s">
        <v>365</v>
      </c>
      <c r="B7" t="s">
        <v>602</v>
      </c>
      <c r="C7" s="778"/>
      <c r="D7" s="778"/>
      <c r="E7" s="778"/>
      <c r="F7" s="778"/>
      <c r="G7" s="778"/>
      <c r="H7" s="778"/>
      <c r="I7" s="778"/>
      <c r="J7" s="778"/>
      <c r="K7" s="778"/>
    </row>
    <row r="8" spans="1:11" x14ac:dyDescent="0.25">
      <c r="A8" s="28"/>
      <c r="B8" s="1117" t="s">
        <v>125</v>
      </c>
      <c r="C8" s="1117"/>
      <c r="D8" s="1117"/>
      <c r="E8" s="1117"/>
      <c r="F8" s="1117"/>
      <c r="G8" s="1117"/>
      <c r="H8" s="1117"/>
      <c r="I8" s="1117"/>
      <c r="J8" s="16"/>
    </row>
    <row r="9" spans="1:11" ht="27.75" customHeight="1" x14ac:dyDescent="0.25">
      <c r="A9" s="42"/>
      <c r="B9" s="1118" t="s">
        <v>596</v>
      </c>
      <c r="C9" s="1119"/>
      <c r="D9" s="1120" t="s">
        <v>597</v>
      </c>
      <c r="E9" s="1121"/>
      <c r="F9" s="1120" t="s">
        <v>598</v>
      </c>
      <c r="G9" s="1121"/>
      <c r="H9" s="1120" t="s">
        <v>599</v>
      </c>
      <c r="I9" s="1121"/>
      <c r="J9" s="1122" t="s">
        <v>126</v>
      </c>
      <c r="K9" s="1123"/>
    </row>
    <row r="10" spans="1:11" ht="39" x14ac:dyDescent="0.25">
      <c r="A10" s="2" t="s">
        <v>1</v>
      </c>
      <c r="B10" s="803" t="s">
        <v>600</v>
      </c>
      <c r="C10" s="808" t="s">
        <v>601</v>
      </c>
      <c r="D10" s="803" t="s">
        <v>600</v>
      </c>
      <c r="E10" s="808" t="s">
        <v>601</v>
      </c>
      <c r="F10" s="803" t="s">
        <v>600</v>
      </c>
      <c r="G10" s="808" t="s">
        <v>601</v>
      </c>
      <c r="H10" s="803" t="s">
        <v>600</v>
      </c>
      <c r="I10" s="808" t="s">
        <v>601</v>
      </c>
      <c r="J10" s="803" t="s">
        <v>600</v>
      </c>
      <c r="K10" s="808" t="s">
        <v>601</v>
      </c>
    </row>
    <row r="11" spans="1:11" x14ac:dyDescent="0.25">
      <c r="A11" s="5" t="str">
        <f>'h15'!$A12</f>
        <v>2015-16</v>
      </c>
      <c r="B11" s="809">
        <f>'h15'!$Q12</f>
        <v>39</v>
      </c>
      <c r="C11" s="810">
        <f>'h15'!G28</f>
        <v>0</v>
      </c>
      <c r="D11" s="809">
        <f>'h15'!$R12</f>
        <v>13</v>
      </c>
      <c r="E11" s="810">
        <f>'h15'!$H28</f>
        <v>2</v>
      </c>
      <c r="F11" s="809">
        <f>'h15'!$S12</f>
        <v>37</v>
      </c>
      <c r="G11" s="810">
        <f>'h15'!$I28</f>
        <v>0</v>
      </c>
      <c r="H11" s="809">
        <f>'h15'!$T12</f>
        <v>1</v>
      </c>
      <c r="I11" s="810">
        <f>'h15'!$J28</f>
        <v>0</v>
      </c>
      <c r="J11" s="804">
        <f t="shared" ref="J11:K13" si="0">B11+D11+F11+H11</f>
        <v>90</v>
      </c>
      <c r="K11" s="805">
        <f t="shared" si="0"/>
        <v>2</v>
      </c>
    </row>
    <row r="12" spans="1:11" x14ac:dyDescent="0.25">
      <c r="A12" s="5" t="str">
        <f>'h15'!$A13</f>
        <v>2016-17</v>
      </c>
      <c r="B12" s="809">
        <f>'h15'!$Q13</f>
        <v>44</v>
      </c>
      <c r="C12" s="810">
        <f>'h15'!G29</f>
        <v>2</v>
      </c>
      <c r="D12" s="809">
        <f>'h15'!$R13</f>
        <v>10</v>
      </c>
      <c r="E12" s="810">
        <f>'h15'!$H29</f>
        <v>3</v>
      </c>
      <c r="F12" s="809">
        <f>'h15'!$S13</f>
        <v>22</v>
      </c>
      <c r="G12" s="810">
        <f>'h15'!$I29</f>
        <v>0</v>
      </c>
      <c r="H12" s="809">
        <f>'h15'!$T13</f>
        <v>2</v>
      </c>
      <c r="I12" s="810">
        <f>'h15'!$J29</f>
        <v>0</v>
      </c>
      <c r="J12" s="804">
        <f t="shared" si="0"/>
        <v>78</v>
      </c>
      <c r="K12" s="805">
        <f t="shared" si="0"/>
        <v>5</v>
      </c>
    </row>
    <row r="13" spans="1:11" x14ac:dyDescent="0.25">
      <c r="A13" s="5" t="str">
        <f>'h15'!$A14</f>
        <v>2017-18</v>
      </c>
      <c r="B13" s="811">
        <f>'h15'!$Q14</f>
        <v>32</v>
      </c>
      <c r="C13" s="812">
        <f>'h15'!G30</f>
        <v>3</v>
      </c>
      <c r="D13" s="811">
        <f>'h15'!$R14</f>
        <v>9</v>
      </c>
      <c r="E13" s="812">
        <f>'h15'!$H30</f>
        <v>4</v>
      </c>
      <c r="F13" s="811">
        <f>'h15'!$S14</f>
        <v>12</v>
      </c>
      <c r="G13" s="812">
        <f>'h15'!$I30</f>
        <v>0</v>
      </c>
      <c r="H13" s="811">
        <f>'h15'!$T14</f>
        <v>0</v>
      </c>
      <c r="I13" s="812">
        <f>'h15'!$J30</f>
        <v>0</v>
      </c>
      <c r="J13" s="804">
        <f t="shared" si="0"/>
        <v>53</v>
      </c>
      <c r="K13" s="805">
        <f t="shared" si="0"/>
        <v>7</v>
      </c>
    </row>
    <row r="14" spans="1:11" x14ac:dyDescent="0.25">
      <c r="A14" s="5" t="str">
        <f>'h15'!$A15</f>
        <v>2018-19</v>
      </c>
      <c r="B14" s="811">
        <f>'h15'!$Q15</f>
        <v>48</v>
      </c>
      <c r="C14" s="812">
        <f>'h15'!G31</f>
        <v>1</v>
      </c>
      <c r="D14" s="811">
        <f>'h15'!$R15</f>
        <v>8</v>
      </c>
      <c r="E14" s="812">
        <f>'h15'!$H31</f>
        <v>0</v>
      </c>
      <c r="F14" s="811">
        <f>'h15'!$S15</f>
        <v>15</v>
      </c>
      <c r="G14" s="812">
        <f>'h15'!$I31</f>
        <v>0</v>
      </c>
      <c r="H14" s="811">
        <f>'h15'!$T15</f>
        <v>1</v>
      </c>
      <c r="I14" s="812">
        <f>'h15'!$J31</f>
        <v>0</v>
      </c>
      <c r="J14" s="804">
        <f t="shared" ref="J14:J15" si="1">B14+D14+F14+H14</f>
        <v>72</v>
      </c>
      <c r="K14" s="805">
        <f t="shared" ref="K14:K15" si="2">C14+E14+G14+I14</f>
        <v>1</v>
      </c>
    </row>
    <row r="15" spans="1:11" x14ac:dyDescent="0.25">
      <c r="A15" s="473" t="str">
        <f>'h15'!$A16</f>
        <v>2019-20</v>
      </c>
      <c r="B15" s="813">
        <f>'h15'!$Q16</f>
        <v>33</v>
      </c>
      <c r="C15" s="814">
        <f>'h15'!G32</f>
        <v>0</v>
      </c>
      <c r="D15" s="813">
        <f>'h15'!$R16</f>
        <v>10</v>
      </c>
      <c r="E15" s="814">
        <f>'h15'!$H32</f>
        <v>2</v>
      </c>
      <c r="F15" s="813">
        <f>'h15'!$S16</f>
        <v>9</v>
      </c>
      <c r="G15" s="814">
        <f>'h15'!$I32</f>
        <v>0</v>
      </c>
      <c r="H15" s="813">
        <f>'h15'!$T16</f>
        <v>1</v>
      </c>
      <c r="I15" s="814">
        <f>'h15'!$J32</f>
        <v>0</v>
      </c>
      <c r="J15" s="806">
        <f t="shared" si="1"/>
        <v>53</v>
      </c>
      <c r="K15" s="807">
        <f t="shared" si="2"/>
        <v>2</v>
      </c>
    </row>
    <row r="16" spans="1:11" x14ac:dyDescent="0.25">
      <c r="A16" s="6"/>
      <c r="B16" s="543"/>
      <c r="C16" s="543"/>
      <c r="D16" s="543"/>
      <c r="E16" s="543"/>
      <c r="J16" s="543"/>
      <c r="K16" s="543"/>
    </row>
    <row r="17" spans="1:31" x14ac:dyDescent="0.25">
      <c r="A17" s="523" t="s">
        <v>8</v>
      </c>
      <c r="B17" s="524"/>
      <c r="C17" s="524"/>
      <c r="D17" s="524"/>
      <c r="E17" s="524"/>
      <c r="F17" s="524"/>
      <c r="G17" s="524"/>
      <c r="H17" s="524"/>
      <c r="I17" s="524"/>
    </row>
    <row r="18" spans="1:31" ht="30.75" customHeight="1" x14ac:dyDescent="0.25">
      <c r="A18" s="1115" t="s">
        <v>817</v>
      </c>
      <c r="B18" s="1115"/>
      <c r="C18" s="1115"/>
      <c r="D18" s="1115"/>
      <c r="E18" s="1115"/>
      <c r="F18" s="1115"/>
      <c r="G18" s="1115"/>
      <c r="H18" s="1115"/>
      <c r="I18" s="1115"/>
      <c r="J18" s="1115"/>
      <c r="K18" s="1115"/>
    </row>
    <row r="19" spans="1:31" x14ac:dyDescent="0.25">
      <c r="A19" s="522"/>
      <c r="B19" s="28"/>
      <c r="C19" s="28"/>
      <c r="D19" s="28"/>
      <c r="E19" s="28"/>
      <c r="F19" s="28"/>
      <c r="G19" s="28"/>
      <c r="H19" s="28"/>
      <c r="I19" s="28"/>
      <c r="J19" s="28"/>
      <c r="K19" s="28"/>
      <c r="T19" s="543"/>
      <c r="X19" s="543"/>
      <c r="AA19" s="543"/>
      <c r="AB19" s="543"/>
      <c r="AC19" s="543"/>
      <c r="AD19" s="543"/>
      <c r="AE19" s="543"/>
    </row>
    <row r="20" spans="1:31" x14ac:dyDescent="0.25">
      <c r="A20" s="28"/>
      <c r="B20" s="28"/>
      <c r="C20" s="28"/>
      <c r="D20" s="28"/>
      <c r="E20" s="28"/>
      <c r="F20" s="28"/>
      <c r="G20" s="28"/>
      <c r="H20" s="28"/>
      <c r="I20" s="28"/>
      <c r="J20" s="28"/>
      <c r="K20" s="28"/>
      <c r="T20" s="543"/>
      <c r="X20" s="543"/>
      <c r="AA20" s="543"/>
      <c r="AB20" s="543"/>
      <c r="AC20" s="543"/>
      <c r="AD20" s="543"/>
      <c r="AE20" s="543"/>
    </row>
    <row r="21" spans="1:31" ht="15.75" customHeight="1" x14ac:dyDescent="0.25">
      <c r="A21" s="1116" t="s">
        <v>664</v>
      </c>
      <c r="B21" s="1116"/>
      <c r="C21" s="1116"/>
      <c r="D21" s="1116"/>
      <c r="E21" s="1116"/>
      <c r="F21" s="1116"/>
      <c r="G21" s="1116"/>
      <c r="H21" s="1116"/>
      <c r="I21" s="1116"/>
      <c r="J21" s="1116"/>
      <c r="K21" s="1116"/>
      <c r="T21" s="543"/>
      <c r="X21" s="543"/>
      <c r="AA21" s="543"/>
      <c r="AB21" s="543"/>
      <c r="AC21" s="543"/>
      <c r="AD21" s="543"/>
      <c r="AE21" s="543"/>
    </row>
    <row r="22" spans="1:31" ht="15.75" customHeight="1" x14ac:dyDescent="0.25">
      <c r="A22" t="s">
        <v>363</v>
      </c>
      <c r="B22" s="968"/>
      <c r="C22" s="968"/>
      <c r="D22" s="968"/>
      <c r="E22" s="968"/>
      <c r="F22" s="968"/>
      <c r="G22" s="968"/>
      <c r="H22" s="968"/>
      <c r="I22" s="968"/>
      <c r="J22" s="968"/>
      <c r="K22" s="968"/>
      <c r="L22" s="969"/>
      <c r="T22" s="543"/>
      <c r="X22" s="543"/>
      <c r="AA22" s="543"/>
      <c r="AB22" s="543"/>
      <c r="AC22" s="543"/>
      <c r="AD22" s="543"/>
      <c r="AE22" s="543"/>
    </row>
    <row r="23" spans="1:31" ht="15.75" customHeight="1" x14ac:dyDescent="0.25">
      <c r="A23" t="s">
        <v>364</v>
      </c>
      <c r="B23" t="s">
        <v>366</v>
      </c>
      <c r="C23" s="964"/>
      <c r="D23" s="778"/>
      <c r="E23" s="778"/>
      <c r="F23" s="778"/>
      <c r="G23" s="778"/>
      <c r="H23" s="778"/>
      <c r="I23" s="778"/>
      <c r="J23" s="778"/>
      <c r="K23" s="964"/>
      <c r="T23" s="543"/>
      <c r="X23" s="543"/>
      <c r="AA23" s="543"/>
      <c r="AB23" s="543"/>
      <c r="AC23" s="543"/>
      <c r="AD23" s="543"/>
      <c r="AE23" s="543"/>
    </row>
    <row r="24" spans="1:31" ht="15.75" customHeight="1" x14ac:dyDescent="0.25">
      <c r="A24" t="s">
        <v>365</v>
      </c>
      <c r="B24" t="s">
        <v>602</v>
      </c>
      <c r="C24" s="778"/>
      <c r="D24" s="778"/>
      <c r="E24" s="778"/>
      <c r="F24" s="778"/>
      <c r="G24" s="778"/>
      <c r="H24" s="778"/>
      <c r="I24" s="778"/>
      <c r="J24" s="778"/>
      <c r="K24" s="778"/>
      <c r="T24" s="543"/>
      <c r="X24" s="543"/>
      <c r="AA24" s="543"/>
      <c r="AB24" s="543"/>
      <c r="AC24" s="543"/>
      <c r="AD24" s="543"/>
      <c r="AE24" s="543"/>
    </row>
    <row r="25" spans="1:31" ht="15.75" x14ac:dyDescent="0.25">
      <c r="A25" s="313"/>
      <c r="B25" s="1125" t="s">
        <v>125</v>
      </c>
      <c r="C25" s="1125"/>
      <c r="D25" s="1125"/>
      <c r="E25" s="1125"/>
      <c r="F25" s="1125"/>
      <c r="G25" s="1125"/>
      <c r="H25" s="1125"/>
      <c r="I25" s="1125"/>
      <c r="J25" s="815"/>
      <c r="K25" s="24"/>
      <c r="T25" s="25"/>
      <c r="X25" s="543"/>
      <c r="AA25" s="543"/>
      <c r="AB25" s="543"/>
      <c r="AC25" s="543"/>
      <c r="AD25" s="543"/>
      <c r="AE25" s="543"/>
    </row>
    <row r="26" spans="1:31" ht="30" customHeight="1" x14ac:dyDescent="0.25">
      <c r="A26" s="42"/>
      <c r="B26" s="1118" t="s">
        <v>596</v>
      </c>
      <c r="C26" s="1119"/>
      <c r="D26" s="1120" t="s">
        <v>597</v>
      </c>
      <c r="E26" s="1121"/>
      <c r="F26" s="1120" t="s">
        <v>598</v>
      </c>
      <c r="G26" s="1121"/>
      <c r="H26" s="1120" t="s">
        <v>599</v>
      </c>
      <c r="I26" s="1121"/>
      <c r="J26" s="1122" t="s">
        <v>126</v>
      </c>
      <c r="K26" s="1123"/>
      <c r="T26" s="543"/>
    </row>
    <row r="27" spans="1:31" ht="39" x14ac:dyDescent="0.25">
      <c r="A27" s="2" t="s">
        <v>1</v>
      </c>
      <c r="B27" s="803" t="s">
        <v>600</v>
      </c>
      <c r="C27" s="808" t="s">
        <v>601</v>
      </c>
      <c r="D27" s="803" t="s">
        <v>600</v>
      </c>
      <c r="E27" s="808" t="s">
        <v>601</v>
      </c>
      <c r="F27" s="803" t="s">
        <v>600</v>
      </c>
      <c r="G27" s="808" t="s">
        <v>601</v>
      </c>
      <c r="H27" s="803" t="s">
        <v>600</v>
      </c>
      <c r="I27" s="808" t="s">
        <v>601</v>
      </c>
      <c r="J27" s="803" t="s">
        <v>600</v>
      </c>
      <c r="K27" s="808" t="s">
        <v>601</v>
      </c>
      <c r="T27" s="543"/>
    </row>
    <row r="28" spans="1:31" x14ac:dyDescent="0.25">
      <c r="A28" s="822" t="str">
        <f>'h15'!$A12</f>
        <v>2015-16</v>
      </c>
      <c r="B28" s="816">
        <f>'h15'!$B12</f>
        <v>3</v>
      </c>
      <c r="C28" s="817">
        <f>'h15'!$B28</f>
        <v>0</v>
      </c>
      <c r="D28" s="816">
        <f>'h15'!$C12</f>
        <v>0</v>
      </c>
      <c r="E28" s="817">
        <f>'h15'!$C28</f>
        <v>0</v>
      </c>
      <c r="F28" s="816">
        <f>'h15'!$D12</f>
        <v>6</v>
      </c>
      <c r="G28" s="817">
        <f>'h15'!$D28</f>
        <v>0</v>
      </c>
      <c r="H28" s="816">
        <f>'h15'!$E12</f>
        <v>0</v>
      </c>
      <c r="I28" s="817">
        <f>'h15'!$E28</f>
        <v>0</v>
      </c>
      <c r="J28" s="825">
        <f t="shared" ref="J28:K30" si="3">H28+F28+D28+B28</f>
        <v>9</v>
      </c>
      <c r="K28" s="817">
        <f t="shared" si="3"/>
        <v>0</v>
      </c>
      <c r="T28" s="543"/>
    </row>
    <row r="29" spans="1:31" x14ac:dyDescent="0.25">
      <c r="A29" s="823" t="str">
        <f>'h15'!$A13</f>
        <v>2016-17</v>
      </c>
      <c r="B29" s="818">
        <f>'h15'!$B13</f>
        <v>2</v>
      </c>
      <c r="C29" s="819">
        <f>'h15'!$B29</f>
        <v>0</v>
      </c>
      <c r="D29" s="818">
        <f>'h15'!$C13</f>
        <v>0</v>
      </c>
      <c r="E29" s="819">
        <f>'h15'!$C29</f>
        <v>0</v>
      </c>
      <c r="F29" s="818">
        <f>'h15'!$D13</f>
        <v>3</v>
      </c>
      <c r="G29" s="819">
        <f>'h15'!$D29</f>
        <v>0</v>
      </c>
      <c r="H29" s="818">
        <f>'h15'!$E13</f>
        <v>0</v>
      </c>
      <c r="I29" s="819">
        <f>'h15'!$E29</f>
        <v>0</v>
      </c>
      <c r="J29" s="826">
        <f t="shared" si="3"/>
        <v>5</v>
      </c>
      <c r="K29" s="819">
        <f t="shared" si="3"/>
        <v>0</v>
      </c>
      <c r="T29" s="543"/>
    </row>
    <row r="30" spans="1:31" x14ac:dyDescent="0.25">
      <c r="A30" s="823" t="str">
        <f>'h15'!$A14</f>
        <v>2017-18</v>
      </c>
      <c r="B30" s="818">
        <f>'h15'!$B14</f>
        <v>3</v>
      </c>
      <c r="C30" s="819">
        <f>'h15'!$B30</f>
        <v>0</v>
      </c>
      <c r="D30" s="818">
        <f>'h15'!$C14</f>
        <v>2</v>
      </c>
      <c r="E30" s="819">
        <f>'h15'!$C30</f>
        <v>0</v>
      </c>
      <c r="F30" s="818">
        <f>'h15'!$D14</f>
        <v>3</v>
      </c>
      <c r="G30" s="819">
        <f>'h15'!$D30</f>
        <v>0</v>
      </c>
      <c r="H30" s="818">
        <f>'h15'!$E14</f>
        <v>0</v>
      </c>
      <c r="I30" s="819">
        <f>'h15'!$E30</f>
        <v>0</v>
      </c>
      <c r="J30" s="826">
        <f t="shared" si="3"/>
        <v>8</v>
      </c>
      <c r="K30" s="819">
        <f t="shared" si="3"/>
        <v>0</v>
      </c>
      <c r="T30" s="543"/>
    </row>
    <row r="31" spans="1:31" x14ac:dyDescent="0.25">
      <c r="A31" s="823" t="str">
        <f>'h15'!$A15</f>
        <v>2018-19</v>
      </c>
      <c r="B31" s="818">
        <f>'h15'!$B15</f>
        <v>2</v>
      </c>
      <c r="C31" s="819">
        <f>'h15'!$B31</f>
        <v>0</v>
      </c>
      <c r="D31" s="818">
        <f>'h15'!$C15</f>
        <v>2</v>
      </c>
      <c r="E31" s="819">
        <f>'h15'!$C31</f>
        <v>2</v>
      </c>
      <c r="F31" s="818">
        <f>'h15'!$D15</f>
        <v>6</v>
      </c>
      <c r="G31" s="819">
        <f>'h15'!$D31</f>
        <v>0</v>
      </c>
      <c r="H31" s="818">
        <f>'h15'!$E15</f>
        <v>1</v>
      </c>
      <c r="I31" s="819">
        <f>'h15'!$E31</f>
        <v>0</v>
      </c>
      <c r="J31" s="826">
        <f t="shared" ref="J31:J32" si="4">H31+F31+D31+B31</f>
        <v>11</v>
      </c>
      <c r="K31" s="819">
        <f t="shared" ref="K31:K32" si="5">I31+G31+E31+C31</f>
        <v>2</v>
      </c>
      <c r="T31" s="543"/>
    </row>
    <row r="32" spans="1:31" x14ac:dyDescent="0.25">
      <c r="A32" s="824" t="str">
        <f>'h15'!$A16</f>
        <v>2019-20</v>
      </c>
      <c r="B32" s="820">
        <f>'h15'!$B16</f>
        <v>1</v>
      </c>
      <c r="C32" s="821">
        <f>'h15'!$B32</f>
        <v>0</v>
      </c>
      <c r="D32" s="820">
        <f>'h15'!$C16</f>
        <v>0</v>
      </c>
      <c r="E32" s="821">
        <f>'h15'!$C32</f>
        <v>0</v>
      </c>
      <c r="F32" s="820">
        <f>'h15'!$D16</f>
        <v>1</v>
      </c>
      <c r="G32" s="821">
        <f>'h15'!$D32</f>
        <v>0</v>
      </c>
      <c r="H32" s="820">
        <f>'h15'!$E16</f>
        <v>1</v>
      </c>
      <c r="I32" s="821">
        <f>'h15'!$E32</f>
        <v>0</v>
      </c>
      <c r="J32" s="827">
        <f t="shared" si="4"/>
        <v>3</v>
      </c>
      <c r="K32" s="821">
        <f t="shared" si="5"/>
        <v>0</v>
      </c>
      <c r="T32" s="543"/>
    </row>
    <row r="33" spans="1:20" x14ac:dyDescent="0.25">
      <c r="A33" s="6"/>
      <c r="B33" s="271"/>
      <c r="C33" s="271"/>
      <c r="D33" s="271"/>
      <c r="E33" s="271"/>
      <c r="F33" s="271"/>
      <c r="G33" s="271"/>
      <c r="H33" s="271"/>
      <c r="I33" s="271"/>
      <c r="J33" s="270"/>
      <c r="K33" s="270"/>
      <c r="T33" s="543"/>
    </row>
    <row r="34" spans="1:20" x14ac:dyDescent="0.25">
      <c r="A34" s="523" t="s">
        <v>8</v>
      </c>
      <c r="B34" s="526"/>
      <c r="C34" s="526"/>
      <c r="D34" s="526"/>
      <c r="E34" s="526"/>
      <c r="F34" s="526"/>
      <c r="G34" s="526"/>
      <c r="H34" s="526"/>
      <c r="I34" s="526"/>
      <c r="J34" s="527"/>
      <c r="K34" s="526"/>
      <c r="T34" s="543"/>
    </row>
    <row r="35" spans="1:20" ht="30" customHeight="1" x14ac:dyDescent="0.25">
      <c r="A35" s="1115" t="s">
        <v>818</v>
      </c>
      <c r="B35" s="1115"/>
      <c r="C35" s="1115"/>
      <c r="D35" s="1115"/>
      <c r="E35" s="1115"/>
      <c r="F35" s="1115"/>
      <c r="G35" s="1115"/>
      <c r="H35" s="1115"/>
      <c r="I35" s="1115"/>
      <c r="J35" s="1115"/>
      <c r="K35" s="1115"/>
      <c r="T35" s="543"/>
    </row>
    <row r="36" spans="1:20" ht="30" customHeight="1" x14ac:dyDescent="0.25">
      <c r="A36" s="1124"/>
      <c r="B36" s="1124"/>
      <c r="C36" s="1124"/>
      <c r="D36" s="1124"/>
      <c r="E36" s="1124"/>
      <c r="F36" s="1124"/>
      <c r="G36" s="1124"/>
      <c r="H36" s="1124"/>
      <c r="I36" s="1124"/>
      <c r="J36" s="1124"/>
      <c r="K36" s="1124"/>
    </row>
    <row r="37" spans="1:20" x14ac:dyDescent="0.25">
      <c r="A37" s="522"/>
      <c r="B37" s="273"/>
      <c r="C37" s="273"/>
      <c r="D37" s="273"/>
      <c r="E37" s="273"/>
      <c r="F37" s="273"/>
      <c r="G37" s="16"/>
      <c r="H37" s="16"/>
      <c r="I37" s="16"/>
      <c r="J37" s="16"/>
      <c r="K37" s="16"/>
    </row>
    <row r="52" ht="15" customHeight="1" x14ac:dyDescent="0.25"/>
    <row r="53" ht="15" customHeight="1" x14ac:dyDescent="0.25"/>
    <row r="54" ht="30" customHeight="1" x14ac:dyDescent="0.25"/>
    <row r="55" ht="45" customHeight="1" x14ac:dyDescent="0.25"/>
  </sheetData>
  <sheetProtection algorithmName="SHA-512" hashValue="pq9u6BLjMX72COlUIhBB+9756te5D+vt2eNyFbtrV8REdhW1mHpzQlsreGprWlRjdkO3Q+zCRSylZpOoirirQQ==" saltValue="azPQwimKdxibZyzpx8JIgA==" spinCount="100000" sheet="1" scenarios="1" formatCells="0" formatColumns="0" formatRows="0" sort="0" autoFilter="0" pivotTables="0"/>
  <mergeCells count="17">
    <mergeCell ref="A36:K36"/>
    <mergeCell ref="A21:K21"/>
    <mergeCell ref="B25:I25"/>
    <mergeCell ref="B26:C26"/>
    <mergeCell ref="D26:E26"/>
    <mergeCell ref="F26:G26"/>
    <mergeCell ref="H26:I26"/>
    <mergeCell ref="J26:K26"/>
    <mergeCell ref="A18:K18"/>
    <mergeCell ref="A35:K35"/>
    <mergeCell ref="A4:K4"/>
    <mergeCell ref="B8:I8"/>
    <mergeCell ref="B9:C9"/>
    <mergeCell ref="D9:E9"/>
    <mergeCell ref="F9:G9"/>
    <mergeCell ref="H9:I9"/>
    <mergeCell ref="J9:K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4:Z33"/>
  <sheetViews>
    <sheetView topLeftCell="A3" workbookViewId="0">
      <selection activeCell="C27" sqref="C27"/>
    </sheetView>
  </sheetViews>
  <sheetFormatPr defaultColWidth="7.85546875" defaultRowHeight="15" x14ac:dyDescent="0.25"/>
  <cols>
    <col min="1" max="1" width="13.140625" customWidth="1"/>
    <col min="2" max="2" width="45.140625" customWidth="1"/>
    <col min="3" max="3" width="20.7109375" customWidth="1"/>
    <col min="4" max="4" width="19.42578125" customWidth="1"/>
    <col min="5" max="5" width="29.28515625" customWidth="1"/>
    <col min="6" max="6" width="12" customWidth="1"/>
    <col min="7" max="7" width="61.140625" bestFit="1" customWidth="1"/>
    <col min="8" max="8" width="36.7109375" bestFit="1" customWidth="1"/>
    <col min="9" max="9" width="35.42578125" bestFit="1" customWidth="1"/>
    <col min="10" max="10" width="45.28515625" bestFit="1" customWidth="1"/>
    <col min="11" max="11" width="28" bestFit="1" customWidth="1"/>
    <col min="12" max="12" width="45.140625" bestFit="1" customWidth="1"/>
    <col min="13" max="13" width="20.7109375" bestFit="1" customWidth="1"/>
    <col min="14" max="14" width="19.42578125" bestFit="1" customWidth="1"/>
    <col min="15" max="15" width="29.28515625" bestFit="1" customWidth="1"/>
    <col min="16" max="16" width="12" bestFit="1" customWidth="1"/>
    <col min="17" max="17" width="56.5703125" bestFit="1" customWidth="1"/>
    <col min="18" max="18" width="32.140625" bestFit="1" customWidth="1"/>
    <col min="19" max="19" width="30.85546875" bestFit="1" customWidth="1"/>
    <col min="20" max="20" width="40.7109375" bestFit="1" customWidth="1"/>
    <col min="21" max="21" width="23.42578125" bestFit="1" customWidth="1"/>
    <col min="22" max="22" width="50.140625" bestFit="1" customWidth="1"/>
    <col min="23" max="23" width="25.85546875" bestFit="1" customWidth="1"/>
    <col min="24" max="24" width="24.42578125" bestFit="1" customWidth="1"/>
    <col min="25" max="25" width="34.42578125" bestFit="1" customWidth="1"/>
    <col min="26" max="26" width="17" bestFit="1" customWidth="1"/>
    <col min="27" max="27" width="52.140625" bestFit="1" customWidth="1"/>
    <col min="28" max="28" width="27.7109375" bestFit="1" customWidth="1"/>
    <col min="29" max="29" width="26.42578125" bestFit="1" customWidth="1"/>
    <col min="30" max="30" width="36.28515625" bestFit="1" customWidth="1"/>
    <col min="31" max="31" width="19" bestFit="1" customWidth="1"/>
    <col min="32" max="32" width="50.140625" bestFit="1" customWidth="1"/>
    <col min="33" max="33" width="25.85546875" bestFit="1" customWidth="1"/>
    <col min="34" max="34" width="24.42578125" bestFit="1" customWidth="1"/>
    <col min="35" max="35" width="34.42578125" bestFit="1" customWidth="1"/>
    <col min="36" max="36" width="17" bestFit="1" customWidth="1"/>
  </cols>
  <sheetData>
    <row r="4" spans="1:26" x14ac:dyDescent="0.25">
      <c r="B4" s="565" t="s">
        <v>271</v>
      </c>
    </row>
    <row r="5" spans="1:26" x14ac:dyDescent="0.25">
      <c r="B5" t="s">
        <v>197</v>
      </c>
      <c r="G5" t="s">
        <v>344</v>
      </c>
      <c r="H5" t="s">
        <v>350</v>
      </c>
      <c r="I5" t="s">
        <v>354</v>
      </c>
      <c r="J5" t="s">
        <v>358</v>
      </c>
      <c r="K5" t="s">
        <v>347</v>
      </c>
      <c r="L5" t="s">
        <v>213</v>
      </c>
      <c r="Q5" t="s">
        <v>345</v>
      </c>
      <c r="R5" t="s">
        <v>351</v>
      </c>
      <c r="S5" t="s">
        <v>355</v>
      </c>
      <c r="T5" t="s">
        <v>359</v>
      </c>
      <c r="U5" t="s">
        <v>348</v>
      </c>
      <c r="V5" t="s">
        <v>346</v>
      </c>
      <c r="W5" t="s">
        <v>352</v>
      </c>
      <c r="X5" t="s">
        <v>356</v>
      </c>
      <c r="Y5" t="s">
        <v>360</v>
      </c>
      <c r="Z5" t="s">
        <v>349</v>
      </c>
    </row>
    <row r="6" spans="1:26" x14ac:dyDescent="0.25">
      <c r="B6" t="s">
        <v>196</v>
      </c>
      <c r="L6" t="s">
        <v>196</v>
      </c>
    </row>
    <row r="7" spans="1:26" x14ac:dyDescent="0.25">
      <c r="A7" s="565" t="s">
        <v>246</v>
      </c>
      <c r="B7" t="s">
        <v>342</v>
      </c>
      <c r="C7" t="s">
        <v>353</v>
      </c>
      <c r="D7" t="s">
        <v>357</v>
      </c>
      <c r="E7" t="s">
        <v>361</v>
      </c>
      <c r="F7" t="s">
        <v>252</v>
      </c>
      <c r="L7" t="s">
        <v>342</v>
      </c>
      <c r="M7" t="s">
        <v>353</v>
      </c>
      <c r="N7" t="s">
        <v>357</v>
      </c>
      <c r="O7" t="s">
        <v>361</v>
      </c>
      <c r="P7" t="s">
        <v>252</v>
      </c>
    </row>
    <row r="8" spans="1:26" x14ac:dyDescent="0.25">
      <c r="A8" s="1068" t="s">
        <v>325</v>
      </c>
      <c r="B8" s="567"/>
      <c r="C8" s="567"/>
      <c r="D8" s="567"/>
      <c r="E8" s="567"/>
      <c r="F8" s="567"/>
      <c r="G8" s="567"/>
      <c r="H8" s="567"/>
      <c r="I8" s="567"/>
      <c r="J8" s="567"/>
      <c r="K8" s="567"/>
      <c r="L8" s="567">
        <v>49</v>
      </c>
      <c r="M8" s="567">
        <v>8</v>
      </c>
      <c r="N8" s="567">
        <v>37</v>
      </c>
      <c r="O8" s="567">
        <v>15</v>
      </c>
      <c r="P8" s="567">
        <v>109</v>
      </c>
      <c r="Q8" s="567">
        <v>49</v>
      </c>
      <c r="R8" s="567">
        <v>8</v>
      </c>
      <c r="S8" s="567">
        <v>37</v>
      </c>
      <c r="T8" s="567">
        <v>15</v>
      </c>
      <c r="U8" s="567">
        <v>109</v>
      </c>
      <c r="V8" s="567">
        <v>49</v>
      </c>
      <c r="W8" s="567">
        <v>8</v>
      </c>
      <c r="X8" s="567">
        <v>37</v>
      </c>
      <c r="Y8" s="567">
        <v>15</v>
      </c>
      <c r="Z8" s="567">
        <v>109</v>
      </c>
    </row>
    <row r="9" spans="1:26" x14ac:dyDescent="0.25">
      <c r="A9" s="1068" t="s">
        <v>205</v>
      </c>
      <c r="B9" s="567"/>
      <c r="C9" s="567"/>
      <c r="D9" s="567"/>
      <c r="E9" s="567"/>
      <c r="F9" s="567"/>
      <c r="G9" s="567"/>
      <c r="H9" s="567"/>
      <c r="I9" s="567"/>
      <c r="J9" s="567"/>
      <c r="K9" s="567"/>
      <c r="L9" s="567">
        <v>43</v>
      </c>
      <c r="M9" s="567">
        <v>5</v>
      </c>
      <c r="N9" s="567">
        <v>29</v>
      </c>
      <c r="O9" s="567">
        <v>4</v>
      </c>
      <c r="P9" s="567">
        <v>81</v>
      </c>
      <c r="Q9" s="567">
        <v>43</v>
      </c>
      <c r="R9" s="567">
        <v>5</v>
      </c>
      <c r="S9" s="567">
        <v>29</v>
      </c>
      <c r="T9" s="567">
        <v>4</v>
      </c>
      <c r="U9" s="567">
        <v>81</v>
      </c>
      <c r="V9" s="567">
        <v>43</v>
      </c>
      <c r="W9" s="567">
        <v>5</v>
      </c>
      <c r="X9" s="567">
        <v>29</v>
      </c>
      <c r="Y9" s="567">
        <v>4</v>
      </c>
      <c r="Z9" s="567">
        <v>81</v>
      </c>
    </row>
    <row r="10" spans="1:26" x14ac:dyDescent="0.25">
      <c r="A10" s="1068" t="s">
        <v>204</v>
      </c>
      <c r="B10" s="567"/>
      <c r="C10" s="567"/>
      <c r="D10" s="567"/>
      <c r="E10" s="567"/>
      <c r="F10" s="567"/>
      <c r="G10" s="567"/>
      <c r="H10" s="567"/>
      <c r="I10" s="567"/>
      <c r="J10" s="567"/>
      <c r="K10" s="567"/>
      <c r="L10" s="567">
        <v>38</v>
      </c>
      <c r="M10" s="567">
        <v>3</v>
      </c>
      <c r="N10" s="567">
        <v>20</v>
      </c>
      <c r="O10" s="567">
        <v>8</v>
      </c>
      <c r="P10" s="567">
        <v>69</v>
      </c>
      <c r="Q10" s="567">
        <v>38</v>
      </c>
      <c r="R10" s="567">
        <v>3</v>
      </c>
      <c r="S10" s="567">
        <v>20</v>
      </c>
      <c r="T10" s="567">
        <v>8</v>
      </c>
      <c r="U10" s="567">
        <v>69</v>
      </c>
      <c r="V10" s="567">
        <v>38</v>
      </c>
      <c r="W10" s="567">
        <v>3</v>
      </c>
      <c r="X10" s="567">
        <v>20</v>
      </c>
      <c r="Y10" s="567">
        <v>8</v>
      </c>
      <c r="Z10" s="567">
        <v>69</v>
      </c>
    </row>
    <row r="11" spans="1:26" x14ac:dyDescent="0.25">
      <c r="A11" s="1068" t="s">
        <v>203</v>
      </c>
      <c r="B11" s="567"/>
      <c r="C11" s="567"/>
      <c r="D11" s="567"/>
      <c r="E11" s="567"/>
      <c r="F11" s="567"/>
      <c r="G11" s="567"/>
      <c r="H11" s="567"/>
      <c r="I11" s="567"/>
      <c r="J11" s="567"/>
      <c r="K11" s="567"/>
      <c r="L11" s="567">
        <v>31</v>
      </c>
      <c r="M11" s="567">
        <v>6</v>
      </c>
      <c r="N11" s="567">
        <v>30</v>
      </c>
      <c r="O11" s="567">
        <v>8</v>
      </c>
      <c r="P11" s="567">
        <v>75</v>
      </c>
      <c r="Q11" s="567">
        <v>31</v>
      </c>
      <c r="R11" s="567">
        <v>6</v>
      </c>
      <c r="S11" s="567">
        <v>30</v>
      </c>
      <c r="T11" s="567">
        <v>8</v>
      </c>
      <c r="U11" s="567">
        <v>75</v>
      </c>
      <c r="V11" s="567">
        <v>31</v>
      </c>
      <c r="W11" s="567">
        <v>6</v>
      </c>
      <c r="X11" s="567">
        <v>30</v>
      </c>
      <c r="Y11" s="567">
        <v>8</v>
      </c>
      <c r="Z11" s="567">
        <v>75</v>
      </c>
    </row>
    <row r="12" spans="1:26" x14ac:dyDescent="0.25">
      <c r="A12" s="1068" t="s">
        <v>202</v>
      </c>
      <c r="B12" s="567">
        <v>3</v>
      </c>
      <c r="C12" s="567"/>
      <c r="D12" s="567">
        <v>6</v>
      </c>
      <c r="E12" s="567"/>
      <c r="F12" s="567">
        <v>9</v>
      </c>
      <c r="G12" s="567">
        <v>3</v>
      </c>
      <c r="H12" s="567"/>
      <c r="I12" s="567">
        <v>6</v>
      </c>
      <c r="J12" s="567"/>
      <c r="K12" s="567">
        <v>9</v>
      </c>
      <c r="L12" s="567">
        <v>39</v>
      </c>
      <c r="M12" s="567">
        <v>13</v>
      </c>
      <c r="N12" s="567">
        <v>37</v>
      </c>
      <c r="O12" s="567">
        <v>1</v>
      </c>
      <c r="P12" s="567">
        <v>90</v>
      </c>
      <c r="Q12" s="567">
        <v>39</v>
      </c>
      <c r="R12" s="567">
        <v>13</v>
      </c>
      <c r="S12" s="567">
        <v>37</v>
      </c>
      <c r="T12" s="567">
        <v>1</v>
      </c>
      <c r="U12" s="567">
        <v>90</v>
      </c>
      <c r="V12" s="567">
        <v>42</v>
      </c>
      <c r="W12" s="567">
        <v>13</v>
      </c>
      <c r="X12" s="567">
        <v>43</v>
      </c>
      <c r="Y12" s="567">
        <v>1</v>
      </c>
      <c r="Z12" s="567">
        <v>99</v>
      </c>
    </row>
    <row r="13" spans="1:26" x14ac:dyDescent="0.25">
      <c r="A13" s="1068" t="s">
        <v>273</v>
      </c>
      <c r="B13" s="567">
        <v>2</v>
      </c>
      <c r="C13" s="567"/>
      <c r="D13" s="567">
        <v>3</v>
      </c>
      <c r="E13" s="567"/>
      <c r="F13" s="567">
        <v>5</v>
      </c>
      <c r="G13" s="567">
        <v>2</v>
      </c>
      <c r="H13" s="567"/>
      <c r="I13" s="567">
        <v>3</v>
      </c>
      <c r="J13" s="567"/>
      <c r="K13" s="567">
        <v>5</v>
      </c>
      <c r="L13" s="567">
        <v>44</v>
      </c>
      <c r="M13" s="567">
        <v>10</v>
      </c>
      <c r="N13" s="567">
        <v>22</v>
      </c>
      <c r="O13" s="567">
        <v>2</v>
      </c>
      <c r="P13" s="567">
        <v>78</v>
      </c>
      <c r="Q13" s="567">
        <v>44</v>
      </c>
      <c r="R13" s="567">
        <v>10</v>
      </c>
      <c r="S13" s="567">
        <v>22</v>
      </c>
      <c r="T13" s="567">
        <v>2</v>
      </c>
      <c r="U13" s="567">
        <v>78</v>
      </c>
      <c r="V13" s="567">
        <v>46</v>
      </c>
      <c r="W13" s="567">
        <v>10</v>
      </c>
      <c r="X13" s="567">
        <v>25</v>
      </c>
      <c r="Y13" s="567">
        <v>2</v>
      </c>
      <c r="Z13" s="567">
        <v>83</v>
      </c>
    </row>
    <row r="14" spans="1:26" x14ac:dyDescent="0.25">
      <c r="A14" s="1068" t="s">
        <v>255</v>
      </c>
      <c r="B14" s="567">
        <v>3</v>
      </c>
      <c r="C14" s="567">
        <v>2</v>
      </c>
      <c r="D14" s="567">
        <v>3</v>
      </c>
      <c r="E14" s="567"/>
      <c r="F14" s="567">
        <v>8</v>
      </c>
      <c r="G14" s="567">
        <v>3</v>
      </c>
      <c r="H14" s="567">
        <v>2</v>
      </c>
      <c r="I14" s="567">
        <v>3</v>
      </c>
      <c r="J14" s="567"/>
      <c r="K14" s="567">
        <v>8</v>
      </c>
      <c r="L14" s="567">
        <v>32</v>
      </c>
      <c r="M14" s="567">
        <v>9</v>
      </c>
      <c r="N14" s="567">
        <v>12</v>
      </c>
      <c r="O14" s="567"/>
      <c r="P14" s="567">
        <v>53</v>
      </c>
      <c r="Q14" s="567">
        <v>32</v>
      </c>
      <c r="R14" s="567">
        <v>9</v>
      </c>
      <c r="S14" s="567">
        <v>12</v>
      </c>
      <c r="T14" s="567"/>
      <c r="U14" s="567">
        <v>53</v>
      </c>
      <c r="V14" s="567">
        <v>35</v>
      </c>
      <c r="W14" s="567">
        <v>11</v>
      </c>
      <c r="X14" s="567">
        <v>15</v>
      </c>
      <c r="Y14" s="567"/>
      <c r="Z14" s="567">
        <v>61</v>
      </c>
    </row>
    <row r="15" spans="1:26" x14ac:dyDescent="0.25">
      <c r="A15" s="1068" t="s">
        <v>254</v>
      </c>
      <c r="B15" s="567">
        <v>2</v>
      </c>
      <c r="C15" s="567">
        <v>2</v>
      </c>
      <c r="D15" s="567">
        <v>6</v>
      </c>
      <c r="E15" s="567">
        <v>1</v>
      </c>
      <c r="F15" s="567">
        <v>11</v>
      </c>
      <c r="G15" s="567">
        <v>2</v>
      </c>
      <c r="H15" s="567">
        <v>2</v>
      </c>
      <c r="I15" s="567">
        <v>6</v>
      </c>
      <c r="J15" s="567">
        <v>1</v>
      </c>
      <c r="K15" s="567">
        <v>11</v>
      </c>
      <c r="L15" s="567">
        <v>48</v>
      </c>
      <c r="M15" s="567">
        <v>8</v>
      </c>
      <c r="N15" s="567">
        <v>15</v>
      </c>
      <c r="O15" s="567">
        <v>1</v>
      </c>
      <c r="P15" s="567">
        <v>72</v>
      </c>
      <c r="Q15" s="567">
        <v>48</v>
      </c>
      <c r="R15" s="567">
        <v>8</v>
      </c>
      <c r="S15" s="567">
        <v>15</v>
      </c>
      <c r="T15" s="567">
        <v>1</v>
      </c>
      <c r="U15" s="567">
        <v>72</v>
      </c>
      <c r="V15" s="567">
        <v>50</v>
      </c>
      <c r="W15" s="567">
        <v>10</v>
      </c>
      <c r="X15" s="567">
        <v>21</v>
      </c>
      <c r="Y15" s="567">
        <v>2</v>
      </c>
      <c r="Z15" s="567">
        <v>83</v>
      </c>
    </row>
    <row r="16" spans="1:26" x14ac:dyDescent="0.25">
      <c r="A16" s="1068" t="s">
        <v>851</v>
      </c>
      <c r="B16" s="567">
        <v>1</v>
      </c>
      <c r="C16" s="567"/>
      <c r="D16" s="567">
        <v>1</v>
      </c>
      <c r="E16" s="567">
        <v>1</v>
      </c>
      <c r="F16" s="567">
        <v>3</v>
      </c>
      <c r="G16" s="567">
        <v>1</v>
      </c>
      <c r="H16" s="567"/>
      <c r="I16" s="567">
        <v>1</v>
      </c>
      <c r="J16" s="567">
        <v>1</v>
      </c>
      <c r="K16" s="567">
        <v>3</v>
      </c>
      <c r="L16" s="567">
        <v>33</v>
      </c>
      <c r="M16" s="567">
        <v>10</v>
      </c>
      <c r="N16" s="567">
        <v>9</v>
      </c>
      <c r="O16" s="567">
        <v>1</v>
      </c>
      <c r="P16" s="567">
        <v>53</v>
      </c>
      <c r="Q16" s="567">
        <v>33</v>
      </c>
      <c r="R16" s="567">
        <v>10</v>
      </c>
      <c r="S16" s="567">
        <v>9</v>
      </c>
      <c r="T16" s="567">
        <v>1</v>
      </c>
      <c r="U16" s="567">
        <v>53</v>
      </c>
      <c r="V16" s="567">
        <v>34</v>
      </c>
      <c r="W16" s="567">
        <v>10</v>
      </c>
      <c r="X16" s="567">
        <v>10</v>
      </c>
      <c r="Y16" s="567">
        <v>2</v>
      </c>
      <c r="Z16" s="567">
        <v>56</v>
      </c>
    </row>
    <row r="17" spans="1:26" x14ac:dyDescent="0.25">
      <c r="A17" s="1068" t="s">
        <v>251</v>
      </c>
      <c r="B17" s="567">
        <v>11</v>
      </c>
      <c r="C17" s="567">
        <v>4</v>
      </c>
      <c r="D17" s="567">
        <v>19</v>
      </c>
      <c r="E17" s="567">
        <v>2</v>
      </c>
      <c r="F17" s="567">
        <v>36</v>
      </c>
      <c r="G17" s="567">
        <v>11</v>
      </c>
      <c r="H17" s="567">
        <v>4</v>
      </c>
      <c r="I17" s="567">
        <v>19</v>
      </c>
      <c r="J17" s="567">
        <v>2</v>
      </c>
      <c r="K17" s="567">
        <v>36</v>
      </c>
      <c r="L17" s="567">
        <v>357</v>
      </c>
      <c r="M17" s="567">
        <v>72</v>
      </c>
      <c r="N17" s="567">
        <v>211</v>
      </c>
      <c r="O17" s="567">
        <v>40</v>
      </c>
      <c r="P17" s="567">
        <v>680</v>
      </c>
      <c r="Q17" s="567">
        <v>357</v>
      </c>
      <c r="R17" s="567">
        <v>72</v>
      </c>
      <c r="S17" s="567">
        <v>211</v>
      </c>
      <c r="T17" s="567">
        <v>40</v>
      </c>
      <c r="U17" s="567">
        <v>680</v>
      </c>
      <c r="V17" s="567">
        <v>368</v>
      </c>
      <c r="W17" s="567">
        <v>76</v>
      </c>
      <c r="X17" s="567">
        <v>230</v>
      </c>
      <c r="Y17" s="567">
        <v>42</v>
      </c>
      <c r="Z17" s="567">
        <v>716</v>
      </c>
    </row>
    <row r="20" spans="1:26" x14ac:dyDescent="0.25">
      <c r="B20" s="565" t="s">
        <v>271</v>
      </c>
    </row>
    <row r="21" spans="1:26" x14ac:dyDescent="0.25">
      <c r="B21" t="s">
        <v>343</v>
      </c>
      <c r="L21" t="s">
        <v>386</v>
      </c>
      <c r="M21" t="s">
        <v>387</v>
      </c>
      <c r="N21" t="s">
        <v>388</v>
      </c>
      <c r="O21" t="s">
        <v>389</v>
      </c>
      <c r="P21" t="s">
        <v>390</v>
      </c>
      <c r="Q21" t="s">
        <v>346</v>
      </c>
      <c r="R21" t="s">
        <v>352</v>
      </c>
      <c r="S21" t="s">
        <v>356</v>
      </c>
      <c r="T21" t="s">
        <v>360</v>
      </c>
      <c r="U21" t="s">
        <v>349</v>
      </c>
    </row>
    <row r="22" spans="1:26" x14ac:dyDescent="0.25">
      <c r="B22" t="s">
        <v>197</v>
      </c>
      <c r="G22" t="s">
        <v>213</v>
      </c>
    </row>
    <row r="23" spans="1:26" x14ac:dyDescent="0.25">
      <c r="A23" s="565" t="s">
        <v>246</v>
      </c>
      <c r="B23" t="s">
        <v>342</v>
      </c>
      <c r="C23" t="s">
        <v>353</v>
      </c>
      <c r="D23" t="s">
        <v>357</v>
      </c>
      <c r="E23" t="s">
        <v>361</v>
      </c>
      <c r="F23" t="s">
        <v>252</v>
      </c>
      <c r="G23" t="s">
        <v>342</v>
      </c>
      <c r="H23" t="s">
        <v>353</v>
      </c>
      <c r="I23" t="s">
        <v>357</v>
      </c>
      <c r="J23" t="s">
        <v>361</v>
      </c>
      <c r="K23" t="s">
        <v>252</v>
      </c>
    </row>
    <row r="24" spans="1:26" x14ac:dyDescent="0.25">
      <c r="A24" s="1068" t="s">
        <v>325</v>
      </c>
      <c r="B24" s="567"/>
      <c r="C24" s="567"/>
      <c r="D24" s="567"/>
      <c r="E24" s="567"/>
      <c r="F24" s="567"/>
      <c r="G24" s="567">
        <v>0</v>
      </c>
      <c r="H24" s="567">
        <v>0</v>
      </c>
      <c r="I24" s="567">
        <v>0</v>
      </c>
      <c r="J24" s="567">
        <v>1</v>
      </c>
      <c r="K24" s="567">
        <v>1</v>
      </c>
      <c r="L24" s="567">
        <v>0</v>
      </c>
      <c r="M24" s="567">
        <v>0</v>
      </c>
      <c r="N24" s="567">
        <v>0</v>
      </c>
      <c r="O24" s="567">
        <v>1</v>
      </c>
      <c r="P24" s="567">
        <v>1</v>
      </c>
      <c r="Q24" s="567">
        <v>0</v>
      </c>
      <c r="R24" s="567">
        <v>0</v>
      </c>
      <c r="S24" s="567">
        <v>0</v>
      </c>
      <c r="T24" s="567">
        <v>1</v>
      </c>
      <c r="U24" s="567">
        <v>1</v>
      </c>
    </row>
    <row r="25" spans="1:26" x14ac:dyDescent="0.25">
      <c r="A25" s="1068" t="s">
        <v>205</v>
      </c>
      <c r="B25" s="567"/>
      <c r="C25" s="567"/>
      <c r="D25" s="567"/>
      <c r="E25" s="567"/>
      <c r="F25" s="567"/>
      <c r="G25" s="567">
        <v>1</v>
      </c>
      <c r="H25" s="567">
        <v>3</v>
      </c>
      <c r="I25" s="567">
        <v>0</v>
      </c>
      <c r="J25" s="567">
        <v>0</v>
      </c>
      <c r="K25" s="567">
        <v>4</v>
      </c>
      <c r="L25" s="567">
        <v>1</v>
      </c>
      <c r="M25" s="567">
        <v>3</v>
      </c>
      <c r="N25" s="567">
        <v>0</v>
      </c>
      <c r="O25" s="567">
        <v>0</v>
      </c>
      <c r="P25" s="567">
        <v>4</v>
      </c>
      <c r="Q25" s="567">
        <v>1</v>
      </c>
      <c r="R25" s="567">
        <v>3</v>
      </c>
      <c r="S25" s="567">
        <v>0</v>
      </c>
      <c r="T25" s="567">
        <v>0</v>
      </c>
      <c r="U25" s="567">
        <v>4</v>
      </c>
    </row>
    <row r="26" spans="1:26" x14ac:dyDescent="0.25">
      <c r="A26" s="1068" t="s">
        <v>204</v>
      </c>
      <c r="B26" s="567"/>
      <c r="C26" s="567"/>
      <c r="D26" s="567"/>
      <c r="E26" s="567"/>
      <c r="F26" s="567"/>
      <c r="G26" s="567">
        <v>1</v>
      </c>
      <c r="H26" s="567">
        <v>1</v>
      </c>
      <c r="I26" s="567">
        <v>0</v>
      </c>
      <c r="J26" s="567">
        <v>0</v>
      </c>
      <c r="K26" s="567">
        <v>2</v>
      </c>
      <c r="L26" s="567">
        <v>1</v>
      </c>
      <c r="M26" s="567">
        <v>1</v>
      </c>
      <c r="N26" s="567">
        <v>0</v>
      </c>
      <c r="O26" s="567">
        <v>0</v>
      </c>
      <c r="P26" s="567">
        <v>2</v>
      </c>
      <c r="Q26" s="567">
        <v>1</v>
      </c>
      <c r="R26" s="567">
        <v>1</v>
      </c>
      <c r="S26" s="567">
        <v>0</v>
      </c>
      <c r="T26" s="567">
        <v>0</v>
      </c>
      <c r="U26" s="567">
        <v>2</v>
      </c>
    </row>
    <row r="27" spans="1:26" x14ac:dyDescent="0.25">
      <c r="A27" s="1068" t="s">
        <v>203</v>
      </c>
      <c r="B27" s="567"/>
      <c r="C27" s="567"/>
      <c r="D27" s="567"/>
      <c r="E27" s="567"/>
      <c r="F27" s="567"/>
      <c r="G27" s="567">
        <v>1</v>
      </c>
      <c r="H27" s="567">
        <v>1</v>
      </c>
      <c r="I27" s="567">
        <v>1</v>
      </c>
      <c r="J27" s="567">
        <v>2</v>
      </c>
      <c r="K27" s="567">
        <v>5</v>
      </c>
      <c r="L27" s="567">
        <v>1</v>
      </c>
      <c r="M27" s="567">
        <v>1</v>
      </c>
      <c r="N27" s="567">
        <v>1</v>
      </c>
      <c r="O27" s="567">
        <v>2</v>
      </c>
      <c r="P27" s="567">
        <v>5</v>
      </c>
      <c r="Q27" s="567">
        <v>1</v>
      </c>
      <c r="R27" s="567">
        <v>1</v>
      </c>
      <c r="S27" s="567">
        <v>1</v>
      </c>
      <c r="T27" s="567">
        <v>2</v>
      </c>
      <c r="U27" s="567">
        <v>5</v>
      </c>
    </row>
    <row r="28" spans="1:26" x14ac:dyDescent="0.25">
      <c r="A28" s="1068" t="s">
        <v>202</v>
      </c>
      <c r="B28" s="567"/>
      <c r="C28" s="567"/>
      <c r="D28" s="567"/>
      <c r="E28" s="567"/>
      <c r="F28" s="567"/>
      <c r="G28" s="567"/>
      <c r="H28" s="567">
        <v>2</v>
      </c>
      <c r="I28" s="567"/>
      <c r="J28" s="567"/>
      <c r="K28" s="567">
        <v>2</v>
      </c>
      <c r="L28" s="567"/>
      <c r="M28" s="567">
        <v>2</v>
      </c>
      <c r="N28" s="567"/>
      <c r="O28" s="567"/>
      <c r="P28" s="567">
        <v>2</v>
      </c>
      <c r="Q28" s="567"/>
      <c r="R28" s="567">
        <v>2</v>
      </c>
      <c r="S28" s="567"/>
      <c r="T28" s="567"/>
      <c r="U28" s="567">
        <v>2</v>
      </c>
    </row>
    <row r="29" spans="1:26" x14ac:dyDescent="0.25">
      <c r="A29" s="1068" t="s">
        <v>273</v>
      </c>
      <c r="B29" s="567"/>
      <c r="C29" s="567"/>
      <c r="D29" s="567"/>
      <c r="E29" s="567"/>
      <c r="F29" s="567"/>
      <c r="G29" s="567">
        <v>2</v>
      </c>
      <c r="H29" s="567">
        <v>3</v>
      </c>
      <c r="I29" s="567"/>
      <c r="J29" s="567"/>
      <c r="K29" s="567">
        <v>5</v>
      </c>
      <c r="L29" s="567">
        <v>2</v>
      </c>
      <c r="M29" s="567">
        <v>3</v>
      </c>
      <c r="N29" s="567"/>
      <c r="O29" s="567"/>
      <c r="P29" s="567">
        <v>5</v>
      </c>
      <c r="Q29" s="567">
        <v>2</v>
      </c>
      <c r="R29" s="567">
        <v>3</v>
      </c>
      <c r="S29" s="567"/>
      <c r="T29" s="567"/>
      <c r="U29" s="567">
        <v>5</v>
      </c>
    </row>
    <row r="30" spans="1:26" x14ac:dyDescent="0.25">
      <c r="A30" s="1068" t="s">
        <v>255</v>
      </c>
      <c r="B30" s="567"/>
      <c r="C30" s="567"/>
      <c r="D30" s="567"/>
      <c r="E30" s="567"/>
      <c r="F30" s="567"/>
      <c r="G30" s="567">
        <v>3</v>
      </c>
      <c r="H30" s="567">
        <v>4</v>
      </c>
      <c r="I30" s="567"/>
      <c r="J30" s="567"/>
      <c r="K30" s="567">
        <v>7</v>
      </c>
      <c r="L30" s="567">
        <v>3</v>
      </c>
      <c r="M30" s="567">
        <v>4</v>
      </c>
      <c r="N30" s="567"/>
      <c r="O30" s="567"/>
      <c r="P30" s="567">
        <v>7</v>
      </c>
      <c r="Q30" s="567">
        <v>3</v>
      </c>
      <c r="R30" s="567">
        <v>4</v>
      </c>
      <c r="S30" s="567"/>
      <c r="T30" s="567"/>
      <c r="U30" s="567">
        <v>7</v>
      </c>
    </row>
    <row r="31" spans="1:26" x14ac:dyDescent="0.25">
      <c r="A31" s="1068" t="s">
        <v>254</v>
      </c>
      <c r="B31" s="567"/>
      <c r="C31" s="567">
        <v>2</v>
      </c>
      <c r="D31" s="567"/>
      <c r="E31" s="567"/>
      <c r="F31" s="567">
        <v>2</v>
      </c>
      <c r="G31" s="567">
        <v>1</v>
      </c>
      <c r="H31" s="567"/>
      <c r="I31" s="567"/>
      <c r="J31" s="567"/>
      <c r="K31" s="567">
        <v>1</v>
      </c>
      <c r="L31" s="567">
        <v>1</v>
      </c>
      <c r="M31" s="567">
        <v>2</v>
      </c>
      <c r="N31" s="567"/>
      <c r="O31" s="567"/>
      <c r="P31" s="567">
        <v>3</v>
      </c>
      <c r="Q31" s="567">
        <v>1</v>
      </c>
      <c r="R31" s="567">
        <v>2</v>
      </c>
      <c r="S31" s="567"/>
      <c r="T31" s="567"/>
      <c r="U31" s="567">
        <v>3</v>
      </c>
    </row>
    <row r="32" spans="1:26" x14ac:dyDescent="0.25">
      <c r="A32" s="1068" t="s">
        <v>851</v>
      </c>
      <c r="B32" s="567"/>
      <c r="C32" s="567"/>
      <c r="D32" s="567"/>
      <c r="E32" s="567"/>
      <c r="F32" s="567"/>
      <c r="G32" s="567"/>
      <c r="H32" s="567">
        <v>2</v>
      </c>
      <c r="I32" s="567"/>
      <c r="J32" s="567"/>
      <c r="K32" s="567">
        <v>2</v>
      </c>
      <c r="L32" s="567"/>
      <c r="M32" s="567">
        <v>2</v>
      </c>
      <c r="N32" s="567"/>
      <c r="O32" s="567"/>
      <c r="P32" s="567">
        <v>2</v>
      </c>
      <c r="Q32" s="567"/>
      <c r="R32" s="567">
        <v>2</v>
      </c>
      <c r="S32" s="567"/>
      <c r="T32" s="567"/>
      <c r="U32" s="567">
        <v>2</v>
      </c>
    </row>
    <row r="33" spans="1:21" x14ac:dyDescent="0.25">
      <c r="A33" s="1068" t="s">
        <v>251</v>
      </c>
      <c r="B33" s="567"/>
      <c r="C33" s="567">
        <v>2</v>
      </c>
      <c r="D33" s="567"/>
      <c r="E33" s="567"/>
      <c r="F33" s="567">
        <v>2</v>
      </c>
      <c r="G33" s="567">
        <v>9</v>
      </c>
      <c r="H33" s="567">
        <v>16</v>
      </c>
      <c r="I33" s="567">
        <v>1</v>
      </c>
      <c r="J33" s="567">
        <v>3</v>
      </c>
      <c r="K33" s="567">
        <v>29</v>
      </c>
      <c r="L33" s="567">
        <v>9</v>
      </c>
      <c r="M33" s="567">
        <v>18</v>
      </c>
      <c r="N33" s="567">
        <v>1</v>
      </c>
      <c r="O33" s="567">
        <v>3</v>
      </c>
      <c r="P33" s="567">
        <v>31</v>
      </c>
      <c r="Q33" s="567">
        <v>9</v>
      </c>
      <c r="R33" s="567">
        <v>18</v>
      </c>
      <c r="S33" s="567">
        <v>1</v>
      </c>
      <c r="T33" s="567">
        <v>3</v>
      </c>
      <c r="U33" s="567">
        <v>31</v>
      </c>
    </row>
  </sheetData>
  <sheetProtection algorithmName="SHA-512" hashValue="PxKeZyKwvEVI/QM+gRdW03gmFNb6ks1voNKz7TfW2wJ4wFKmXmowGKdUOPTVOBt/bRiM8fvOPlmgmfcWMviJ2w==" saltValue="39y1TTnE+ppJ82nQivAulg==" spinCount="100000" sheet="1" scenarios="1" formatCells="0" formatColumns="0" formatRows="0" sort="0" autoFilter="0" pivotTables="0"/>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tint="0.39997558519241921"/>
    <pageSetUpPr fitToPage="1"/>
  </sheetPr>
  <dimension ref="A1:K45"/>
  <sheetViews>
    <sheetView showGridLines="0" zoomScaleNormal="100" workbookViewId="0">
      <pane ySplit="2" topLeftCell="A3" activePane="bottomLeft" state="frozen"/>
      <selection pane="bottomLeft" activeCell="A31" sqref="A31"/>
    </sheetView>
  </sheetViews>
  <sheetFormatPr defaultRowHeight="15" x14ac:dyDescent="0.25"/>
  <cols>
    <col min="1" max="1" width="18.85546875" customWidth="1"/>
    <col min="2" max="2" width="32.28515625" customWidth="1"/>
    <col min="3" max="6" width="12.85546875" customWidth="1"/>
    <col min="7" max="7" width="12.42578125" customWidth="1"/>
  </cols>
  <sheetData>
    <row r="1" spans="1:11" ht="15.75" x14ac:dyDescent="0.25">
      <c r="A1" s="1077" t="s">
        <v>595</v>
      </c>
      <c r="B1" s="1077"/>
      <c r="C1" s="1077"/>
    </row>
    <row r="2" spans="1:11" ht="15.75" x14ac:dyDescent="0.25">
      <c r="A2" s="772" t="s">
        <v>578</v>
      </c>
      <c r="B2" s="774"/>
      <c r="C2" s="774"/>
    </row>
    <row r="3" spans="1:11" x14ac:dyDescent="0.25">
      <c r="D3" s="275"/>
      <c r="E3" s="275"/>
      <c r="F3" s="275"/>
    </row>
    <row r="4" spans="1:11" ht="15.75" customHeight="1" x14ac:dyDescent="0.25">
      <c r="A4" s="1116" t="s">
        <v>665</v>
      </c>
      <c r="B4" s="1116"/>
      <c r="C4" s="1116"/>
      <c r="D4" s="1116"/>
      <c r="E4" s="1116"/>
      <c r="F4" s="1116"/>
      <c r="G4" s="1116"/>
      <c r="H4" s="1116"/>
      <c r="I4" s="1116"/>
      <c r="J4" s="1116"/>
      <c r="K4" s="1116"/>
    </row>
    <row r="5" spans="1:11" ht="15.75" customHeight="1" x14ac:dyDescent="0.25">
      <c r="A5" t="s">
        <v>363</v>
      </c>
      <c r="B5" t="s">
        <v>737</v>
      </c>
      <c r="C5" s="773"/>
      <c r="D5" s="773"/>
      <c r="E5" s="773"/>
      <c r="F5" s="773"/>
    </row>
    <row r="6" spans="1:11" ht="15.75" customHeight="1" x14ac:dyDescent="0.25">
      <c r="A6" t="s">
        <v>364</v>
      </c>
      <c r="B6" t="s">
        <v>366</v>
      </c>
      <c r="C6" s="773"/>
      <c r="D6" s="773"/>
      <c r="E6" s="773"/>
      <c r="F6" s="773"/>
    </row>
    <row r="7" spans="1:11" ht="15.75" customHeight="1" x14ac:dyDescent="0.25">
      <c r="A7" t="s">
        <v>365</v>
      </c>
      <c r="B7" t="s">
        <v>602</v>
      </c>
      <c r="C7" s="773"/>
      <c r="D7" s="773"/>
      <c r="E7" s="773"/>
      <c r="F7" s="773"/>
    </row>
    <row r="8" spans="1:11" x14ac:dyDescent="0.25">
      <c r="B8" s="28"/>
      <c r="C8" s="28"/>
      <c r="D8" s="28"/>
      <c r="E8" s="16"/>
      <c r="F8" s="274"/>
      <c r="G8" s="274"/>
    </row>
    <row r="9" spans="1:11" x14ac:dyDescent="0.25">
      <c r="A9" s="52" t="s">
        <v>515</v>
      </c>
      <c r="B9" s="52" t="s">
        <v>30</v>
      </c>
      <c r="C9" s="3" t="s">
        <v>202</v>
      </c>
      <c r="D9" s="3" t="s">
        <v>273</v>
      </c>
      <c r="E9" s="3" t="s">
        <v>255</v>
      </c>
      <c r="F9" s="3" t="s">
        <v>254</v>
      </c>
      <c r="G9" s="3" t="s">
        <v>851</v>
      </c>
    </row>
    <row r="10" spans="1:11" ht="19.5" customHeight="1" x14ac:dyDescent="0.25">
      <c r="A10" s="576" t="s">
        <v>301</v>
      </c>
      <c r="B10" s="577" t="s">
        <v>31</v>
      </c>
      <c r="C10" s="276">
        <f>'h16'!B3</f>
        <v>8</v>
      </c>
      <c r="D10" s="276">
        <f>'h16'!C3</f>
        <v>1</v>
      </c>
      <c r="E10" s="276">
        <f>'h16'!D3</f>
        <v>1</v>
      </c>
      <c r="F10" s="276">
        <f>'h16'!E3</f>
        <v>1</v>
      </c>
      <c r="G10" s="276">
        <f>'h16'!F3</f>
        <v>0</v>
      </c>
      <c r="H10" s="543"/>
      <c r="I10" s="970"/>
    </row>
    <row r="11" spans="1:11" x14ac:dyDescent="0.25">
      <c r="A11" s="109" t="s">
        <v>302</v>
      </c>
      <c r="B11" s="64" t="s">
        <v>32</v>
      </c>
      <c r="C11" s="276">
        <f>'h16'!B4</f>
        <v>1</v>
      </c>
      <c r="D11" s="276">
        <f>'h16'!C4</f>
        <v>3</v>
      </c>
      <c r="E11" s="276">
        <f>'h16'!D4</f>
        <v>1</v>
      </c>
      <c r="F11" s="276">
        <f>'h16'!E4</f>
        <v>1</v>
      </c>
      <c r="G11" s="276">
        <f>'h16'!F4</f>
        <v>3</v>
      </c>
      <c r="H11" s="543"/>
      <c r="I11" s="970"/>
    </row>
    <row r="12" spans="1:11" x14ac:dyDescent="0.25">
      <c r="A12" s="109" t="s">
        <v>308</v>
      </c>
      <c r="B12" s="64" t="s">
        <v>33</v>
      </c>
      <c r="C12" s="276">
        <f>'h16'!B5</f>
        <v>0</v>
      </c>
      <c r="D12" s="276">
        <f>'h16'!C5</f>
        <v>0</v>
      </c>
      <c r="E12" s="276">
        <f>'h16'!D5</f>
        <v>0</v>
      </c>
      <c r="F12" s="276">
        <f>'h16'!E5</f>
        <v>0</v>
      </c>
      <c r="G12" s="276">
        <f>'h16'!F5</f>
        <v>0</v>
      </c>
      <c r="H12" s="543"/>
      <c r="I12" s="970"/>
    </row>
    <row r="13" spans="1:11" x14ac:dyDescent="0.25">
      <c r="A13" s="109" t="s">
        <v>303</v>
      </c>
      <c r="B13" s="64" t="s">
        <v>34</v>
      </c>
      <c r="C13" s="276">
        <f>'h16'!B6</f>
        <v>1</v>
      </c>
      <c r="D13" s="276">
        <f>'h16'!C6</f>
        <v>3</v>
      </c>
      <c r="E13" s="276">
        <f>'h16'!D6</f>
        <v>0</v>
      </c>
      <c r="F13" s="276">
        <f>'h16'!E6</f>
        <v>1</v>
      </c>
      <c r="G13" s="276">
        <f>'h16'!F6</f>
        <v>0</v>
      </c>
      <c r="H13" s="543"/>
      <c r="I13" s="970"/>
    </row>
    <row r="14" spans="1:11" x14ac:dyDescent="0.25">
      <c r="A14" s="109" t="s">
        <v>304</v>
      </c>
      <c r="B14" s="64" t="s">
        <v>258</v>
      </c>
      <c r="C14" s="276">
        <f>'h16'!B7</f>
        <v>6</v>
      </c>
      <c r="D14" s="276">
        <f>'h16'!C7</f>
        <v>5</v>
      </c>
      <c r="E14" s="276">
        <f>'h16'!D7</f>
        <v>2</v>
      </c>
      <c r="F14" s="276">
        <f>'h16'!E7</f>
        <v>8</v>
      </c>
      <c r="G14" s="276">
        <f>'h16'!F7</f>
        <v>6</v>
      </c>
      <c r="H14" s="543"/>
      <c r="I14" s="970"/>
    </row>
    <row r="15" spans="1:11" x14ac:dyDescent="0.25">
      <c r="A15" s="109" t="s">
        <v>282</v>
      </c>
      <c r="B15" s="64" t="s">
        <v>35</v>
      </c>
      <c r="C15" s="276">
        <f>'h16'!B8</f>
        <v>1</v>
      </c>
      <c r="D15" s="276">
        <f>'h16'!C8</f>
        <v>0</v>
      </c>
      <c r="E15" s="276">
        <f>'h16'!D8</f>
        <v>0</v>
      </c>
      <c r="F15" s="276">
        <f>'h16'!E8</f>
        <v>0</v>
      </c>
      <c r="G15" s="276">
        <f>'h16'!F8</f>
        <v>0</v>
      </c>
      <c r="H15" s="543"/>
      <c r="I15" s="970"/>
    </row>
    <row r="16" spans="1:11" x14ac:dyDescent="0.25">
      <c r="A16" s="109" t="s">
        <v>283</v>
      </c>
      <c r="B16" s="64" t="s">
        <v>36</v>
      </c>
      <c r="C16" s="276">
        <f>'h16'!B9</f>
        <v>2</v>
      </c>
      <c r="D16" s="276">
        <f>'h16'!C9</f>
        <v>1</v>
      </c>
      <c r="E16" s="276">
        <f>'h16'!D9</f>
        <v>0</v>
      </c>
      <c r="F16" s="276">
        <f>'h16'!E9</f>
        <v>0</v>
      </c>
      <c r="G16" s="276">
        <f>'h16'!F9</f>
        <v>3</v>
      </c>
      <c r="H16" s="543"/>
      <c r="I16" s="970"/>
    </row>
    <row r="17" spans="1:9" x14ac:dyDescent="0.25">
      <c r="A17" s="109" t="s">
        <v>309</v>
      </c>
      <c r="B17" s="64" t="s">
        <v>37</v>
      </c>
      <c r="C17" s="276">
        <f>'h16'!B10</f>
        <v>2</v>
      </c>
      <c r="D17" s="276">
        <f>'h16'!C10</f>
        <v>9</v>
      </c>
      <c r="E17" s="276">
        <f>'h16'!D10</f>
        <v>3</v>
      </c>
      <c r="F17" s="276">
        <f>'h16'!E10</f>
        <v>3</v>
      </c>
      <c r="G17" s="276">
        <f>'h16'!F10</f>
        <v>3</v>
      </c>
      <c r="H17" s="543"/>
      <c r="I17" s="970"/>
    </row>
    <row r="18" spans="1:9" x14ac:dyDescent="0.25">
      <c r="A18" s="109" t="s">
        <v>284</v>
      </c>
      <c r="B18" s="64" t="s">
        <v>38</v>
      </c>
      <c r="C18" s="276">
        <f>'h16'!B11</f>
        <v>3</v>
      </c>
      <c r="D18" s="276">
        <f>'h16'!C11</f>
        <v>1</v>
      </c>
      <c r="E18" s="276">
        <f>'h16'!D11</f>
        <v>1</v>
      </c>
      <c r="F18" s="276">
        <f>'h16'!E11</f>
        <v>3</v>
      </c>
      <c r="G18" s="276">
        <f>'h16'!F11</f>
        <v>0</v>
      </c>
      <c r="H18" s="543"/>
      <c r="I18" s="970"/>
    </row>
    <row r="19" spans="1:9" x14ac:dyDescent="0.25">
      <c r="A19" s="109" t="s">
        <v>311</v>
      </c>
      <c r="B19" s="64" t="s">
        <v>39</v>
      </c>
      <c r="C19" s="276">
        <f>'h16'!B12</f>
        <v>1</v>
      </c>
      <c r="D19" s="276">
        <f>'h16'!C12</f>
        <v>3</v>
      </c>
      <c r="E19" s="276">
        <f>'h16'!D12</f>
        <v>0</v>
      </c>
      <c r="F19" s="276">
        <f>'h16'!E12</f>
        <v>4</v>
      </c>
      <c r="G19" s="276">
        <f>'h16'!F12</f>
        <v>0</v>
      </c>
      <c r="H19" s="543"/>
      <c r="I19" s="970"/>
    </row>
    <row r="20" spans="1:9" x14ac:dyDescent="0.25">
      <c r="A20" s="109" t="s">
        <v>285</v>
      </c>
      <c r="B20" s="64" t="s">
        <v>40</v>
      </c>
      <c r="C20" s="276">
        <f>'h16'!B13</f>
        <v>2</v>
      </c>
      <c r="D20" s="276">
        <f>'h16'!C13</f>
        <v>2</v>
      </c>
      <c r="E20" s="276">
        <f>'h16'!D13</f>
        <v>0</v>
      </c>
      <c r="F20" s="276">
        <f>'h16'!E13</f>
        <v>0</v>
      </c>
      <c r="G20" s="276">
        <f>'h16'!F13</f>
        <v>0</v>
      </c>
      <c r="H20" s="543"/>
      <c r="I20" s="970"/>
    </row>
    <row r="21" spans="1:9" x14ac:dyDescent="0.25">
      <c r="A21" s="109" t="s">
        <v>286</v>
      </c>
      <c r="B21" s="64" t="s">
        <v>41</v>
      </c>
      <c r="C21" s="276">
        <f>'h16'!B14</f>
        <v>0</v>
      </c>
      <c r="D21" s="276">
        <f>'h16'!C14</f>
        <v>0</v>
      </c>
      <c r="E21" s="276">
        <f>'h16'!D14</f>
        <v>0</v>
      </c>
      <c r="F21" s="276">
        <f>'h16'!E14</f>
        <v>0</v>
      </c>
      <c r="G21" s="276">
        <f>'h16'!F14</f>
        <v>0</v>
      </c>
      <c r="H21" s="543"/>
      <c r="I21" s="970"/>
    </row>
    <row r="22" spans="1:9" x14ac:dyDescent="0.25">
      <c r="A22" s="109" t="s">
        <v>288</v>
      </c>
      <c r="B22" s="64" t="s">
        <v>42</v>
      </c>
      <c r="C22" s="276">
        <f>'h16'!B15</f>
        <v>5</v>
      </c>
      <c r="D22" s="276">
        <f>'h16'!C15</f>
        <v>2</v>
      </c>
      <c r="E22" s="276">
        <f>'h16'!D15</f>
        <v>0</v>
      </c>
      <c r="F22" s="276">
        <f>'h16'!E15</f>
        <v>0</v>
      </c>
      <c r="G22" s="276">
        <f>'h16'!F15</f>
        <v>0</v>
      </c>
      <c r="H22" s="543"/>
      <c r="I22" s="970"/>
    </row>
    <row r="23" spans="1:9" x14ac:dyDescent="0.25">
      <c r="A23" s="109" t="s">
        <v>313</v>
      </c>
      <c r="B23" s="64" t="s">
        <v>43</v>
      </c>
      <c r="C23" s="276">
        <f>'h16'!B16</f>
        <v>6</v>
      </c>
      <c r="D23" s="276">
        <f>'h16'!C16</f>
        <v>0</v>
      </c>
      <c r="E23" s="276">
        <f>'h16'!D16</f>
        <v>3</v>
      </c>
      <c r="F23" s="276">
        <f>'h16'!E16</f>
        <v>6</v>
      </c>
      <c r="G23" s="276">
        <f>'h16'!F16</f>
        <v>2</v>
      </c>
      <c r="H23" s="543"/>
      <c r="I23" s="970"/>
    </row>
    <row r="24" spans="1:9" x14ac:dyDescent="0.25">
      <c r="A24" s="109" t="s">
        <v>312</v>
      </c>
      <c r="B24" s="64" t="s">
        <v>121</v>
      </c>
      <c r="C24" s="276">
        <f>'h16'!B17</f>
        <v>16</v>
      </c>
      <c r="D24" s="276">
        <f>'h16'!C17</f>
        <v>19</v>
      </c>
      <c r="E24" s="276">
        <f>'h16'!D17</f>
        <v>20</v>
      </c>
      <c r="F24" s="276">
        <f>'h16'!E17</f>
        <v>23</v>
      </c>
      <c r="G24" s="276">
        <f>'h16'!F17</f>
        <v>12</v>
      </c>
      <c r="H24" s="543"/>
      <c r="I24" s="970"/>
    </row>
    <row r="25" spans="1:9" x14ac:dyDescent="0.25">
      <c r="A25" s="109" t="s">
        <v>289</v>
      </c>
      <c r="B25" s="64" t="s">
        <v>44</v>
      </c>
      <c r="C25" s="276">
        <f>'h16'!B18</f>
        <v>2</v>
      </c>
      <c r="D25" s="276">
        <f>'h16'!C18</f>
        <v>1</v>
      </c>
      <c r="E25" s="276">
        <f>'h16'!D18</f>
        <v>0</v>
      </c>
      <c r="F25" s="276">
        <f>'h16'!E18</f>
        <v>0</v>
      </c>
      <c r="G25" s="276">
        <f>'h16'!F18</f>
        <v>0</v>
      </c>
      <c r="H25" s="543"/>
      <c r="I25" s="970"/>
    </row>
    <row r="26" spans="1:9" x14ac:dyDescent="0.25">
      <c r="A26" s="109" t="s">
        <v>290</v>
      </c>
      <c r="B26" s="64" t="s">
        <v>45</v>
      </c>
      <c r="C26" s="276">
        <f>'h16'!B19</f>
        <v>4</v>
      </c>
      <c r="D26" s="276">
        <f>'h16'!C19</f>
        <v>4</v>
      </c>
      <c r="E26" s="276">
        <f>'h16'!D19</f>
        <v>3</v>
      </c>
      <c r="F26" s="276">
        <f>'h16'!E19</f>
        <v>2</v>
      </c>
      <c r="G26" s="276">
        <f>'h16'!F19</f>
        <v>1</v>
      </c>
      <c r="H26" s="543"/>
      <c r="I26" s="970"/>
    </row>
    <row r="27" spans="1:9" x14ac:dyDescent="0.25">
      <c r="A27" s="109" t="s">
        <v>291</v>
      </c>
      <c r="B27" s="64" t="s">
        <v>46</v>
      </c>
      <c r="C27" s="276">
        <f>'h16'!B20</f>
        <v>0</v>
      </c>
      <c r="D27" s="276">
        <f>'h16'!C20</f>
        <v>3</v>
      </c>
      <c r="E27" s="276">
        <f>'h16'!D20</f>
        <v>2</v>
      </c>
      <c r="F27" s="276">
        <f>'h16'!E20</f>
        <v>1</v>
      </c>
      <c r="G27" s="276">
        <f>'h16'!F20</f>
        <v>3</v>
      </c>
      <c r="H27" s="543"/>
      <c r="I27" s="970"/>
    </row>
    <row r="28" spans="1:9" x14ac:dyDescent="0.25">
      <c r="A28" s="109" t="s">
        <v>292</v>
      </c>
      <c r="B28" s="64" t="s">
        <v>47</v>
      </c>
      <c r="C28" s="276">
        <f>'h16'!B21</f>
        <v>0</v>
      </c>
      <c r="D28" s="276">
        <f>'h16'!C21</f>
        <v>0</v>
      </c>
      <c r="E28" s="276">
        <f>'h16'!D21</f>
        <v>0</v>
      </c>
      <c r="F28" s="276">
        <f>'h16'!E21</f>
        <v>1</v>
      </c>
      <c r="G28" s="276">
        <f>'h16'!F21</f>
        <v>3</v>
      </c>
      <c r="H28" s="543"/>
      <c r="I28" s="970"/>
    </row>
    <row r="29" spans="1:9" x14ac:dyDescent="0.25">
      <c r="A29" s="109" t="s">
        <v>287</v>
      </c>
      <c r="B29" s="64" t="s">
        <v>48</v>
      </c>
      <c r="C29" s="276">
        <f>'h16'!B22</f>
        <v>0</v>
      </c>
      <c r="D29" s="276">
        <f>'h16'!C22</f>
        <v>0</v>
      </c>
      <c r="E29" s="276">
        <f>'h16'!D22</f>
        <v>0</v>
      </c>
      <c r="F29" s="276">
        <f>'h16'!E22</f>
        <v>0</v>
      </c>
      <c r="G29" s="276">
        <f>'h16'!F22</f>
        <v>0</v>
      </c>
      <c r="H29" s="543"/>
      <c r="I29" s="970"/>
    </row>
    <row r="30" spans="1:9" x14ac:dyDescent="0.25">
      <c r="A30" s="109" t="s">
        <v>293</v>
      </c>
      <c r="B30" s="64" t="s">
        <v>49</v>
      </c>
      <c r="C30" s="276">
        <f>'h16'!B23</f>
        <v>4</v>
      </c>
      <c r="D30" s="276">
        <f>'h16'!C23</f>
        <v>5</v>
      </c>
      <c r="E30" s="276">
        <f>'h16'!D23</f>
        <v>2</v>
      </c>
      <c r="F30" s="276">
        <f>'h16'!E23</f>
        <v>2</v>
      </c>
      <c r="G30" s="276">
        <f>'h16'!F23</f>
        <v>3</v>
      </c>
      <c r="H30" s="543"/>
      <c r="I30" s="970"/>
    </row>
    <row r="31" spans="1:9" x14ac:dyDescent="0.25">
      <c r="A31" s="109" t="s">
        <v>310</v>
      </c>
      <c r="B31" s="64" t="s">
        <v>50</v>
      </c>
      <c r="C31" s="276">
        <f>'h16'!B24</f>
        <v>7</v>
      </c>
      <c r="D31" s="276">
        <f>'h16'!C24</f>
        <v>3</v>
      </c>
      <c r="E31" s="276">
        <f>'h16'!D24</f>
        <v>6</v>
      </c>
      <c r="F31" s="276">
        <f>'h16'!E24</f>
        <v>3</v>
      </c>
      <c r="G31" s="276">
        <f>'h16'!F24</f>
        <v>8</v>
      </c>
      <c r="H31" s="543"/>
      <c r="I31" s="970"/>
    </row>
    <row r="32" spans="1:9" x14ac:dyDescent="0.25">
      <c r="A32" s="109" t="s">
        <v>294</v>
      </c>
      <c r="B32" s="64" t="s">
        <v>51</v>
      </c>
      <c r="C32" s="276">
        <f>'h16'!B25</f>
        <v>0</v>
      </c>
      <c r="D32" s="276">
        <f>'h16'!C25</f>
        <v>0</v>
      </c>
      <c r="E32" s="276">
        <f>'h16'!D25</f>
        <v>0</v>
      </c>
      <c r="F32" s="276">
        <f>'h16'!E25</f>
        <v>0</v>
      </c>
      <c r="G32" s="276">
        <f>'h16'!F25</f>
        <v>0</v>
      </c>
      <c r="H32" s="543"/>
      <c r="I32" s="970"/>
    </row>
    <row r="33" spans="1:11" x14ac:dyDescent="0.25">
      <c r="A33" s="109" t="s">
        <v>295</v>
      </c>
      <c r="B33" s="64" t="s">
        <v>52</v>
      </c>
      <c r="C33" s="276">
        <f>'h16'!B26</f>
        <v>0</v>
      </c>
      <c r="D33" s="276">
        <f>'h16'!C26</f>
        <v>0</v>
      </c>
      <c r="E33" s="276">
        <f>'h16'!D26</f>
        <v>0</v>
      </c>
      <c r="F33" s="276">
        <f>'h16'!E26</f>
        <v>0</v>
      </c>
      <c r="G33" s="276">
        <f>'h16'!F26</f>
        <v>0</v>
      </c>
      <c r="H33" s="543"/>
      <c r="I33" s="970"/>
    </row>
    <row r="34" spans="1:11" x14ac:dyDescent="0.25">
      <c r="A34" s="109" t="s">
        <v>305</v>
      </c>
      <c r="B34" s="64" t="s">
        <v>53</v>
      </c>
      <c r="C34" s="276">
        <f>'h16'!B27</f>
        <v>3</v>
      </c>
      <c r="D34" s="276">
        <f>'h16'!C27</f>
        <v>2</v>
      </c>
      <c r="E34" s="276">
        <f>'h16'!D27</f>
        <v>1</v>
      </c>
      <c r="F34" s="276">
        <f>'h16'!E27</f>
        <v>1</v>
      </c>
      <c r="G34" s="276">
        <f>'h16'!F27</f>
        <v>2</v>
      </c>
      <c r="H34" s="543"/>
      <c r="I34" s="970"/>
    </row>
    <row r="35" spans="1:11" x14ac:dyDescent="0.25">
      <c r="A35" s="109" t="s">
        <v>296</v>
      </c>
      <c r="B35" s="64" t="s">
        <v>54</v>
      </c>
      <c r="C35" s="276">
        <f>'h16'!B28</f>
        <v>0</v>
      </c>
      <c r="D35" s="276">
        <f>'h16'!C28</f>
        <v>2</v>
      </c>
      <c r="E35" s="276">
        <f>'h16'!D28</f>
        <v>3</v>
      </c>
      <c r="F35" s="276">
        <f>'h16'!E28</f>
        <v>3</v>
      </c>
      <c r="G35" s="276">
        <f>'h16'!F28</f>
        <v>1</v>
      </c>
      <c r="H35" s="543"/>
      <c r="I35" s="970"/>
    </row>
    <row r="36" spans="1:11" x14ac:dyDescent="0.25">
      <c r="A36" s="109" t="s">
        <v>297</v>
      </c>
      <c r="B36" s="64" t="s">
        <v>55</v>
      </c>
      <c r="C36" s="276">
        <f>'h16'!B29</f>
        <v>0</v>
      </c>
      <c r="D36" s="276">
        <f>'h16'!C29</f>
        <v>0</v>
      </c>
      <c r="E36" s="276">
        <f>'h16'!D29</f>
        <v>0</v>
      </c>
      <c r="F36" s="276">
        <f>'h16'!E29</f>
        <v>0</v>
      </c>
      <c r="G36" s="276">
        <f>'h16'!F29</f>
        <v>0</v>
      </c>
      <c r="H36" s="543"/>
      <c r="I36" s="970"/>
    </row>
    <row r="37" spans="1:11" x14ac:dyDescent="0.25">
      <c r="A37" s="109" t="s">
        <v>298</v>
      </c>
      <c r="B37" s="64" t="s">
        <v>56</v>
      </c>
      <c r="C37" s="276">
        <f>'h16'!B30</f>
        <v>3</v>
      </c>
      <c r="D37" s="276">
        <f>'h16'!C30</f>
        <v>0</v>
      </c>
      <c r="E37" s="276">
        <f>'h16'!D30</f>
        <v>1</v>
      </c>
      <c r="F37" s="276">
        <f>'h16'!E30</f>
        <v>0</v>
      </c>
      <c r="G37" s="276">
        <f>'h16'!F30</f>
        <v>0</v>
      </c>
      <c r="H37" s="543"/>
      <c r="I37" s="970"/>
    </row>
    <row r="38" spans="1:11" x14ac:dyDescent="0.25">
      <c r="A38" s="109" t="s">
        <v>299</v>
      </c>
      <c r="B38" s="64" t="s">
        <v>57</v>
      </c>
      <c r="C38" s="276">
        <f>'h16'!B31</f>
        <v>5</v>
      </c>
      <c r="D38" s="276">
        <f>'h16'!C31</f>
        <v>2</v>
      </c>
      <c r="E38" s="276">
        <f>'h16'!D31</f>
        <v>0</v>
      </c>
      <c r="F38" s="276">
        <f>'h16'!E31</f>
        <v>1</v>
      </c>
      <c r="G38" s="276">
        <f>'h16'!F31</f>
        <v>1</v>
      </c>
      <c r="H38" s="543"/>
      <c r="I38" s="970"/>
    </row>
    <row r="39" spans="1:11" x14ac:dyDescent="0.25">
      <c r="A39" s="109" t="s">
        <v>300</v>
      </c>
      <c r="B39" s="64" t="s">
        <v>58</v>
      </c>
      <c r="C39" s="276">
        <f>'h16'!B32</f>
        <v>2</v>
      </c>
      <c r="D39" s="276">
        <f>'h16'!C32</f>
        <v>3</v>
      </c>
      <c r="E39" s="276">
        <f>'h16'!D32</f>
        <v>0</v>
      </c>
      <c r="F39" s="276">
        <f>'h16'!E32</f>
        <v>1</v>
      </c>
      <c r="G39" s="276">
        <f>'h16'!F32</f>
        <v>0</v>
      </c>
      <c r="H39" s="543"/>
      <c r="I39" s="970"/>
    </row>
    <row r="40" spans="1:11" x14ac:dyDescent="0.25">
      <c r="A40" s="109" t="s">
        <v>306</v>
      </c>
      <c r="B40" s="64" t="s">
        <v>59</v>
      </c>
      <c r="C40" s="276">
        <f>'h16'!B33</f>
        <v>2</v>
      </c>
      <c r="D40" s="276">
        <f>'h16'!C33</f>
        <v>1</v>
      </c>
      <c r="E40" s="276">
        <f>'h16'!D33</f>
        <v>0</v>
      </c>
      <c r="F40" s="276">
        <f>'h16'!E33</f>
        <v>2</v>
      </c>
      <c r="G40" s="276">
        <f>'h16'!F33</f>
        <v>0</v>
      </c>
      <c r="H40" s="543"/>
      <c r="I40" s="970"/>
    </row>
    <row r="41" spans="1:11" ht="15" customHeight="1" x14ac:dyDescent="0.25">
      <c r="A41" s="109" t="s">
        <v>307</v>
      </c>
      <c r="B41" s="64" t="s">
        <v>60</v>
      </c>
      <c r="C41" s="276">
        <f>'h16'!B34</f>
        <v>4</v>
      </c>
      <c r="D41" s="276">
        <f>'h16'!C34</f>
        <v>3</v>
      </c>
      <c r="E41" s="276">
        <f>'h16'!D34</f>
        <v>4</v>
      </c>
      <c r="F41" s="276">
        <f>'h16'!E34</f>
        <v>5</v>
      </c>
      <c r="G41" s="276">
        <f>'h16'!F34</f>
        <v>2</v>
      </c>
      <c r="H41" s="543"/>
      <c r="I41" s="970"/>
    </row>
    <row r="42" spans="1:11" ht="18.75" customHeight="1" thickBot="1" x14ac:dyDescent="0.3">
      <c r="A42" s="277"/>
      <c r="B42" s="277" t="s">
        <v>810</v>
      </c>
      <c r="C42" s="120">
        <f>SUM(C10:C41)</f>
        <v>90</v>
      </c>
      <c r="D42" s="120">
        <f t="shared" ref="D42:F42" si="0">SUM(D10:D41)</f>
        <v>78</v>
      </c>
      <c r="E42" s="120">
        <f t="shared" si="0"/>
        <v>53</v>
      </c>
      <c r="F42" s="120">
        <f t="shared" si="0"/>
        <v>72</v>
      </c>
      <c r="G42" s="120">
        <f t="shared" ref="G42" si="1">SUM(G10:G41)</f>
        <v>53</v>
      </c>
      <c r="H42" s="543"/>
    </row>
    <row r="43" spans="1:11" x14ac:dyDescent="0.25">
      <c r="B43" s="278"/>
      <c r="C43" s="90"/>
      <c r="D43" s="383"/>
      <c r="E43" s="36"/>
      <c r="F43" s="384"/>
    </row>
    <row r="44" spans="1:11" x14ac:dyDescent="0.25">
      <c r="A44" s="523" t="s">
        <v>8</v>
      </c>
      <c r="C44" s="527"/>
      <c r="D44" s="528"/>
      <c r="E44" s="362"/>
      <c r="F44" s="529"/>
    </row>
    <row r="45" spans="1:11" ht="30.75" customHeight="1" x14ac:dyDescent="0.25">
      <c r="A45" s="1115" t="s">
        <v>817</v>
      </c>
      <c r="B45" s="1115"/>
      <c r="C45" s="1115"/>
      <c r="D45" s="1115"/>
      <c r="E45" s="1115"/>
      <c r="F45" s="1115"/>
      <c r="G45" s="1115"/>
      <c r="H45" s="950"/>
      <c r="I45" s="950"/>
      <c r="J45" s="950"/>
      <c r="K45" s="950"/>
    </row>
  </sheetData>
  <sheetProtection algorithmName="SHA-512" hashValue="H4jLdbg/lVDZBrQiG/EcswHt12GRpu6I/zP98ynKEFg8JEh4uHdRT7eBFJ7Z9nZqKKgi+ucbReS1FCnjD8L/Tw==" saltValue="CvT7Rs9n9+iutx4T6ewKrA==" spinCount="100000" sheet="1" scenarios="1" formatCells="0" formatColumns="0" formatRows="0" sort="0" autoFilter="0" pivotTables="0"/>
  <mergeCells count="3">
    <mergeCell ref="A1:C1"/>
    <mergeCell ref="A4:K4"/>
    <mergeCell ref="A45:G4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F38"/>
  <sheetViews>
    <sheetView workbookViewId="0">
      <selection activeCell="D7" sqref="D7"/>
    </sheetView>
  </sheetViews>
  <sheetFormatPr defaultRowHeight="15" x14ac:dyDescent="0.25"/>
  <cols>
    <col min="1" max="1" width="21.85546875" bestFit="1" customWidth="1"/>
    <col min="2" max="5" width="14.42578125" customWidth="1"/>
    <col min="6" max="6" width="14.42578125" bestFit="1" customWidth="1"/>
    <col min="7" max="27" width="10" bestFit="1" customWidth="1"/>
    <col min="28" max="28" width="14.42578125" bestFit="1" customWidth="1"/>
    <col min="29" max="59" width="10" bestFit="1" customWidth="1"/>
    <col min="60" max="60" width="14.42578125" bestFit="1" customWidth="1"/>
    <col min="61" max="91" width="10" bestFit="1" customWidth="1"/>
    <col min="92" max="92" width="14.42578125" bestFit="1" customWidth="1"/>
    <col min="93" max="123" width="10" bestFit="1" customWidth="1"/>
    <col min="124" max="127" width="19.42578125" bestFit="1" customWidth="1"/>
  </cols>
  <sheetData>
    <row r="2" spans="1:6" x14ac:dyDescent="0.25">
      <c r="A2" s="565" t="s">
        <v>246</v>
      </c>
      <c r="B2" t="s">
        <v>485</v>
      </c>
      <c r="C2" t="s">
        <v>362</v>
      </c>
      <c r="D2" t="s">
        <v>337</v>
      </c>
      <c r="E2" t="s">
        <v>486</v>
      </c>
      <c r="F2" t="s">
        <v>854</v>
      </c>
    </row>
    <row r="3" spans="1:6" x14ac:dyDescent="0.25">
      <c r="A3" s="1068" t="s">
        <v>31</v>
      </c>
      <c r="B3" s="567">
        <v>8</v>
      </c>
      <c r="C3" s="567">
        <v>1</v>
      </c>
      <c r="D3" s="567">
        <v>1</v>
      </c>
      <c r="E3" s="567">
        <v>1</v>
      </c>
      <c r="F3" s="567"/>
    </row>
    <row r="4" spans="1:6" x14ac:dyDescent="0.25">
      <c r="A4" s="1068" t="s">
        <v>32</v>
      </c>
      <c r="B4" s="567">
        <v>1</v>
      </c>
      <c r="C4" s="567">
        <v>3</v>
      </c>
      <c r="D4" s="567">
        <v>1</v>
      </c>
      <c r="E4" s="567">
        <v>1</v>
      </c>
      <c r="F4" s="567">
        <v>3</v>
      </c>
    </row>
    <row r="5" spans="1:6" x14ac:dyDescent="0.25">
      <c r="A5" s="1068" t="s">
        <v>33</v>
      </c>
      <c r="B5" s="567"/>
      <c r="C5" s="567"/>
      <c r="D5" s="567"/>
      <c r="E5" s="567"/>
      <c r="F5" s="567"/>
    </row>
    <row r="6" spans="1:6" x14ac:dyDescent="0.25">
      <c r="A6" s="1068" t="s">
        <v>34</v>
      </c>
      <c r="B6" s="567">
        <v>1</v>
      </c>
      <c r="C6" s="567">
        <v>3</v>
      </c>
      <c r="D6" s="567"/>
      <c r="E6" s="567">
        <v>1</v>
      </c>
      <c r="F6" s="567"/>
    </row>
    <row r="7" spans="1:6" x14ac:dyDescent="0.25">
      <c r="A7" s="1068" t="s">
        <v>258</v>
      </c>
      <c r="B7" s="567">
        <v>6</v>
      </c>
      <c r="C7" s="567">
        <v>5</v>
      </c>
      <c r="D7" s="567">
        <v>2</v>
      </c>
      <c r="E7" s="567">
        <v>8</v>
      </c>
      <c r="F7" s="567">
        <v>6</v>
      </c>
    </row>
    <row r="8" spans="1:6" x14ac:dyDescent="0.25">
      <c r="A8" s="1068" t="s">
        <v>35</v>
      </c>
      <c r="B8" s="567">
        <v>1</v>
      </c>
      <c r="C8" s="567"/>
      <c r="D8" s="567"/>
      <c r="E8" s="567"/>
      <c r="F8" s="567"/>
    </row>
    <row r="9" spans="1:6" x14ac:dyDescent="0.25">
      <c r="A9" s="1068" t="s">
        <v>36</v>
      </c>
      <c r="B9" s="567">
        <v>2</v>
      </c>
      <c r="C9" s="567">
        <v>1</v>
      </c>
      <c r="D9" s="567"/>
      <c r="E9" s="567"/>
      <c r="F9" s="567">
        <v>3</v>
      </c>
    </row>
    <row r="10" spans="1:6" x14ac:dyDescent="0.25">
      <c r="A10" s="1068" t="s">
        <v>37</v>
      </c>
      <c r="B10" s="567">
        <v>2</v>
      </c>
      <c r="C10" s="567">
        <v>9</v>
      </c>
      <c r="D10" s="567">
        <v>3</v>
      </c>
      <c r="E10" s="567">
        <v>3</v>
      </c>
      <c r="F10" s="567">
        <v>3</v>
      </c>
    </row>
    <row r="11" spans="1:6" x14ac:dyDescent="0.25">
      <c r="A11" s="1068" t="s">
        <v>38</v>
      </c>
      <c r="B11" s="567">
        <v>3</v>
      </c>
      <c r="C11" s="567">
        <v>1</v>
      </c>
      <c r="D11" s="567">
        <v>1</v>
      </c>
      <c r="E11" s="567">
        <v>3</v>
      </c>
      <c r="F11" s="567"/>
    </row>
    <row r="12" spans="1:6" x14ac:dyDescent="0.25">
      <c r="A12" s="1068" t="s">
        <v>39</v>
      </c>
      <c r="B12" s="567">
        <v>1</v>
      </c>
      <c r="C12" s="567">
        <v>3</v>
      </c>
      <c r="D12" s="567"/>
      <c r="E12" s="567">
        <v>4</v>
      </c>
      <c r="F12" s="567"/>
    </row>
    <row r="13" spans="1:6" x14ac:dyDescent="0.25">
      <c r="A13" s="1068" t="s">
        <v>40</v>
      </c>
      <c r="B13" s="567">
        <v>2</v>
      </c>
      <c r="C13" s="567">
        <v>2</v>
      </c>
      <c r="D13" s="567"/>
      <c r="E13" s="567"/>
      <c r="F13" s="567"/>
    </row>
    <row r="14" spans="1:6" x14ac:dyDescent="0.25">
      <c r="A14" s="1068" t="s">
        <v>41</v>
      </c>
      <c r="B14" s="567"/>
      <c r="C14" s="567"/>
      <c r="D14" s="567"/>
      <c r="E14" s="567"/>
      <c r="F14" s="567"/>
    </row>
    <row r="15" spans="1:6" x14ac:dyDescent="0.25">
      <c r="A15" s="1068" t="s">
        <v>42</v>
      </c>
      <c r="B15" s="567">
        <v>5</v>
      </c>
      <c r="C15" s="567">
        <v>2</v>
      </c>
      <c r="D15" s="567"/>
      <c r="E15" s="567"/>
      <c r="F15" s="567"/>
    </row>
    <row r="16" spans="1:6" x14ac:dyDescent="0.25">
      <c r="A16" s="1068" t="s">
        <v>43</v>
      </c>
      <c r="B16" s="567">
        <v>6</v>
      </c>
      <c r="C16" s="567"/>
      <c r="D16" s="567">
        <v>3</v>
      </c>
      <c r="E16" s="567">
        <v>6</v>
      </c>
      <c r="F16" s="567">
        <v>2</v>
      </c>
    </row>
    <row r="17" spans="1:6" x14ac:dyDescent="0.25">
      <c r="A17" s="1068" t="s">
        <v>121</v>
      </c>
      <c r="B17" s="567">
        <v>16</v>
      </c>
      <c r="C17" s="567">
        <v>19</v>
      </c>
      <c r="D17" s="567">
        <v>20</v>
      </c>
      <c r="E17" s="567">
        <v>23</v>
      </c>
      <c r="F17" s="567">
        <v>12</v>
      </c>
    </row>
    <row r="18" spans="1:6" x14ac:dyDescent="0.25">
      <c r="A18" s="1068" t="s">
        <v>44</v>
      </c>
      <c r="B18" s="567">
        <v>2</v>
      </c>
      <c r="C18" s="567">
        <v>1</v>
      </c>
      <c r="D18" s="567"/>
      <c r="E18" s="567"/>
      <c r="F18" s="567"/>
    </row>
    <row r="19" spans="1:6" x14ac:dyDescent="0.25">
      <c r="A19" s="1068" t="s">
        <v>45</v>
      </c>
      <c r="B19" s="567">
        <v>4</v>
      </c>
      <c r="C19" s="567">
        <v>4</v>
      </c>
      <c r="D19" s="567">
        <v>3</v>
      </c>
      <c r="E19" s="567">
        <v>2</v>
      </c>
      <c r="F19" s="567">
        <v>1</v>
      </c>
    </row>
    <row r="20" spans="1:6" x14ac:dyDescent="0.25">
      <c r="A20" s="1068" t="s">
        <v>46</v>
      </c>
      <c r="B20" s="567"/>
      <c r="C20" s="567">
        <v>3</v>
      </c>
      <c r="D20" s="567">
        <v>2</v>
      </c>
      <c r="E20" s="567">
        <v>1</v>
      </c>
      <c r="F20" s="567">
        <v>3</v>
      </c>
    </row>
    <row r="21" spans="1:6" x14ac:dyDescent="0.25">
      <c r="A21" s="1068" t="s">
        <v>47</v>
      </c>
      <c r="B21" s="567"/>
      <c r="C21" s="567"/>
      <c r="D21" s="567"/>
      <c r="E21" s="567">
        <v>1</v>
      </c>
      <c r="F21" s="567">
        <v>3</v>
      </c>
    </row>
    <row r="22" spans="1:6" x14ac:dyDescent="0.25">
      <c r="A22" s="1068" t="s">
        <v>48</v>
      </c>
      <c r="B22" s="567"/>
      <c r="C22" s="567"/>
      <c r="D22" s="567"/>
      <c r="E22" s="567"/>
      <c r="F22" s="567"/>
    </row>
    <row r="23" spans="1:6" x14ac:dyDescent="0.25">
      <c r="A23" s="1068" t="s">
        <v>49</v>
      </c>
      <c r="B23" s="567">
        <v>4</v>
      </c>
      <c r="C23" s="567">
        <v>5</v>
      </c>
      <c r="D23" s="567">
        <v>2</v>
      </c>
      <c r="E23" s="567">
        <v>2</v>
      </c>
      <c r="F23" s="567">
        <v>3</v>
      </c>
    </row>
    <row r="24" spans="1:6" x14ac:dyDescent="0.25">
      <c r="A24" s="1068" t="s">
        <v>50</v>
      </c>
      <c r="B24" s="567">
        <v>7</v>
      </c>
      <c r="C24" s="567">
        <v>3</v>
      </c>
      <c r="D24" s="567">
        <v>6</v>
      </c>
      <c r="E24" s="567">
        <v>3</v>
      </c>
      <c r="F24" s="567">
        <v>8</v>
      </c>
    </row>
    <row r="25" spans="1:6" x14ac:dyDescent="0.25">
      <c r="A25" s="1068" t="s">
        <v>51</v>
      </c>
      <c r="B25" s="567"/>
      <c r="C25" s="567"/>
      <c r="D25" s="567"/>
      <c r="E25" s="567"/>
      <c r="F25" s="567"/>
    </row>
    <row r="26" spans="1:6" x14ac:dyDescent="0.25">
      <c r="A26" s="1068" t="s">
        <v>52</v>
      </c>
      <c r="B26" s="567"/>
      <c r="C26" s="567"/>
      <c r="D26" s="567"/>
      <c r="E26" s="567"/>
      <c r="F26" s="567"/>
    </row>
    <row r="27" spans="1:6" x14ac:dyDescent="0.25">
      <c r="A27" s="1068" t="s">
        <v>53</v>
      </c>
      <c r="B27" s="567">
        <v>3</v>
      </c>
      <c r="C27" s="567">
        <v>2</v>
      </c>
      <c r="D27" s="567">
        <v>1</v>
      </c>
      <c r="E27" s="567">
        <v>1</v>
      </c>
      <c r="F27" s="567">
        <v>2</v>
      </c>
    </row>
    <row r="28" spans="1:6" x14ac:dyDescent="0.25">
      <c r="A28" s="1068" t="s">
        <v>54</v>
      </c>
      <c r="B28" s="567"/>
      <c r="C28" s="567">
        <v>2</v>
      </c>
      <c r="D28" s="567">
        <v>3</v>
      </c>
      <c r="E28" s="567">
        <v>3</v>
      </c>
      <c r="F28" s="567">
        <v>1</v>
      </c>
    </row>
    <row r="29" spans="1:6" x14ac:dyDescent="0.25">
      <c r="A29" s="1068" t="s">
        <v>55</v>
      </c>
      <c r="B29" s="567"/>
      <c r="C29" s="567"/>
      <c r="D29" s="567"/>
      <c r="E29" s="567"/>
      <c r="F29" s="567"/>
    </row>
    <row r="30" spans="1:6" x14ac:dyDescent="0.25">
      <c r="A30" s="1068" t="s">
        <v>56</v>
      </c>
      <c r="B30" s="567">
        <v>3</v>
      </c>
      <c r="C30" s="567"/>
      <c r="D30" s="567">
        <v>1</v>
      </c>
      <c r="E30" s="567"/>
      <c r="F30" s="567"/>
    </row>
    <row r="31" spans="1:6" x14ac:dyDescent="0.25">
      <c r="A31" s="1068" t="s">
        <v>57</v>
      </c>
      <c r="B31" s="567">
        <v>5</v>
      </c>
      <c r="C31" s="567">
        <v>2</v>
      </c>
      <c r="D31" s="567"/>
      <c r="E31" s="567">
        <v>1</v>
      </c>
      <c r="F31" s="567">
        <v>1</v>
      </c>
    </row>
    <row r="32" spans="1:6" x14ac:dyDescent="0.25">
      <c r="A32" s="1068" t="s">
        <v>58</v>
      </c>
      <c r="B32" s="567">
        <v>2</v>
      </c>
      <c r="C32" s="567">
        <v>3</v>
      </c>
      <c r="D32" s="567"/>
      <c r="E32" s="567">
        <v>1</v>
      </c>
      <c r="F32" s="567"/>
    </row>
    <row r="33" spans="1:6" x14ac:dyDescent="0.25">
      <c r="A33" s="1068" t="s">
        <v>59</v>
      </c>
      <c r="B33" s="567">
        <v>2</v>
      </c>
      <c r="C33" s="567">
        <v>1</v>
      </c>
      <c r="D33" s="567"/>
      <c r="E33" s="567">
        <v>2</v>
      </c>
      <c r="F33" s="567"/>
    </row>
    <row r="34" spans="1:6" x14ac:dyDescent="0.25">
      <c r="A34" s="1068" t="s">
        <v>60</v>
      </c>
      <c r="B34" s="567">
        <v>4</v>
      </c>
      <c r="C34" s="567">
        <v>3</v>
      </c>
      <c r="D34" s="567">
        <v>4</v>
      </c>
      <c r="E34" s="567">
        <v>5</v>
      </c>
      <c r="F34" s="567">
        <v>2</v>
      </c>
    </row>
    <row r="35" spans="1:6" x14ac:dyDescent="0.25">
      <c r="A35" s="1068" t="s">
        <v>251</v>
      </c>
      <c r="B35" s="567">
        <v>90</v>
      </c>
      <c r="C35" s="567">
        <v>78</v>
      </c>
      <c r="D35" s="567">
        <v>53</v>
      </c>
      <c r="E35" s="567">
        <v>72</v>
      </c>
      <c r="F35" s="567">
        <v>53</v>
      </c>
    </row>
    <row r="36" spans="1:6" x14ac:dyDescent="0.25">
      <c r="A36" s="566"/>
    </row>
    <row r="37" spans="1:6" x14ac:dyDescent="0.25">
      <c r="A37" s="566"/>
    </row>
    <row r="38" spans="1:6" x14ac:dyDescent="0.25">
      <c r="A38" s="566"/>
    </row>
  </sheetData>
  <sheetProtection algorithmName="SHA-512" hashValue="GmfgZt4QOKJ/Pu7ZWE/DUWKTjzxJsKgWvdtQlJ61lBa02sB/3UHWD+g+3ixUNuxyn1aiKp28rwrW114IdY5jPA==" saltValue="7TIuq+tS9JKezD95mTglRw==" spinCount="100000" sheet="1" scenarios="1" formatCells="0" formatColumns="0" formatRows="0" sort="0" autoFilter="0" pivotTables="0"/>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customHeight="1" x14ac:dyDescent="0.25">
      <c r="A1" s="802" t="s">
        <v>595</v>
      </c>
      <c r="B1" s="802"/>
      <c r="C1" s="802"/>
    </row>
    <row r="2" spans="1:8" ht="15.75" x14ac:dyDescent="0.25">
      <c r="A2" s="772" t="s">
        <v>578</v>
      </c>
      <c r="B2" s="774"/>
      <c r="C2" s="774"/>
    </row>
    <row r="4" spans="1:8" ht="15.75" x14ac:dyDescent="0.25">
      <c r="A4" s="1087" t="s">
        <v>603</v>
      </c>
      <c r="B4" s="1087"/>
      <c r="C4" s="1087"/>
      <c r="D4" s="1087"/>
      <c r="E4" s="1087"/>
      <c r="F4" s="1087"/>
      <c r="G4" s="1087"/>
      <c r="H4" s="1087"/>
    </row>
    <row r="5" spans="1:8" x14ac:dyDescent="0.25">
      <c r="A5" s="944" t="s">
        <v>798</v>
      </c>
    </row>
    <row r="6" spans="1:8" x14ac:dyDescent="0.25">
      <c r="A6" s="944" t="s">
        <v>738</v>
      </c>
    </row>
  </sheetData>
  <sheetProtection algorithmName="SHA-512" hashValue="L9eyLeMrgX25fhLrS3zHmSmaObv/fET5Kq6+NKIhR0xlmQlOuyz11HxHdDuD9L/UmProcc47CU95gx5J6r7tZA==" saltValue="X4FCY4CPeFGYn487hF+PiQ==" spinCount="100000" sheet="1" scenarios="1" formatCells="0" formatColumns="0" formatRows="0" sort="0" autoFilter="0"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customHeight="1" x14ac:dyDescent="0.25">
      <c r="A1" s="802" t="s">
        <v>595</v>
      </c>
      <c r="B1" s="802"/>
      <c r="C1" s="802"/>
    </row>
    <row r="2" spans="1:8" ht="15.75" x14ac:dyDescent="0.25">
      <c r="A2" s="772" t="s">
        <v>578</v>
      </c>
      <c r="B2" s="774"/>
      <c r="C2" s="774"/>
    </row>
    <row r="4" spans="1:8" ht="15.75" x14ac:dyDescent="0.25">
      <c r="A4" s="828" t="s">
        <v>604</v>
      </c>
      <c r="B4" s="828"/>
      <c r="C4" s="828"/>
      <c r="D4" s="828"/>
      <c r="E4" s="828"/>
      <c r="F4" s="828"/>
      <c r="G4" s="828"/>
      <c r="H4" s="828"/>
    </row>
    <row r="5" spans="1:8" x14ac:dyDescent="0.25">
      <c r="A5" s="944" t="s">
        <v>798</v>
      </c>
    </row>
    <row r="6" spans="1:8" x14ac:dyDescent="0.25">
      <c r="A6" s="944" t="s">
        <v>739</v>
      </c>
    </row>
  </sheetData>
  <sheetProtection algorithmName="SHA-512" hashValue="8tqgGHkvUE5EzpTJJYg9UGTt+nn7jCto6/rhVBL8L1e8FgTpHjLu1zROGB/Gq7npHPuhNrq4qV6R3FnLFxt+bw==" saltValue="A9VSqTFlM4HhSF5Qk3Z/NQ==" spinCount="100000" sheet="1" scenarios="1" formatCells="0" formatColumns="0" formatRows="0" sort="0" autoFilter="0" pivotTables="0"/>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6"/>
  <sheetViews>
    <sheetView showGridLines="0" workbookViewId="0">
      <pane ySplit="2" topLeftCell="A3" activePane="bottomLeft" state="frozen"/>
      <selection pane="bottomLeft"/>
    </sheetView>
  </sheetViews>
  <sheetFormatPr defaultRowHeight="15" x14ac:dyDescent="0.25"/>
  <sheetData>
    <row r="1" spans="1:5" ht="15.75" x14ac:dyDescent="0.25">
      <c r="A1" s="802" t="s">
        <v>595</v>
      </c>
      <c r="B1" s="802"/>
      <c r="C1" s="802"/>
    </row>
    <row r="2" spans="1:5" ht="15.75" x14ac:dyDescent="0.25">
      <c r="A2" s="772" t="s">
        <v>578</v>
      </c>
      <c r="B2" s="979"/>
      <c r="C2" s="979"/>
    </row>
    <row r="4" spans="1:5" ht="15.75" x14ac:dyDescent="0.25">
      <c r="A4" s="828" t="s">
        <v>604</v>
      </c>
      <c r="B4" s="828"/>
      <c r="C4" s="828"/>
      <c r="D4" s="828"/>
      <c r="E4" s="828"/>
    </row>
    <row r="5" spans="1:5" x14ac:dyDescent="0.25">
      <c r="A5" s="944" t="s">
        <v>798</v>
      </c>
    </row>
    <row r="6" spans="1:5" x14ac:dyDescent="0.25">
      <c r="A6" s="944" t="s">
        <v>1001</v>
      </c>
    </row>
  </sheetData>
  <sheetProtection algorithmName="SHA-512" hashValue="j2Wf6hQS9pgs5RpynMmQEda5mov7crncE6d3vEIO9uq4R/jYeJ8Ns5i6z1GDCDSSWB/z3wegfC5il8vBTgjZtw==" saltValue="YfNFGkc2/9bUYYorLVsck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249977111117893"/>
    <pageSetUpPr fitToPage="1"/>
  </sheetPr>
  <dimension ref="A1:K82"/>
  <sheetViews>
    <sheetView showGridLines="0" zoomScaleNormal="100" workbookViewId="0">
      <pane ySplit="2" topLeftCell="A29" activePane="bottomLeft" state="frozen"/>
      <selection pane="bottomLeft"/>
    </sheetView>
  </sheetViews>
  <sheetFormatPr defaultRowHeight="15" x14ac:dyDescent="0.25"/>
  <cols>
    <col min="1" max="1" width="19.7109375" customWidth="1"/>
    <col min="2" max="2" width="9" customWidth="1"/>
    <col min="3" max="3" width="10.5703125" customWidth="1"/>
    <col min="4" max="4" width="10.140625" customWidth="1"/>
    <col min="5" max="5" width="15.85546875" customWidth="1"/>
    <col min="6" max="6" width="20.140625" bestFit="1" customWidth="1"/>
    <col min="7" max="7" width="14.85546875" customWidth="1"/>
    <col min="8" max="8" width="9.140625" style="545"/>
    <col min="12" max="12" width="16.140625" bestFit="1" customWidth="1"/>
    <col min="13" max="13" width="14.7109375" bestFit="1" customWidth="1"/>
  </cols>
  <sheetData>
    <row r="1" spans="1:7" ht="15.75" x14ac:dyDescent="0.25">
      <c r="A1" s="802" t="s">
        <v>605</v>
      </c>
    </row>
    <row r="2" spans="1:7" x14ac:dyDescent="0.25">
      <c r="A2" s="772" t="s">
        <v>578</v>
      </c>
    </row>
    <row r="3" spans="1:7" x14ac:dyDescent="0.25">
      <c r="A3" s="31"/>
      <c r="B3" s="31"/>
      <c r="C3" s="31"/>
      <c r="D3" s="31"/>
      <c r="E3" s="31"/>
      <c r="F3" s="31"/>
      <c r="G3" s="31"/>
    </row>
    <row r="4" spans="1:7" ht="15.75" customHeight="1" x14ac:dyDescent="0.25">
      <c r="A4" s="786" t="s">
        <v>607</v>
      </c>
      <c r="B4" s="786"/>
      <c r="C4" s="786"/>
      <c r="D4" s="786"/>
      <c r="E4" s="786"/>
      <c r="F4" s="786"/>
      <c r="G4" s="786"/>
    </row>
    <row r="5" spans="1:7" ht="15.75" customHeight="1" x14ac:dyDescent="0.25">
      <c r="A5" t="s">
        <v>363</v>
      </c>
      <c r="B5" t="s">
        <v>771</v>
      </c>
      <c r="C5" s="777"/>
      <c r="D5" s="777"/>
      <c r="E5" s="777"/>
      <c r="F5" s="777"/>
      <c r="G5" s="777"/>
    </row>
    <row r="6" spans="1:7" ht="15.75" customHeight="1" x14ac:dyDescent="0.25">
      <c r="A6" t="s">
        <v>364</v>
      </c>
      <c r="B6" t="s">
        <v>366</v>
      </c>
      <c r="C6" s="777"/>
      <c r="D6" s="777"/>
      <c r="E6" s="777"/>
      <c r="G6" s="777"/>
    </row>
    <row r="7" spans="1:7" ht="15.75" customHeight="1" x14ac:dyDescent="0.25">
      <c r="A7" t="s">
        <v>365</v>
      </c>
      <c r="B7" t="s">
        <v>606</v>
      </c>
      <c r="C7" s="777"/>
      <c r="D7" s="777"/>
      <c r="E7" s="777"/>
      <c r="F7" s="777"/>
      <c r="G7" s="777"/>
    </row>
    <row r="8" spans="1:7" x14ac:dyDescent="0.25">
      <c r="A8" s="78"/>
      <c r="B8" s="78"/>
      <c r="C8" s="78"/>
      <c r="D8" s="78"/>
      <c r="E8" s="78"/>
      <c r="F8" s="1127" t="s">
        <v>1029</v>
      </c>
      <c r="G8" s="1127"/>
    </row>
    <row r="9" spans="1:7" ht="39" x14ac:dyDescent="0.25">
      <c r="A9" s="220" t="s">
        <v>1</v>
      </c>
      <c r="B9" s="830" t="s">
        <v>494</v>
      </c>
      <c r="C9" s="211" t="s">
        <v>132</v>
      </c>
      <c r="D9" s="211" t="s">
        <v>128</v>
      </c>
      <c r="E9" s="280" t="s">
        <v>137</v>
      </c>
      <c r="F9" s="211" t="s">
        <v>129</v>
      </c>
      <c r="G9" s="211" t="s">
        <v>130</v>
      </c>
    </row>
    <row r="10" spans="1:7" x14ac:dyDescent="0.25">
      <c r="A10" s="223" t="str">
        <f>'T17'!A5</f>
        <v>2010-11</v>
      </c>
      <c r="B10" s="156">
        <f>'T17'!B5</f>
        <v>33998</v>
      </c>
      <c r="C10" s="156">
        <f>'T17'!C5</f>
        <v>18732</v>
      </c>
      <c r="D10" s="150">
        <f t="shared" ref="D10:D12" si="0">B10+C10</f>
        <v>52730</v>
      </c>
      <c r="E10" s="474"/>
      <c r="F10" s="474"/>
      <c r="G10" s="474"/>
    </row>
    <row r="11" spans="1:7" x14ac:dyDescent="0.25">
      <c r="A11" s="223" t="str">
        <f>'T17'!A6</f>
        <v>2011-12</v>
      </c>
      <c r="B11" s="156">
        <f>'T17'!B6</f>
        <v>28846</v>
      </c>
      <c r="C11" s="156">
        <f>'T17'!C6</f>
        <v>27699</v>
      </c>
      <c r="D11" s="150">
        <f t="shared" si="0"/>
        <v>56545</v>
      </c>
      <c r="E11" s="260">
        <f>'T17'!E6</f>
        <v>46395</v>
      </c>
      <c r="F11" s="474"/>
      <c r="G11" s="474"/>
    </row>
    <row r="12" spans="1:7" x14ac:dyDescent="0.25">
      <c r="A12" s="223" t="str">
        <f>'T17'!A7</f>
        <v>2012-13</v>
      </c>
      <c r="B12" s="156">
        <f>'T17'!B7</f>
        <v>26013</v>
      </c>
      <c r="C12" s="156">
        <f>'T17'!C7</f>
        <v>30238</v>
      </c>
      <c r="D12" s="150">
        <f t="shared" si="0"/>
        <v>56251</v>
      </c>
      <c r="E12" s="260">
        <f>'T17'!E7</f>
        <v>44122</v>
      </c>
      <c r="F12" s="474"/>
      <c r="G12" s="474"/>
    </row>
    <row r="13" spans="1:7" x14ac:dyDescent="0.25">
      <c r="A13" s="223" t="str">
        <f>'T17'!A8</f>
        <v>2013-14</v>
      </c>
      <c r="B13" s="156">
        <f>'T17'!B8</f>
        <v>29576</v>
      </c>
      <c r="C13" s="156">
        <f>'T17'!C8</f>
        <v>41472</v>
      </c>
      <c r="D13" s="150">
        <f>B13+C13</f>
        <v>71048</v>
      </c>
      <c r="E13" s="260">
        <f>'T17'!E8</f>
        <v>46164</v>
      </c>
      <c r="F13" s="156">
        <f>'T17'!F8</f>
        <v>30359</v>
      </c>
      <c r="G13" s="156">
        <f>'T17'!G8</f>
        <v>15805</v>
      </c>
    </row>
    <row r="14" spans="1:7" x14ac:dyDescent="0.25">
      <c r="A14" s="223" t="str">
        <f>'T17'!A9</f>
        <v>2014-15</v>
      </c>
      <c r="B14" s="156">
        <f>'T17'!B9</f>
        <v>26986</v>
      </c>
      <c r="C14" s="156">
        <f>'T17'!C9</f>
        <v>38729</v>
      </c>
      <c r="D14" s="150">
        <f t="shared" ref="D14:D19" si="1">B14+C14</f>
        <v>65715</v>
      </c>
      <c r="E14" s="260">
        <f>'T17'!E9</f>
        <v>41832</v>
      </c>
      <c r="F14" s="156">
        <f>'T17'!F9</f>
        <v>28032</v>
      </c>
      <c r="G14" s="156">
        <f>'T17'!G9</f>
        <v>13800</v>
      </c>
    </row>
    <row r="15" spans="1:7" x14ac:dyDescent="0.25">
      <c r="A15" s="223" t="str">
        <f>'T17'!A10</f>
        <v>2015-16</v>
      </c>
      <c r="B15" s="156">
        <f>'T17'!B10</f>
        <v>28338</v>
      </c>
      <c r="C15" s="156">
        <f>'T17'!C10</f>
        <v>43379</v>
      </c>
      <c r="D15" s="150">
        <f t="shared" si="1"/>
        <v>71717</v>
      </c>
      <c r="E15" s="260">
        <f>'T17'!E10</f>
        <v>43710</v>
      </c>
      <c r="F15" s="156">
        <f>'T17'!F10</f>
        <v>28897</v>
      </c>
      <c r="G15" s="156">
        <f>'T17'!G10</f>
        <v>14813</v>
      </c>
    </row>
    <row r="16" spans="1:7" x14ac:dyDescent="0.25">
      <c r="A16" s="223" t="str">
        <f>'T17'!A11</f>
        <v>2016-17</v>
      </c>
      <c r="B16" s="156">
        <f>'T17'!B11</f>
        <v>29016</v>
      </c>
      <c r="C16" s="156">
        <f>'T17'!C11</f>
        <v>41785</v>
      </c>
      <c r="D16" s="150">
        <f t="shared" si="1"/>
        <v>70801</v>
      </c>
      <c r="E16" s="260">
        <f>'T17'!E11</f>
        <v>44321</v>
      </c>
      <c r="F16" s="156">
        <f>'T17'!F11</f>
        <v>27955</v>
      </c>
      <c r="G16" s="156">
        <f>'T17'!G11</f>
        <v>16366</v>
      </c>
    </row>
    <row r="17" spans="1:8" x14ac:dyDescent="0.25">
      <c r="A17" s="223" t="str">
        <f>'T17'!A12</f>
        <v>2017-18</v>
      </c>
      <c r="B17" s="156">
        <f>'T17'!B12</f>
        <v>27754</v>
      </c>
      <c r="C17" s="156">
        <f>'T17'!C12</f>
        <v>42077</v>
      </c>
      <c r="D17" s="150">
        <f t="shared" si="1"/>
        <v>69831</v>
      </c>
      <c r="E17" s="260">
        <f>'T17'!E12</f>
        <v>42385</v>
      </c>
      <c r="F17" s="156">
        <f>'T17'!F12</f>
        <v>28114</v>
      </c>
      <c r="G17" s="156">
        <f>'T17'!G12</f>
        <v>14271</v>
      </c>
    </row>
    <row r="18" spans="1:8" x14ac:dyDescent="0.25">
      <c r="A18" s="223" t="str">
        <f>'T17'!A13</f>
        <v>2018-19</v>
      </c>
      <c r="B18" s="156">
        <f>'T17'!B13</f>
        <v>24462</v>
      </c>
      <c r="C18" s="156">
        <f>'T17'!C13</f>
        <v>44740</v>
      </c>
      <c r="D18" s="150">
        <f t="shared" si="1"/>
        <v>69202</v>
      </c>
      <c r="E18" s="260">
        <f>'T17'!E13</f>
        <v>37549</v>
      </c>
      <c r="F18" s="156">
        <f>'T17'!F13</f>
        <v>25645</v>
      </c>
      <c r="G18" s="156">
        <f>'T17'!G13</f>
        <v>11904</v>
      </c>
    </row>
    <row r="19" spans="1:8" x14ac:dyDescent="0.25">
      <c r="A19" s="223" t="str">
        <f>'T17'!A14</f>
        <v>2019-20</v>
      </c>
      <c r="B19" s="156">
        <f>'T17'!B14</f>
        <v>22287</v>
      </c>
      <c r="C19" s="156">
        <f>'T17'!C14</f>
        <v>46940</v>
      </c>
      <c r="D19" s="150">
        <f t="shared" si="1"/>
        <v>69227</v>
      </c>
      <c r="E19" s="260">
        <f>'T17'!E14</f>
        <v>34605</v>
      </c>
      <c r="F19" s="156">
        <f>'T17'!F14</f>
        <v>24013</v>
      </c>
      <c r="G19" s="156">
        <f>'T17'!G14</f>
        <v>10592</v>
      </c>
    </row>
    <row r="20" spans="1:8" x14ac:dyDescent="0.25">
      <c r="A20" s="281"/>
      <c r="B20" s="282"/>
      <c r="C20" s="282"/>
      <c r="D20" s="283"/>
      <c r="E20" s="282"/>
      <c r="F20" s="282"/>
      <c r="G20" s="282"/>
    </row>
    <row r="21" spans="1:8" ht="15" customHeight="1" x14ac:dyDescent="0.25">
      <c r="A21" s="1128" t="str">
        <f>"One Year Change " &amp; A18 &amp; " to " &amp; A19</f>
        <v>One Year Change 2018-19 to 2019-20</v>
      </c>
      <c r="B21" s="1128"/>
      <c r="C21" s="1128"/>
      <c r="D21" s="1128"/>
      <c r="E21" s="260"/>
      <c r="F21" s="31"/>
      <c r="G21" s="31"/>
    </row>
    <row r="22" spans="1:8" x14ac:dyDescent="0.25">
      <c r="A22" s="284" t="s">
        <v>6</v>
      </c>
      <c r="B22" s="285">
        <f>B19-B18</f>
        <v>-2175</v>
      </c>
      <c r="C22" s="285">
        <f t="shared" ref="C22:G22" si="2">C19-C18</f>
        <v>2200</v>
      </c>
      <c r="D22" s="286">
        <f t="shared" si="2"/>
        <v>25</v>
      </c>
      <c r="E22" s="285">
        <f t="shared" si="2"/>
        <v>-2944</v>
      </c>
      <c r="F22" s="285">
        <f t="shared" si="2"/>
        <v>-1632</v>
      </c>
      <c r="G22" s="285">
        <f t="shared" si="2"/>
        <v>-1312</v>
      </c>
    </row>
    <row r="23" spans="1:8" ht="15.75" thickBot="1" x14ac:dyDescent="0.3">
      <c r="A23" s="287" t="s">
        <v>7</v>
      </c>
      <c r="B23" s="385">
        <f>B22/B18</f>
        <v>-8.8913416727986264E-2</v>
      </c>
      <c r="C23" s="385">
        <f t="shared" ref="C23:G23" si="3">C22/C18</f>
        <v>4.9172999552972732E-2</v>
      </c>
      <c r="D23" s="386">
        <f t="shared" si="3"/>
        <v>3.612612352244155E-4</v>
      </c>
      <c r="E23" s="385">
        <f t="shared" si="3"/>
        <v>-7.8404218487842556E-2</v>
      </c>
      <c r="F23" s="385">
        <f t="shared" si="3"/>
        <v>-6.3638136088906214E-2</v>
      </c>
      <c r="G23" s="385">
        <f t="shared" si="3"/>
        <v>-0.11021505376344086</v>
      </c>
    </row>
    <row r="25" spans="1:8" x14ac:dyDescent="0.25">
      <c r="A25" s="1128" t="str">
        <f>"Five Year Change " &amp; A14 &amp; " to " &amp; A19</f>
        <v>Five Year Change 2014-15 to 2019-20</v>
      </c>
      <c r="B25" s="1128"/>
      <c r="C25" s="1128"/>
      <c r="D25" s="1128"/>
      <c r="E25" s="260"/>
      <c r="F25" s="31"/>
      <c r="G25" s="31"/>
    </row>
    <row r="26" spans="1:8" x14ac:dyDescent="0.25">
      <c r="A26" s="284" t="s">
        <v>6</v>
      </c>
      <c r="B26" s="285">
        <f>B19-B14</f>
        <v>-4699</v>
      </c>
      <c r="C26" s="285">
        <f t="shared" ref="C26:G26" si="4">C19-C14</f>
        <v>8211</v>
      </c>
      <c r="D26" s="286">
        <f t="shared" si="4"/>
        <v>3512</v>
      </c>
      <c r="E26" s="285">
        <f t="shared" si="4"/>
        <v>-7227</v>
      </c>
      <c r="F26" s="285">
        <f t="shared" si="4"/>
        <v>-4019</v>
      </c>
      <c r="G26" s="285">
        <f t="shared" si="4"/>
        <v>-3208</v>
      </c>
    </row>
    <row r="27" spans="1:8" ht="15.75" thickBot="1" x14ac:dyDescent="0.3">
      <c r="A27" s="287" t="s">
        <v>7</v>
      </c>
      <c r="B27" s="385">
        <f>B26/B19</f>
        <v>-0.21084040023331987</v>
      </c>
      <c r="C27" s="385">
        <f t="shared" ref="C27:G27" si="5">C26/C19</f>
        <v>0.17492543672773753</v>
      </c>
      <c r="D27" s="386">
        <f t="shared" si="5"/>
        <v>5.0731650945440361E-2</v>
      </c>
      <c r="E27" s="385">
        <f t="shared" si="5"/>
        <v>-0.20884265279583875</v>
      </c>
      <c r="F27" s="385">
        <f t="shared" si="5"/>
        <v>-0.16736767584225212</v>
      </c>
      <c r="G27" s="385">
        <f t="shared" si="5"/>
        <v>-0.30287009063444109</v>
      </c>
    </row>
    <row r="28" spans="1:8" x14ac:dyDescent="0.25">
      <c r="A28" s="553"/>
      <c r="B28" s="555"/>
      <c r="C28" s="555"/>
      <c r="D28" s="556"/>
      <c r="E28" s="555"/>
      <c r="F28" s="555"/>
      <c r="G28" s="555"/>
    </row>
    <row r="29" spans="1:8" x14ac:dyDescent="0.25">
      <c r="A29" s="554" t="s">
        <v>8</v>
      </c>
      <c r="B29" s="555"/>
      <c r="C29" s="555"/>
      <c r="D29" s="556"/>
      <c r="E29" s="555"/>
      <c r="F29" s="555"/>
      <c r="G29" s="555"/>
    </row>
    <row r="30" spans="1:8" ht="30" customHeight="1" x14ac:dyDescent="0.25">
      <c r="A30" s="1107" t="s">
        <v>1030</v>
      </c>
      <c r="B30" s="1107"/>
      <c r="C30" s="1107"/>
      <c r="D30" s="1107"/>
      <c r="E30" s="1107"/>
      <c r="F30" s="1107"/>
      <c r="G30" s="1107"/>
      <c r="H30" s="1107"/>
    </row>
    <row r="31" spans="1:8" ht="60" customHeight="1" x14ac:dyDescent="0.25">
      <c r="A31" s="1107" t="s">
        <v>819</v>
      </c>
      <c r="B31" s="1107"/>
      <c r="C31" s="1107"/>
      <c r="D31" s="1107"/>
      <c r="E31" s="1107"/>
      <c r="F31" s="1107"/>
      <c r="G31" s="1107"/>
      <c r="H31" s="1107"/>
    </row>
    <row r="32" spans="1:8" ht="30" customHeight="1" x14ac:dyDescent="0.25">
      <c r="A32" s="1076" t="s">
        <v>820</v>
      </c>
      <c r="B32" s="1076"/>
      <c r="C32" s="1076"/>
      <c r="D32" s="1076"/>
      <c r="E32" s="1076"/>
      <c r="F32" s="1076"/>
      <c r="G32" s="1076"/>
      <c r="H32" s="1076"/>
    </row>
    <row r="33" spans="1:8" x14ac:dyDescent="0.25">
      <c r="A33" s="531"/>
      <c r="B33" s="555"/>
      <c r="C33" s="555"/>
      <c r="D33" s="556"/>
      <c r="E33" s="555"/>
      <c r="F33" s="555"/>
      <c r="G33" s="555"/>
    </row>
    <row r="34" spans="1:8" x14ac:dyDescent="0.25">
      <c r="A34" s="219"/>
      <c r="B34" s="288"/>
      <c r="C34" s="288"/>
      <c r="D34" s="288"/>
      <c r="E34" s="288"/>
      <c r="F34" s="31"/>
      <c r="G34" s="31"/>
    </row>
    <row r="35" spans="1:8" ht="15.75" x14ac:dyDescent="0.25">
      <c r="A35" s="1114" t="s">
        <v>666</v>
      </c>
      <c r="B35" s="1114"/>
      <c r="C35" s="1114"/>
      <c r="D35" s="1114"/>
      <c r="E35" s="1114"/>
      <c r="F35" s="1114"/>
      <c r="G35" s="1114"/>
      <c r="H35" s="1114"/>
    </row>
    <row r="36" spans="1:8" ht="15.75" x14ac:dyDescent="0.25">
      <c r="A36" t="s">
        <v>363</v>
      </c>
      <c r="B36" t="s">
        <v>772</v>
      </c>
      <c r="C36" s="776"/>
      <c r="D36" s="776"/>
      <c r="E36" s="776"/>
      <c r="F36" s="776"/>
      <c r="G36" s="776"/>
      <c r="H36" s="776"/>
    </row>
    <row r="37" spans="1:8" ht="15.75" x14ac:dyDescent="0.25">
      <c r="A37" t="s">
        <v>364</v>
      </c>
      <c r="B37" t="s">
        <v>366</v>
      </c>
      <c r="C37" s="776"/>
      <c r="D37" s="776"/>
      <c r="E37" s="776"/>
      <c r="F37" s="776"/>
      <c r="G37" s="776"/>
      <c r="H37" s="776"/>
    </row>
    <row r="38" spans="1:8" ht="15.75" x14ac:dyDescent="0.25">
      <c r="A38" t="s">
        <v>365</v>
      </c>
      <c r="B38" t="s">
        <v>606</v>
      </c>
      <c r="C38" s="776"/>
      <c r="D38" s="776"/>
      <c r="E38" s="776"/>
      <c r="F38" s="776"/>
      <c r="G38" s="776"/>
      <c r="H38" s="776"/>
    </row>
    <row r="39" spans="1:8" ht="15.75" x14ac:dyDescent="0.25">
      <c r="C39" s="782"/>
      <c r="D39" s="782"/>
      <c r="E39" s="782"/>
      <c r="F39" s="782"/>
      <c r="G39" s="782"/>
      <c r="H39" s="782"/>
    </row>
    <row r="40" spans="1:8" x14ac:dyDescent="0.25">
      <c r="A40" s="181"/>
      <c r="B40" s="289" t="s">
        <v>7</v>
      </c>
      <c r="C40" s="419"/>
      <c r="D40" s="785"/>
      <c r="E40" s="785" t="s">
        <v>622</v>
      </c>
      <c r="G40" s="31"/>
    </row>
    <row r="41" spans="1:8" ht="51.75" x14ac:dyDescent="0.25">
      <c r="A41" s="290" t="s">
        <v>1</v>
      </c>
      <c r="B41" s="279" t="s">
        <v>127</v>
      </c>
      <c r="C41" s="211" t="s">
        <v>132</v>
      </c>
      <c r="D41" s="860" t="s">
        <v>141</v>
      </c>
      <c r="E41" s="863" t="s">
        <v>139</v>
      </c>
    </row>
    <row r="42" spans="1:8" x14ac:dyDescent="0.25">
      <c r="A42" s="319" t="str">
        <f>'T17'!A5</f>
        <v>2010-11</v>
      </c>
      <c r="B42" s="156">
        <f>B10/$D10%</f>
        <v>64.47563057083255</v>
      </c>
      <c r="C42" s="156">
        <f>C10/$D10%</f>
        <v>35.524369429167457</v>
      </c>
      <c r="D42" s="864"/>
      <c r="E42" s="474"/>
      <c r="G42" s="31"/>
    </row>
    <row r="43" spans="1:8" x14ac:dyDescent="0.25">
      <c r="A43" s="223" t="str">
        <f>'T17'!A6</f>
        <v>2011-12</v>
      </c>
      <c r="B43" s="156">
        <f>B11/$D11%</f>
        <v>51.014236448846049</v>
      </c>
      <c r="C43" s="156">
        <f>C11/$D11%</f>
        <v>48.985763551153944</v>
      </c>
      <c r="D43" s="865">
        <f t="shared" ref="D43:D51" si="6">E11/D11</f>
        <v>0.82049694933239015</v>
      </c>
      <c r="E43" s="616">
        <f t="shared" ref="E43:E51" si="7">E11/B11</f>
        <v>1.6083685779657491</v>
      </c>
      <c r="G43" s="31"/>
    </row>
    <row r="44" spans="1:8" x14ac:dyDescent="0.25">
      <c r="A44" s="223" t="str">
        <f>'T17'!A7</f>
        <v>2012-13</v>
      </c>
      <c r="B44" s="156">
        <f t="shared" ref="B44:C44" si="8">B12/$D12%</f>
        <v>46.244511208689623</v>
      </c>
      <c r="C44" s="156">
        <f t="shared" si="8"/>
        <v>53.755488791310377</v>
      </c>
      <c r="D44" s="865">
        <f t="shared" si="6"/>
        <v>0.78437716662814883</v>
      </c>
      <c r="E44" s="616">
        <f t="shared" si="7"/>
        <v>1.696151924037981</v>
      </c>
      <c r="G44" s="31"/>
    </row>
    <row r="45" spans="1:8" x14ac:dyDescent="0.25">
      <c r="A45" s="223" t="str">
        <f>'T17'!A8</f>
        <v>2013-14</v>
      </c>
      <c r="B45" s="156">
        <f t="shared" ref="B45:C45" si="9">B13/$D13%</f>
        <v>41.628195023082988</v>
      </c>
      <c r="C45" s="156">
        <f t="shared" si="9"/>
        <v>58.371804976917012</v>
      </c>
      <c r="D45" s="865">
        <f t="shared" si="6"/>
        <v>0.64975791014525386</v>
      </c>
      <c r="E45" s="616">
        <f t="shared" si="7"/>
        <v>1.56086015688396</v>
      </c>
      <c r="G45" s="31"/>
    </row>
    <row r="46" spans="1:8" x14ac:dyDescent="0.25">
      <c r="A46" s="223" t="str">
        <f>'T17'!A9</f>
        <v>2014-15</v>
      </c>
      <c r="B46" s="156">
        <f t="shared" ref="B46:C46" si="10">B14/$D14%</f>
        <v>41.065205812980295</v>
      </c>
      <c r="C46" s="156">
        <f t="shared" si="10"/>
        <v>58.934794187019712</v>
      </c>
      <c r="D46" s="865">
        <f t="shared" si="6"/>
        <v>0.63656699383702353</v>
      </c>
      <c r="E46" s="616">
        <f t="shared" si="7"/>
        <v>1.5501371081301416</v>
      </c>
      <c r="G46" s="31"/>
    </row>
    <row r="47" spans="1:8" x14ac:dyDescent="0.25">
      <c r="A47" s="223" t="str">
        <f>'T17'!A10</f>
        <v>2015-16</v>
      </c>
      <c r="B47" s="156">
        <f t="shared" ref="B47:C47" si="11">B15/$D15%</f>
        <v>39.513643905907948</v>
      </c>
      <c r="C47" s="156">
        <f t="shared" si="11"/>
        <v>60.486356094092059</v>
      </c>
      <c r="D47" s="865">
        <f t="shared" si="6"/>
        <v>0.60947892410446614</v>
      </c>
      <c r="E47" s="616">
        <f t="shared" si="7"/>
        <v>1.5424518314630531</v>
      </c>
      <c r="G47" s="31"/>
    </row>
    <row r="48" spans="1:8" ht="15" customHeight="1" x14ac:dyDescent="0.25">
      <c r="A48" s="223" t="str">
        <f>'T17'!A11</f>
        <v>2016-17</v>
      </c>
      <c r="B48" s="156">
        <f t="shared" ref="B48:C48" si="12">B16/$D16%</f>
        <v>40.982471998983065</v>
      </c>
      <c r="C48" s="156">
        <f t="shared" si="12"/>
        <v>59.017528001016935</v>
      </c>
      <c r="D48" s="865">
        <f t="shared" si="6"/>
        <v>0.62599398313583143</v>
      </c>
      <c r="E48" s="616">
        <f t="shared" si="7"/>
        <v>1.5274676040805073</v>
      </c>
      <c r="G48" s="31"/>
    </row>
    <row r="49" spans="1:10" x14ac:dyDescent="0.25">
      <c r="A49" s="223" t="str">
        <f>'T17'!A12</f>
        <v>2017-18</v>
      </c>
      <c r="B49" s="156">
        <f t="shared" ref="B49:C49" si="13">B17/$D17%</f>
        <v>39.744526070083488</v>
      </c>
      <c r="C49" s="156">
        <f t="shared" si="13"/>
        <v>60.255473929916519</v>
      </c>
      <c r="D49" s="865">
        <f t="shared" si="6"/>
        <v>0.60696538786498833</v>
      </c>
      <c r="E49" s="616">
        <f t="shared" si="7"/>
        <v>1.5271672551704258</v>
      </c>
      <c r="G49" s="31"/>
    </row>
    <row r="50" spans="1:10" x14ac:dyDescent="0.25">
      <c r="A50" s="223" t="str">
        <f>'T17'!A13</f>
        <v>2018-19</v>
      </c>
      <c r="B50" s="156">
        <f t="shared" ref="B50:C50" si="14">B18/$D18%</f>
        <v>35.348689344238608</v>
      </c>
      <c r="C50" s="156">
        <f t="shared" si="14"/>
        <v>64.651310655761392</v>
      </c>
      <c r="D50" s="865">
        <f t="shared" si="6"/>
        <v>0.54259992485766306</v>
      </c>
      <c r="E50" s="616">
        <f t="shared" si="7"/>
        <v>1.5349930504455891</v>
      </c>
      <c r="G50" s="31"/>
    </row>
    <row r="51" spans="1:10" x14ac:dyDescent="0.25">
      <c r="A51" s="223" t="str">
        <f>'T17'!A14</f>
        <v>2019-20</v>
      </c>
      <c r="B51" s="156">
        <f>B19/$D19%</f>
        <v>32.194086122466672</v>
      </c>
      <c r="C51" s="156">
        <f>C19/$D19%</f>
        <v>67.805913877533328</v>
      </c>
      <c r="D51" s="865">
        <f t="shared" si="6"/>
        <v>0.49987721553729036</v>
      </c>
      <c r="E51" s="616">
        <f t="shared" si="7"/>
        <v>1.552698882756764</v>
      </c>
    </row>
    <row r="52" spans="1:10" x14ac:dyDescent="0.25">
      <c r="A52" s="292"/>
      <c r="B52" s="293"/>
      <c r="C52" s="293"/>
      <c r="D52" s="294"/>
      <c r="E52" s="295"/>
    </row>
    <row r="53" spans="1:10" x14ac:dyDescent="0.25">
      <c r="B53" s="288"/>
      <c r="C53" s="288"/>
      <c r="D53" s="831"/>
      <c r="E53" s="832"/>
      <c r="F53" s="832"/>
      <c r="G53" s="31"/>
    </row>
    <row r="54" spans="1:10" ht="15.75" customHeight="1" x14ac:dyDescent="0.25">
      <c r="A54" s="1126" t="s">
        <v>673</v>
      </c>
      <c r="B54" s="1126"/>
      <c r="C54" s="1126"/>
      <c r="D54" s="1126"/>
      <c r="E54" s="1126"/>
      <c r="F54" s="1126"/>
      <c r="G54" s="614"/>
      <c r="H54" s="614"/>
      <c r="I54" s="614"/>
      <c r="J54" s="614"/>
    </row>
    <row r="55" spans="1:10" ht="15.75" customHeight="1" x14ac:dyDescent="0.25">
      <c r="A55" t="s">
        <v>363</v>
      </c>
      <c r="B55" t="s">
        <v>773</v>
      </c>
      <c r="C55" s="775"/>
      <c r="D55" s="775"/>
      <c r="E55" s="775"/>
      <c r="F55" s="775"/>
      <c r="G55" s="775"/>
      <c r="H55" s="775"/>
      <c r="I55" s="775"/>
      <c r="J55" s="775"/>
    </row>
    <row r="56" spans="1:10" ht="15.75" customHeight="1" x14ac:dyDescent="0.25">
      <c r="A56" t="s">
        <v>364</v>
      </c>
      <c r="B56" t="s">
        <v>366</v>
      </c>
      <c r="C56" s="775"/>
      <c r="D56" s="775"/>
      <c r="E56" s="775"/>
      <c r="F56" s="775"/>
      <c r="G56" s="775"/>
      <c r="H56" s="775"/>
      <c r="I56" s="775"/>
      <c r="J56" s="775"/>
    </row>
    <row r="57" spans="1:10" x14ac:dyDescent="0.25">
      <c r="A57" t="s">
        <v>365</v>
      </c>
      <c r="B57" t="s">
        <v>606</v>
      </c>
      <c r="C57" s="31"/>
      <c r="D57" s="139"/>
      <c r="E57" s="31"/>
      <c r="F57" s="31"/>
      <c r="G57" s="31"/>
    </row>
    <row r="58" spans="1:10" x14ac:dyDescent="0.25">
      <c r="A58" s="78"/>
      <c r="B58" s="78"/>
      <c r="C58" s="165"/>
      <c r="D58" s="165"/>
      <c r="E58" s="306" t="s">
        <v>623</v>
      </c>
      <c r="F58" s="935" t="s">
        <v>6</v>
      </c>
      <c r="G58" s="31"/>
    </row>
    <row r="59" spans="1:10" ht="51.75" x14ac:dyDescent="0.25">
      <c r="A59" s="220" t="s">
        <v>1</v>
      </c>
      <c r="B59" s="279" t="s">
        <v>127</v>
      </c>
      <c r="C59" s="211" t="s">
        <v>132</v>
      </c>
      <c r="D59" s="211" t="s">
        <v>133</v>
      </c>
      <c r="E59" s="296" t="s">
        <v>134</v>
      </c>
      <c r="F59" s="936" t="s">
        <v>489</v>
      </c>
      <c r="G59" s="31"/>
    </row>
    <row r="60" spans="1:10" x14ac:dyDescent="0.25">
      <c r="A60" s="223" t="str">
        <f>'T17'!A6</f>
        <v>2011-12</v>
      </c>
      <c r="B60" s="578">
        <f t="shared" ref="B60:B68" si="15">B11/F60*100</f>
        <v>1.2138406277667622</v>
      </c>
      <c r="C60" s="578">
        <f t="shared" ref="C60:C68" si="16">C11/F60*100</f>
        <v>1.1655748300808273</v>
      </c>
      <c r="D60" s="579">
        <f t="shared" ref="D60:D68" si="17">D11/F60*100</f>
        <v>2.3794154578475895</v>
      </c>
      <c r="E60" s="579">
        <f t="shared" ref="E60:E68" si="18">E11/F60*100</f>
        <v>1.9523031243582796</v>
      </c>
      <c r="F60" s="128">
        <f>'T17'!H6</f>
        <v>2376424</v>
      </c>
      <c r="G60" s="31"/>
    </row>
    <row r="61" spans="1:10" x14ac:dyDescent="0.25">
      <c r="A61" s="223" t="str">
        <f>'T17'!A7</f>
        <v>2012-13</v>
      </c>
      <c r="B61" s="578">
        <f t="shared" si="15"/>
        <v>1.0899332121039444</v>
      </c>
      <c r="C61" s="578">
        <f t="shared" si="16"/>
        <v>1.2669588462537604</v>
      </c>
      <c r="D61" s="579">
        <f t="shared" si="17"/>
        <v>2.3568920583577047</v>
      </c>
      <c r="E61" s="579">
        <f t="shared" si="18"/>
        <v>1.8486923147830021</v>
      </c>
      <c r="F61" s="128">
        <f>'T17'!H7</f>
        <v>2386660</v>
      </c>
      <c r="G61" s="31"/>
    </row>
    <row r="62" spans="1:10" x14ac:dyDescent="0.25">
      <c r="A62" s="223" t="str">
        <f>'T17'!A8</f>
        <v>2013-14</v>
      </c>
      <c r="B62" s="578">
        <f t="shared" si="15"/>
        <v>1.2321577508538366</v>
      </c>
      <c r="C62" s="578">
        <f t="shared" si="16"/>
        <v>1.7277537950842006</v>
      </c>
      <c r="D62" s="579">
        <f t="shared" si="17"/>
        <v>2.9599115459380374</v>
      </c>
      <c r="E62" s="579">
        <f t="shared" si="18"/>
        <v>1.9232259403035068</v>
      </c>
      <c r="F62" s="128">
        <f>'T17'!H8</f>
        <v>2400342</v>
      </c>
      <c r="G62" s="31"/>
    </row>
    <row r="63" spans="1:10" x14ac:dyDescent="0.25">
      <c r="A63" s="223" t="str">
        <f>'T17'!A9</f>
        <v>2014-15</v>
      </c>
      <c r="B63" s="578">
        <f t="shared" si="15"/>
        <v>1.1169637262035732</v>
      </c>
      <c r="C63" s="578">
        <f t="shared" si="16"/>
        <v>1.6030122342006297</v>
      </c>
      <c r="D63" s="579">
        <f t="shared" si="17"/>
        <v>2.7199759604042031</v>
      </c>
      <c r="E63" s="579">
        <f t="shared" si="18"/>
        <v>1.7314469204234744</v>
      </c>
      <c r="F63" s="128">
        <f>'T17'!H9</f>
        <v>2416014</v>
      </c>
      <c r="G63" s="31"/>
    </row>
    <row r="64" spans="1:10" x14ac:dyDescent="0.25">
      <c r="A64" s="223" t="str">
        <f>'T17'!A10</f>
        <v>2015-16</v>
      </c>
      <c r="B64" s="578">
        <f t="shared" si="15"/>
        <v>1.1662001948193845</v>
      </c>
      <c r="C64" s="578">
        <f t="shared" si="16"/>
        <v>1.7851859076529779</v>
      </c>
      <c r="D64" s="579">
        <f t="shared" si="17"/>
        <v>2.9513861024723624</v>
      </c>
      <c r="E64" s="579">
        <f t="shared" si="18"/>
        <v>1.7988076263517294</v>
      </c>
      <c r="F64" s="128">
        <f>'T17'!H10</f>
        <v>2429943</v>
      </c>
      <c r="G64" s="31"/>
    </row>
    <row r="65" spans="1:11" x14ac:dyDescent="0.25">
      <c r="A65" s="223" t="str">
        <f>'T17'!A11</f>
        <v>2016-17</v>
      </c>
      <c r="B65" s="578">
        <f t="shared" si="15"/>
        <v>1.1861803610622479</v>
      </c>
      <c r="C65" s="578">
        <f t="shared" si="16"/>
        <v>1.7081798451539159</v>
      </c>
      <c r="D65" s="579">
        <f t="shared" si="17"/>
        <v>2.894360206216164</v>
      </c>
      <c r="E65" s="579">
        <f t="shared" si="18"/>
        <v>1.8118520741191029</v>
      </c>
      <c r="F65" s="128">
        <f>'T17'!H11</f>
        <v>2446171</v>
      </c>
      <c r="G65" s="31"/>
    </row>
    <row r="66" spans="1:11" ht="15" customHeight="1" x14ac:dyDescent="0.25">
      <c r="A66" s="223" t="str">
        <f>'T17'!A12</f>
        <v>2017-18</v>
      </c>
      <c r="B66" s="578">
        <f t="shared" si="15"/>
        <v>1.1269579849403264</v>
      </c>
      <c r="C66" s="578">
        <f t="shared" si="16"/>
        <v>1.7085469169249159</v>
      </c>
      <c r="D66" s="579">
        <f t="shared" si="17"/>
        <v>2.8355049018652427</v>
      </c>
      <c r="E66" s="579">
        <f t="shared" si="18"/>
        <v>1.7210533325537125</v>
      </c>
      <c r="F66" s="128">
        <f>'T17'!H12</f>
        <v>2462736</v>
      </c>
      <c r="G66" s="31"/>
    </row>
    <row r="67" spans="1:11" ht="15" customHeight="1" x14ac:dyDescent="0.25">
      <c r="A67" s="223" t="str">
        <f>'T17'!A13</f>
        <v>2018-19</v>
      </c>
      <c r="B67" s="578">
        <f t="shared" si="15"/>
        <v>0.98745597481103231</v>
      </c>
      <c r="C67" s="578">
        <f t="shared" si="16"/>
        <v>1.8060166917278058</v>
      </c>
      <c r="D67" s="579">
        <f t="shared" si="17"/>
        <v>2.7934726665388379</v>
      </c>
      <c r="E67" s="579">
        <f t="shared" si="18"/>
        <v>1.5157380589559093</v>
      </c>
      <c r="F67" s="128">
        <f>'T17'!H13</f>
        <v>2477275</v>
      </c>
      <c r="G67" s="31"/>
    </row>
    <row r="68" spans="1:11" ht="15" customHeight="1" x14ac:dyDescent="0.25">
      <c r="A68" s="223" t="str">
        <f>'T17'!A14</f>
        <v>2019-20</v>
      </c>
      <c r="B68" s="578">
        <f t="shared" si="15"/>
        <v>0.89304354063093672</v>
      </c>
      <c r="C68" s="578">
        <f t="shared" si="16"/>
        <v>1.880893067582724</v>
      </c>
      <c r="D68" s="579">
        <f t="shared" si="17"/>
        <v>2.7739366082136603</v>
      </c>
      <c r="E68" s="579">
        <f t="shared" si="18"/>
        <v>1.3866277077908</v>
      </c>
      <c r="F68" s="128">
        <f>'T17'!H14</f>
        <v>2495623</v>
      </c>
      <c r="G68" s="31"/>
    </row>
    <row r="69" spans="1:11" x14ac:dyDescent="0.25">
      <c r="A69" s="281"/>
      <c r="B69" s="297"/>
      <c r="C69" s="297"/>
      <c r="D69" s="299"/>
      <c r="E69" s="298"/>
      <c r="F69" s="282"/>
      <c r="G69" s="31"/>
    </row>
    <row r="70" spans="1:11" x14ac:dyDescent="0.25">
      <c r="A70" s="530" t="s">
        <v>8</v>
      </c>
      <c r="B70" s="498"/>
      <c r="C70" s="498"/>
      <c r="D70" s="498"/>
      <c r="E70" s="498"/>
      <c r="F70" s="498"/>
      <c r="G70" s="498"/>
    </row>
    <row r="71" spans="1:11" x14ac:dyDescent="0.25">
      <c r="A71" s="829" t="s">
        <v>823</v>
      </c>
      <c r="B71" s="615"/>
      <c r="C71" s="615"/>
      <c r="D71" s="615"/>
      <c r="E71" s="615"/>
      <c r="F71" s="615"/>
      <c r="G71" s="615"/>
      <c r="K71" s="223"/>
    </row>
    <row r="72" spans="1:11" x14ac:dyDescent="0.25">
      <c r="A72" s="772" t="s">
        <v>824</v>
      </c>
      <c r="B72" s="532"/>
      <c r="C72" s="613"/>
      <c r="D72" s="613"/>
      <c r="E72" s="613"/>
      <c r="F72" s="613"/>
      <c r="G72" s="534"/>
      <c r="K72" s="223"/>
    </row>
    <row r="73" spans="1:11" x14ac:dyDescent="0.25">
      <c r="K73" s="223"/>
    </row>
    <row r="74" spans="1:11" x14ac:dyDescent="0.25">
      <c r="K74" s="223"/>
    </row>
    <row r="75" spans="1:11" x14ac:dyDescent="0.25">
      <c r="J75" s="223"/>
      <c r="K75" s="223"/>
    </row>
    <row r="76" spans="1:11" x14ac:dyDescent="0.25">
      <c r="J76" s="223"/>
      <c r="K76" s="223"/>
    </row>
    <row r="77" spans="1:11" x14ac:dyDescent="0.25">
      <c r="J77" s="223"/>
      <c r="K77" s="223"/>
    </row>
    <row r="78" spans="1:11" x14ac:dyDescent="0.25">
      <c r="A78" s="521"/>
      <c r="J78" s="223"/>
    </row>
    <row r="79" spans="1:11" x14ac:dyDescent="0.25">
      <c r="A79" s="483"/>
      <c r="J79" s="223"/>
    </row>
    <row r="80" spans="1:11" x14ac:dyDescent="0.25">
      <c r="J80" s="223"/>
    </row>
    <row r="81" spans="10:10" x14ac:dyDescent="0.25">
      <c r="J81" s="223"/>
    </row>
    <row r="82" spans="10:10" x14ac:dyDescent="0.25">
      <c r="J82" s="223"/>
    </row>
  </sheetData>
  <sheetProtection algorithmName="SHA-512" hashValue="OAJna/H6yAgSak+1F+6Ow42BdhDIeWMDKcQ+B35xFiuf1zKfmCts9LtjkCv5/Q1Rh7hsxgN3j4sZo2RbU0hZZA==" saltValue="TXWXSPL4cqMJ0g4L1Z7HLw==" spinCount="100000" sheet="1" scenarios="1" formatCells="0" formatColumns="0" formatRows="0" sort="0" autoFilter="0" pivotTables="0"/>
  <mergeCells count="8">
    <mergeCell ref="A54:F54"/>
    <mergeCell ref="F8:G8"/>
    <mergeCell ref="A21:D21"/>
    <mergeCell ref="A35:H35"/>
    <mergeCell ref="A25:D25"/>
    <mergeCell ref="A31:H31"/>
    <mergeCell ref="A32:H32"/>
    <mergeCell ref="A30:H30"/>
  </mergeCells>
  <hyperlinks>
    <hyperlink ref="A71:G71" r:id="rId1" display="https://www.nrscotland.gov.uk/statistics-and-data/statistics/statistics-by-theme/households/household-estimates/2016/list-of-tables"/>
    <hyperlink ref="A2" location="'Table of Contents'!A1" display="Back to Table of Contents"/>
    <hyperlink ref="A72" r:id="rId2"/>
  </hyperlinks>
  <pageMargins left="0.70866141732283472" right="0.70866141732283472" top="0.74803149606299213" bottom="0.74803149606299213" header="0.31496062992125984" footer="0.31496062992125984"/>
  <pageSetup paperSize="9" scale="61" orientation="portrait"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0"/>
  <sheetViews>
    <sheetView showGridLines="0" workbookViewId="0">
      <pane ySplit="2" topLeftCell="A3" activePane="bottomLeft" state="frozen"/>
      <selection pane="bottomLeft"/>
    </sheetView>
  </sheetViews>
  <sheetFormatPr defaultRowHeight="15" x14ac:dyDescent="0.25"/>
  <cols>
    <col min="1" max="1" width="18" customWidth="1"/>
    <col min="2" max="4" width="13.42578125" customWidth="1"/>
    <col min="5" max="5" width="16.7109375" bestFit="1" customWidth="1"/>
    <col min="6" max="6" width="17.140625" customWidth="1"/>
  </cols>
  <sheetData>
    <row r="1" spans="1:11" ht="15.75" x14ac:dyDescent="0.25">
      <c r="A1" s="802" t="s">
        <v>605</v>
      </c>
      <c r="B1" s="802"/>
      <c r="C1" s="802"/>
    </row>
    <row r="2" spans="1:11" ht="15.75" x14ac:dyDescent="0.25">
      <c r="A2" s="772" t="s">
        <v>578</v>
      </c>
      <c r="B2" s="774"/>
      <c r="C2" s="774"/>
    </row>
    <row r="3" spans="1:11" x14ac:dyDescent="0.25">
      <c r="A3" s="31"/>
      <c r="B3" s="31"/>
      <c r="C3" s="31"/>
      <c r="D3" s="31"/>
      <c r="E3" s="31"/>
      <c r="F3" s="31"/>
      <c r="G3" s="31"/>
      <c r="H3" s="31"/>
      <c r="I3" s="31"/>
      <c r="J3" s="31"/>
      <c r="K3" s="31"/>
    </row>
    <row r="4" spans="1:11" ht="15.75" x14ac:dyDescent="0.25">
      <c r="A4" s="1116" t="s">
        <v>608</v>
      </c>
      <c r="B4" s="1116"/>
      <c r="C4" s="1116"/>
      <c r="D4" s="1116"/>
      <c r="E4" s="1116"/>
      <c r="F4" s="1116"/>
      <c r="G4" s="1116"/>
      <c r="H4" s="1116"/>
      <c r="I4" s="1116"/>
      <c r="J4" s="1116"/>
      <c r="K4" s="1116"/>
    </row>
    <row r="5" spans="1:11" ht="15.75" x14ac:dyDescent="0.25">
      <c r="A5" t="s">
        <v>363</v>
      </c>
      <c r="B5" t="s">
        <v>774</v>
      </c>
      <c r="C5" s="778"/>
      <c r="D5" s="778"/>
      <c r="E5" s="778"/>
      <c r="F5" s="778"/>
      <c r="G5" s="778"/>
      <c r="H5" s="778"/>
      <c r="I5" s="778"/>
      <c r="J5" s="778"/>
      <c r="K5" s="778"/>
    </row>
    <row r="6" spans="1:11" ht="15.75" x14ac:dyDescent="0.25">
      <c r="A6" t="s">
        <v>364</v>
      </c>
      <c r="B6" t="s">
        <v>366</v>
      </c>
      <c r="C6" s="778"/>
      <c r="D6" s="778"/>
      <c r="E6" s="778"/>
      <c r="F6" s="778"/>
      <c r="G6" s="778"/>
      <c r="H6" s="778"/>
      <c r="I6" s="778"/>
      <c r="J6" s="778"/>
      <c r="K6" s="778"/>
    </row>
    <row r="7" spans="1:11" ht="15.75" x14ac:dyDescent="0.25">
      <c r="A7" t="s">
        <v>365</v>
      </c>
      <c r="B7" t="s">
        <v>606</v>
      </c>
      <c r="C7" s="778"/>
      <c r="D7" s="778"/>
      <c r="E7" s="778"/>
      <c r="F7" s="778"/>
      <c r="G7" s="778"/>
      <c r="H7" s="778"/>
      <c r="I7" s="778"/>
      <c r="J7" s="778"/>
      <c r="K7" s="778"/>
    </row>
    <row r="8" spans="1:11" ht="15.75" x14ac:dyDescent="0.25">
      <c r="C8" s="778"/>
      <c r="D8" s="778"/>
      <c r="E8" s="778"/>
      <c r="F8" s="778"/>
      <c r="G8" s="778"/>
      <c r="H8" s="778"/>
      <c r="I8" s="778"/>
      <c r="J8" s="778"/>
      <c r="K8" s="778"/>
    </row>
    <row r="9" spans="1:11" x14ac:dyDescent="0.25">
      <c r="B9" s="419"/>
      <c r="C9" s="664" t="s">
        <v>610</v>
      </c>
      <c r="D9" s="664"/>
      <c r="F9" s="1042"/>
    </row>
    <row r="10" spans="1:11" s="689" customFormat="1" ht="63.75" customHeight="1" x14ac:dyDescent="0.25">
      <c r="A10" s="419" t="s">
        <v>1</v>
      </c>
      <c r="B10" s="834" t="s">
        <v>611</v>
      </c>
      <c r="C10" s="835" t="s">
        <v>399</v>
      </c>
      <c r="D10" s="835" t="s">
        <v>400</v>
      </c>
      <c r="E10" s="834" t="s">
        <v>401</v>
      </c>
      <c r="F10" s="1037" t="s">
        <v>612</v>
      </c>
      <c r="G10"/>
    </row>
    <row r="11" spans="1:11" x14ac:dyDescent="0.25">
      <c r="A11" t="str">
        <f>T17dv!$A5</f>
        <v>2013-14</v>
      </c>
      <c r="B11" s="156">
        <f>T17dv!C5</f>
        <v>66828</v>
      </c>
      <c r="C11" s="840"/>
      <c r="D11" s="840"/>
      <c r="E11" s="841"/>
      <c r="F11" s="1038"/>
    </row>
    <row r="12" spans="1:11" x14ac:dyDescent="0.25">
      <c r="A12" t="str">
        <f>T17dv!$A6</f>
        <v>2014-15</v>
      </c>
      <c r="B12" s="156">
        <f>T17dv!C6</f>
        <v>63640</v>
      </c>
      <c r="C12" s="840"/>
      <c r="D12" s="840"/>
      <c r="E12" s="842"/>
      <c r="F12" s="1039"/>
    </row>
    <row r="13" spans="1:11" x14ac:dyDescent="0.25">
      <c r="A13" t="str">
        <f>T17dv!$A7</f>
        <v>2015-16</v>
      </c>
      <c r="B13" s="156">
        <f>T17dv!C7</f>
        <v>69038</v>
      </c>
      <c r="C13" s="156">
        <f>T17dv!D7</f>
        <v>176331</v>
      </c>
      <c r="D13" s="840"/>
      <c r="E13" s="842"/>
      <c r="F13" s="1039"/>
    </row>
    <row r="14" spans="1:11" x14ac:dyDescent="0.25">
      <c r="A14" t="str">
        <f>T17dv!$A8</f>
        <v>2016-17</v>
      </c>
      <c r="B14" s="156">
        <f>T17dv!C8</f>
        <v>68202</v>
      </c>
      <c r="C14" s="156">
        <f>T17dv!D8</f>
        <v>177208</v>
      </c>
      <c r="D14" s="840"/>
      <c r="E14" s="838">
        <f>T17dv!$F8</f>
        <v>45412</v>
      </c>
      <c r="F14" s="1040">
        <f>E14/HFSVs!D16</f>
        <v>0.64140337000889813</v>
      </c>
    </row>
    <row r="15" spans="1:11" x14ac:dyDescent="0.25">
      <c r="A15" t="str">
        <f>T17dv!$A9</f>
        <v>2017-18</v>
      </c>
      <c r="B15" s="156">
        <f>T17dv!C9</f>
        <v>67131</v>
      </c>
      <c r="C15" s="156">
        <f>T17dv!D9</f>
        <v>180398</v>
      </c>
      <c r="D15" s="156">
        <f>T17dv!E9</f>
        <v>264044</v>
      </c>
      <c r="E15" s="838">
        <f>T17dv!$F9</f>
        <v>45808</v>
      </c>
      <c r="F15" s="1040">
        <f>E15/HFSVs!D17</f>
        <v>0.6559837321533416</v>
      </c>
    </row>
    <row r="16" spans="1:11" x14ac:dyDescent="0.25">
      <c r="A16" t="str">
        <f>T17dv!$A10</f>
        <v>2018-19</v>
      </c>
      <c r="B16" s="156">
        <f>T17dv!C10</f>
        <v>66180</v>
      </c>
      <c r="C16" s="156">
        <f>T17dv!D10</f>
        <v>176578</v>
      </c>
      <c r="D16" s="156">
        <f>T17dv!E10</f>
        <v>267536</v>
      </c>
      <c r="E16" s="838">
        <f>T17dv!$F10</f>
        <v>47304</v>
      </c>
      <c r="F16" s="1040">
        <f>E16/HFSVs!D18</f>
        <v>0.68356405884223004</v>
      </c>
    </row>
    <row r="17" spans="1:11" ht="15.75" thickBot="1" x14ac:dyDescent="0.3">
      <c r="A17" s="480" t="str">
        <f>T17dv!$A11</f>
        <v>2019-20</v>
      </c>
      <c r="B17" s="837">
        <f>T17dv!C11</f>
        <v>66048</v>
      </c>
      <c r="C17" s="837">
        <f>T17dv!D11</f>
        <v>174608</v>
      </c>
      <c r="D17" s="837">
        <f>T17dv!E11</f>
        <v>272382</v>
      </c>
      <c r="E17" s="839">
        <f>T17dv!$F11</f>
        <v>47476</v>
      </c>
      <c r="F17" s="1041">
        <f>E17/HFSVs!D19</f>
        <v>0.68580178254149393</v>
      </c>
    </row>
    <row r="19" spans="1:11" x14ac:dyDescent="0.25">
      <c r="A19" s="437" t="s">
        <v>8</v>
      </c>
    </row>
    <row r="20" spans="1:11" ht="45" customHeight="1" x14ac:dyDescent="0.25">
      <c r="A20" s="1076" t="s">
        <v>826</v>
      </c>
      <c r="B20" s="1076"/>
      <c r="C20" s="1076"/>
      <c r="D20" s="1076"/>
      <c r="E20" s="1076"/>
      <c r="F20" s="1076"/>
    </row>
    <row r="21" spans="1:11" x14ac:dyDescent="0.25">
      <c r="A21" t="s">
        <v>825</v>
      </c>
    </row>
    <row r="22" spans="1:11" ht="30.75" customHeight="1" x14ac:dyDescent="0.25">
      <c r="A22" s="1076" t="s">
        <v>1065</v>
      </c>
      <c r="B22" s="1076"/>
      <c r="C22" s="1076"/>
      <c r="D22" s="1076"/>
      <c r="E22" s="1076"/>
      <c r="F22" s="1076"/>
    </row>
    <row r="24" spans="1:11" ht="15.75" x14ac:dyDescent="0.25">
      <c r="A24" s="1116" t="s">
        <v>609</v>
      </c>
      <c r="B24" s="1116"/>
      <c r="C24" s="1116"/>
      <c r="D24" s="1116"/>
      <c r="E24" s="1116"/>
      <c r="F24" s="1116"/>
      <c r="G24" s="1116"/>
      <c r="H24" s="1116"/>
      <c r="I24" s="1116"/>
      <c r="J24" s="1116"/>
      <c r="K24" s="1116"/>
    </row>
    <row r="25" spans="1:11" ht="15.75" x14ac:dyDescent="0.25">
      <c r="A25" t="s">
        <v>363</v>
      </c>
      <c r="B25" t="s">
        <v>775</v>
      </c>
      <c r="C25" s="778"/>
      <c r="D25" s="778"/>
      <c r="E25" s="778"/>
      <c r="F25" s="778"/>
      <c r="G25" s="778"/>
      <c r="H25" s="778"/>
      <c r="I25" s="778"/>
      <c r="J25" s="778"/>
      <c r="K25" s="778"/>
    </row>
    <row r="26" spans="1:11" ht="15.75" x14ac:dyDescent="0.25">
      <c r="A26" t="s">
        <v>364</v>
      </c>
      <c r="B26" t="s">
        <v>366</v>
      </c>
      <c r="C26" s="778"/>
      <c r="D26" s="778"/>
      <c r="E26" s="778"/>
      <c r="F26" s="778"/>
      <c r="G26" s="778"/>
      <c r="H26" s="778"/>
      <c r="I26" s="778"/>
      <c r="J26" s="778"/>
      <c r="K26" s="778"/>
    </row>
    <row r="27" spans="1:11" ht="15.75" x14ac:dyDescent="0.25">
      <c r="A27" t="s">
        <v>365</v>
      </c>
      <c r="B27" t="s">
        <v>606</v>
      </c>
      <c r="C27" s="778"/>
      <c r="D27" s="778"/>
      <c r="E27" s="778"/>
      <c r="F27" s="778"/>
      <c r="G27" s="778"/>
      <c r="H27" s="778"/>
      <c r="I27" s="778"/>
      <c r="J27" s="778"/>
      <c r="K27" s="778"/>
    </row>
    <row r="29" spans="1:11" ht="30.75" customHeight="1" x14ac:dyDescent="0.25">
      <c r="B29" s="1129" t="s">
        <v>613</v>
      </c>
      <c r="C29" s="1129"/>
      <c r="D29" s="1129"/>
    </row>
    <row r="30" spans="1:11" ht="30" x14ac:dyDescent="0.25">
      <c r="A30" s="833" t="s">
        <v>1</v>
      </c>
      <c r="B30" s="846" t="s">
        <v>398</v>
      </c>
      <c r="C30" s="833" t="s">
        <v>399</v>
      </c>
      <c r="D30" s="833" t="s">
        <v>400</v>
      </c>
    </row>
    <row r="31" spans="1:11" x14ac:dyDescent="0.25">
      <c r="A31" t="str">
        <f>T17dv!$A12</f>
        <v>2013-14</v>
      </c>
      <c r="B31" s="156">
        <f>T17dv!C12</f>
        <v>29094</v>
      </c>
      <c r="C31" s="840"/>
      <c r="D31" s="843"/>
    </row>
    <row r="32" spans="1:11" x14ac:dyDescent="0.25">
      <c r="A32" t="str">
        <f>T17dv!$A13</f>
        <v>2014-15</v>
      </c>
      <c r="B32" s="156">
        <f>T17dv!C13</f>
        <v>26541</v>
      </c>
      <c r="C32" s="840"/>
      <c r="D32" s="843"/>
    </row>
    <row r="33" spans="1:6" x14ac:dyDescent="0.25">
      <c r="A33" t="str">
        <f>T17dv!$A14</f>
        <v>2015-16</v>
      </c>
      <c r="B33" s="156">
        <f>T17dv!C14</f>
        <v>27846</v>
      </c>
      <c r="C33" s="156">
        <f>T17dv!D14</f>
        <v>79298</v>
      </c>
      <c r="D33" s="843"/>
    </row>
    <row r="34" spans="1:6" x14ac:dyDescent="0.25">
      <c r="A34" t="str">
        <f>T17dv!$A15</f>
        <v>2016-17</v>
      </c>
      <c r="B34" s="156">
        <f>T17dv!C15</f>
        <v>28400</v>
      </c>
      <c r="C34" s="156">
        <f>T17dv!D15</f>
        <v>78665</v>
      </c>
      <c r="D34" s="843"/>
    </row>
    <row r="35" spans="1:6" x14ac:dyDescent="0.25">
      <c r="A35" t="str">
        <f>T17dv!$A16</f>
        <v>2017-18</v>
      </c>
      <c r="B35" s="156">
        <f>T17dv!C16</f>
        <v>27184</v>
      </c>
      <c r="C35" s="156">
        <f>T17dv!D16</f>
        <v>79049</v>
      </c>
      <c r="D35" s="844">
        <f>T17dv!E16</f>
        <v>121558</v>
      </c>
    </row>
    <row r="36" spans="1:6" x14ac:dyDescent="0.25">
      <c r="A36" t="str">
        <f>T17dv!$A17</f>
        <v>2018-19</v>
      </c>
      <c r="B36" s="156">
        <f>T17dv!C17</f>
        <v>23995</v>
      </c>
      <c r="C36" s="156">
        <f>T17dv!D17</f>
        <v>75250</v>
      </c>
      <c r="D36" s="844">
        <f>T17dv!E17</f>
        <v>119658</v>
      </c>
    </row>
    <row r="37" spans="1:6" ht="15.75" thickBot="1" x14ac:dyDescent="0.3">
      <c r="A37" s="480" t="str">
        <f>T17dv!$A18</f>
        <v>2019-20</v>
      </c>
      <c r="B37" s="837">
        <f>T17dv!C18</f>
        <v>21864</v>
      </c>
      <c r="C37" s="837">
        <f>T17dv!D18</f>
        <v>69788</v>
      </c>
      <c r="D37" s="845">
        <f>T17dv!E18</f>
        <v>117386</v>
      </c>
    </row>
    <row r="39" spans="1:6" x14ac:dyDescent="0.25">
      <c r="A39" s="437" t="s">
        <v>8</v>
      </c>
    </row>
    <row r="40" spans="1:6" ht="45" customHeight="1" x14ac:dyDescent="0.25">
      <c r="A40" s="1076" t="s">
        <v>827</v>
      </c>
      <c r="B40" s="1076"/>
      <c r="C40" s="1076"/>
      <c r="D40" s="1076"/>
      <c r="E40" s="1076"/>
      <c r="F40" s="1076"/>
    </row>
  </sheetData>
  <sheetProtection algorithmName="SHA-512" hashValue="KRb0e4RhRq53XNgftnPzoar/usG2JhL2QnhZ5xHYQKOdh8ZvIyiEJ3mwf9Hkcbc2eSUw6Uw3DD3JKzPDVnCuzw==" saltValue="gPZ8rL71y3saTp+JHolg7A==" spinCount="100000" sheet="1" scenarios="1" formatCells="0" formatColumns="0" formatRows="0" sort="0" autoFilter="0" pivotTables="0"/>
  <mergeCells count="6">
    <mergeCell ref="A4:K4"/>
    <mergeCell ref="A24:K24"/>
    <mergeCell ref="B29:D29"/>
    <mergeCell ref="A20:F20"/>
    <mergeCell ref="A40:F40"/>
    <mergeCell ref="A22:F22"/>
  </mergeCells>
  <hyperlinks>
    <hyperlink ref="A2" location="'Table of Contents'!A1" display="Back to Table of Contents"/>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0"/>
  <sheetViews>
    <sheetView showGridLines="0" workbookViewId="0">
      <pane ySplit="2" topLeftCell="A3" activePane="bottomLeft" state="frozen"/>
      <selection pane="bottomLeft"/>
    </sheetView>
  </sheetViews>
  <sheetFormatPr defaultRowHeight="15" x14ac:dyDescent="0.25"/>
  <cols>
    <col min="1" max="1" width="17.42578125" customWidth="1"/>
    <col min="2" max="5" width="11.42578125" customWidth="1"/>
  </cols>
  <sheetData>
    <row r="1" spans="1:11" ht="15.75" x14ac:dyDescent="0.25">
      <c r="A1" s="802" t="s">
        <v>605</v>
      </c>
      <c r="B1" s="802"/>
      <c r="C1" s="802"/>
    </row>
    <row r="2" spans="1:11" ht="15.75" x14ac:dyDescent="0.25">
      <c r="A2" s="772" t="s">
        <v>578</v>
      </c>
      <c r="B2" s="774"/>
      <c r="C2" s="774"/>
    </row>
    <row r="3" spans="1:11" x14ac:dyDescent="0.25">
      <c r="A3" s="31"/>
      <c r="B3" s="31"/>
      <c r="C3" s="31"/>
      <c r="D3" s="31"/>
      <c r="E3" s="31"/>
      <c r="F3" s="31"/>
      <c r="G3" s="31"/>
      <c r="H3" s="31"/>
      <c r="I3" s="31"/>
      <c r="J3" s="31"/>
      <c r="K3" s="31"/>
    </row>
    <row r="4" spans="1:11" ht="15.75" customHeight="1" x14ac:dyDescent="0.25">
      <c r="A4" s="850" t="s">
        <v>614</v>
      </c>
      <c r="B4" s="850"/>
      <c r="C4" s="850"/>
      <c r="D4" s="850"/>
      <c r="E4" s="850"/>
      <c r="F4" s="850"/>
      <c r="G4" s="850"/>
      <c r="H4" s="850"/>
      <c r="I4" s="850"/>
      <c r="J4" s="850"/>
      <c r="K4" s="850"/>
    </row>
    <row r="5" spans="1:11" ht="15.75" x14ac:dyDescent="0.25">
      <c r="A5" t="s">
        <v>363</v>
      </c>
      <c r="B5" t="s">
        <v>776</v>
      </c>
      <c r="C5" s="778"/>
      <c r="D5" s="778"/>
      <c r="E5" s="778"/>
      <c r="F5" s="778"/>
      <c r="G5" s="778"/>
      <c r="H5" s="778"/>
      <c r="I5" s="778"/>
      <c r="J5" s="778"/>
      <c r="K5" s="778"/>
    </row>
    <row r="6" spans="1:11" ht="15.75" x14ac:dyDescent="0.25">
      <c r="A6" t="s">
        <v>364</v>
      </c>
      <c r="B6" t="s">
        <v>366</v>
      </c>
      <c r="C6" s="778"/>
      <c r="D6" s="778"/>
      <c r="E6" s="778"/>
      <c r="F6" s="778"/>
      <c r="G6" s="778"/>
      <c r="H6" s="778"/>
      <c r="I6" s="778"/>
      <c r="J6" s="778"/>
      <c r="K6" s="778"/>
    </row>
    <row r="7" spans="1:11" ht="15.75" x14ac:dyDescent="0.25">
      <c r="A7" t="s">
        <v>365</v>
      </c>
      <c r="B7" t="s">
        <v>606</v>
      </c>
      <c r="C7" s="778"/>
      <c r="D7" s="778"/>
      <c r="E7" s="778"/>
      <c r="F7" s="778"/>
      <c r="G7" s="778"/>
      <c r="H7" s="778"/>
      <c r="I7" s="778"/>
      <c r="J7" s="778"/>
      <c r="K7" s="778"/>
    </row>
    <row r="9" spans="1:11" x14ac:dyDescent="0.25">
      <c r="B9" s="419"/>
      <c r="C9" s="847" t="s">
        <v>491</v>
      </c>
      <c r="D9" s="419"/>
    </row>
    <row r="10" spans="1:11" s="689" customFormat="1" ht="30" customHeight="1" x14ac:dyDescent="0.25">
      <c r="A10" s="833" t="s">
        <v>1</v>
      </c>
      <c r="B10" s="833" t="s">
        <v>398</v>
      </c>
      <c r="C10" s="833" t="s">
        <v>399</v>
      </c>
      <c r="D10" s="833" t="s">
        <v>400</v>
      </c>
      <c r="E10"/>
    </row>
    <row r="11" spans="1:11" x14ac:dyDescent="0.25">
      <c r="A11" t="str">
        <f>T17dv!$A5</f>
        <v>2013-14</v>
      </c>
      <c r="B11" s="618">
        <f>T17dv!J5/100</f>
        <v>2.7800000000000002E-2</v>
      </c>
      <c r="C11" s="848"/>
      <c r="D11" s="848"/>
    </row>
    <row r="12" spans="1:11" x14ac:dyDescent="0.25">
      <c r="A12" t="str">
        <f>T17dv!$A6</f>
        <v>2014-15</v>
      </c>
      <c r="B12" s="618">
        <f>T17dv!J6/100</f>
        <v>2.63E-2</v>
      </c>
      <c r="C12" s="848"/>
      <c r="D12" s="848"/>
    </row>
    <row r="13" spans="1:11" x14ac:dyDescent="0.25">
      <c r="A13" t="str">
        <f>T17dv!$A7</f>
        <v>2015-16</v>
      </c>
      <c r="B13" s="618">
        <f>T17dv!J7/100</f>
        <v>2.8399999999999998E-2</v>
      </c>
      <c r="C13" s="618">
        <f>T17dv!K7/100</f>
        <v>7.2999999999999995E-2</v>
      </c>
      <c r="D13" s="848"/>
    </row>
    <row r="14" spans="1:11" x14ac:dyDescent="0.25">
      <c r="A14" t="str">
        <f>T17dv!$A8</f>
        <v>2016-17</v>
      </c>
      <c r="B14" s="618">
        <f>T17dv!J8/100</f>
        <v>2.7900000000000001E-2</v>
      </c>
      <c r="C14" s="618">
        <f>T17dv!K8/100</f>
        <v>7.2900000000000006E-2</v>
      </c>
      <c r="D14" s="848"/>
    </row>
    <row r="15" spans="1:11" x14ac:dyDescent="0.25">
      <c r="A15" t="str">
        <f>T17dv!$A9</f>
        <v>2017-18</v>
      </c>
      <c r="B15" s="618">
        <f>T17dv!J9/100</f>
        <v>2.7300000000000001E-2</v>
      </c>
      <c r="C15" s="618">
        <f>T17dv!K9/100</f>
        <v>7.3700000000000002E-2</v>
      </c>
      <c r="D15" s="618">
        <f>T17dv!L9/100</f>
        <v>0.1079</v>
      </c>
    </row>
    <row r="16" spans="1:11" x14ac:dyDescent="0.25">
      <c r="A16" t="str">
        <f>T17dv!$A10</f>
        <v>2018-19</v>
      </c>
      <c r="B16" s="618">
        <f>T17dv!J10/100</f>
        <v>2.6699999999999998E-2</v>
      </c>
      <c r="C16" s="618">
        <f>T17dv!K10/100</f>
        <v>7.17E-2</v>
      </c>
      <c r="D16" s="618">
        <f>T17dv!L10/100</f>
        <v>0.10869999999999999</v>
      </c>
    </row>
    <row r="17" spans="1:11" ht="15.75" thickBot="1" x14ac:dyDescent="0.3">
      <c r="A17" s="480" t="str">
        <f>T17dv!$A11</f>
        <v>2019-20</v>
      </c>
      <c r="B17" s="836">
        <f>T17dv!J11/100</f>
        <v>2.6499999999999999E-2</v>
      </c>
      <c r="C17" s="836">
        <f>T17dv!K11/100</f>
        <v>7.0400000000000004E-2</v>
      </c>
      <c r="D17" s="836">
        <f>T17dv!L11/100</f>
        <v>0.1099</v>
      </c>
    </row>
    <row r="19" spans="1:11" x14ac:dyDescent="0.25">
      <c r="A19" s="437" t="s">
        <v>8</v>
      </c>
    </row>
    <row r="20" spans="1:11" ht="30" customHeight="1" x14ac:dyDescent="0.25">
      <c r="A20" s="1076" t="s">
        <v>828</v>
      </c>
      <c r="B20" s="1076"/>
      <c r="C20" s="1076"/>
      <c r="D20" s="1076"/>
      <c r="E20" s="1076"/>
      <c r="F20" s="1076"/>
      <c r="G20" s="1076"/>
      <c r="H20" s="1076"/>
      <c r="I20" s="1076"/>
    </row>
    <row r="21" spans="1:11" x14ac:dyDescent="0.25">
      <c r="A21" s="772" t="s">
        <v>824</v>
      </c>
    </row>
    <row r="23" spans="1:11" ht="15.75" customHeight="1" x14ac:dyDescent="0.25">
      <c r="A23" s="850" t="s">
        <v>667</v>
      </c>
      <c r="B23" s="850"/>
      <c r="C23" s="850"/>
      <c r="D23" s="850"/>
      <c r="E23" s="850"/>
      <c r="F23" s="850"/>
      <c r="G23" s="850"/>
      <c r="H23" s="850"/>
      <c r="I23" s="850"/>
      <c r="J23" s="850"/>
      <c r="K23" s="850"/>
    </row>
    <row r="24" spans="1:11" ht="15.75" x14ac:dyDescent="0.25">
      <c r="A24" t="s">
        <v>363</v>
      </c>
      <c r="B24" t="s">
        <v>777</v>
      </c>
      <c r="C24" s="778"/>
      <c r="D24" s="778"/>
      <c r="E24" s="778"/>
      <c r="F24" s="778"/>
      <c r="G24" s="778"/>
      <c r="H24" s="778"/>
      <c r="I24" s="778"/>
      <c r="J24" s="778"/>
      <c r="K24" s="778"/>
    </row>
    <row r="25" spans="1:11" ht="15.75" x14ac:dyDescent="0.25">
      <c r="A25" t="s">
        <v>364</v>
      </c>
      <c r="B25" t="s">
        <v>366</v>
      </c>
      <c r="C25" s="778"/>
      <c r="D25" s="778"/>
      <c r="E25" s="778"/>
      <c r="F25" s="778"/>
      <c r="G25" s="778"/>
      <c r="H25" s="778"/>
      <c r="I25" s="778"/>
      <c r="J25" s="778"/>
      <c r="K25" s="778"/>
    </row>
    <row r="26" spans="1:11" ht="15.75" x14ac:dyDescent="0.25">
      <c r="A26" t="s">
        <v>365</v>
      </c>
      <c r="B26" t="s">
        <v>606</v>
      </c>
      <c r="C26" s="778"/>
      <c r="D26" s="778"/>
      <c r="E26" s="778"/>
      <c r="F26" s="778"/>
      <c r="G26" s="778"/>
      <c r="H26" s="778"/>
      <c r="I26" s="778"/>
      <c r="J26" s="778"/>
      <c r="K26" s="778"/>
    </row>
    <row r="28" spans="1:11" ht="29.25" customHeight="1" x14ac:dyDescent="0.25">
      <c r="B28" s="1130" t="s">
        <v>492</v>
      </c>
      <c r="C28" s="1130"/>
      <c r="D28" s="1130"/>
    </row>
    <row r="29" spans="1:11" ht="30" x14ac:dyDescent="0.25">
      <c r="A29" s="833" t="s">
        <v>1</v>
      </c>
      <c r="B29" s="833" t="s">
        <v>398</v>
      </c>
      <c r="C29" s="833" t="s">
        <v>399</v>
      </c>
      <c r="D29" s="833" t="s">
        <v>400</v>
      </c>
    </row>
    <row r="30" spans="1:11" x14ac:dyDescent="0.25">
      <c r="A30" t="s">
        <v>204</v>
      </c>
      <c r="B30" s="618">
        <f>T17dv!J12/100</f>
        <v>1.21E-2</v>
      </c>
      <c r="C30" s="848"/>
      <c r="D30" s="848"/>
    </row>
    <row r="31" spans="1:11" x14ac:dyDescent="0.25">
      <c r="A31" t="s">
        <v>203</v>
      </c>
      <c r="B31" s="618">
        <f>T17dv!J13/100</f>
        <v>1.1000000000000001E-2</v>
      </c>
      <c r="C31" s="848"/>
      <c r="D31" s="848"/>
    </row>
    <row r="32" spans="1:11" x14ac:dyDescent="0.25">
      <c r="A32" t="s">
        <v>202</v>
      </c>
      <c r="B32" s="618">
        <f>T17dv!J14/100</f>
        <v>1.15E-2</v>
      </c>
      <c r="C32" s="618">
        <f>T17dv!K14/100</f>
        <v>3.2800000000000003E-2</v>
      </c>
      <c r="D32" s="848"/>
    </row>
    <row r="33" spans="1:9" x14ac:dyDescent="0.25">
      <c r="A33" t="s">
        <v>273</v>
      </c>
      <c r="B33" s="618">
        <f>T17dv!J15/100</f>
        <v>1.1599999999999999E-2</v>
      </c>
      <c r="C33" s="618">
        <f>T17dv!K15/100</f>
        <v>3.2400000000000005E-2</v>
      </c>
      <c r="D33" s="848"/>
      <c r="G33" s="618"/>
    </row>
    <row r="34" spans="1:9" x14ac:dyDescent="0.25">
      <c r="A34" t="s">
        <v>255</v>
      </c>
      <c r="B34" s="618">
        <f>T17dv!J16/100</f>
        <v>1.1000000000000001E-2</v>
      </c>
      <c r="C34" s="618">
        <f>T17dv!K16/100</f>
        <v>3.2300000000000002E-2</v>
      </c>
      <c r="D34" s="618">
        <f>T17dv!L16/100</f>
        <v>4.9699999999999994E-2</v>
      </c>
      <c r="G34" s="618"/>
    </row>
    <row r="35" spans="1:9" x14ac:dyDescent="0.25">
      <c r="A35" t="s">
        <v>254</v>
      </c>
      <c r="B35" s="618">
        <f>T17dv!J17/100</f>
        <v>9.7000000000000003E-3</v>
      </c>
      <c r="C35" s="618">
        <f>T17dv!K17/100</f>
        <v>3.0600000000000002E-2</v>
      </c>
      <c r="D35" s="618">
        <f>T17dv!L17/100</f>
        <v>4.8600000000000004E-2</v>
      </c>
      <c r="G35" s="618"/>
    </row>
    <row r="36" spans="1:9" ht="15.75" thickBot="1" x14ac:dyDescent="0.3">
      <c r="A36" s="480" t="s">
        <v>851</v>
      </c>
      <c r="B36" s="836">
        <f>T17dv!J18/100</f>
        <v>8.8000000000000005E-3</v>
      </c>
      <c r="C36" s="836">
        <f>T17dv!K18/100</f>
        <v>2.8199999999999999E-2</v>
      </c>
      <c r="D36" s="836">
        <f>T17dv!L18/100</f>
        <v>4.7400000000000005E-2</v>
      </c>
      <c r="G36" s="618"/>
    </row>
    <row r="37" spans="1:9" x14ac:dyDescent="0.25">
      <c r="G37" s="618"/>
    </row>
    <row r="38" spans="1:9" x14ac:dyDescent="0.25">
      <c r="A38" s="437" t="s">
        <v>8</v>
      </c>
      <c r="G38" s="618"/>
    </row>
    <row r="39" spans="1:9" ht="45" customHeight="1" x14ac:dyDescent="0.25">
      <c r="A39" s="1076" t="s">
        <v>829</v>
      </c>
      <c r="B39" s="1076"/>
      <c r="C39" s="1076"/>
      <c r="D39" s="1076"/>
      <c r="E39" s="1076"/>
      <c r="F39" s="1076"/>
      <c r="G39" s="1076"/>
      <c r="H39" s="1076"/>
      <c r="I39" s="1076"/>
    </row>
    <row r="40" spans="1:9" x14ac:dyDescent="0.25">
      <c r="A40" s="772" t="s">
        <v>824</v>
      </c>
    </row>
  </sheetData>
  <sheetProtection algorithmName="SHA-512" hashValue="mfpo9j1zVD5XzfPYjqC3gcwMJxybVVKsSVQmVwMlUs9IFV/UYsMp4s6eUhH/LrLFm/rkfUetfphvcZcJ6li0XA==" saltValue="gvWJ9mfcrYKmoD+G/OjOWQ==" spinCount="100000" sheet="1" scenarios="1" formatCells="0" formatColumns="0" formatRows="0" sort="0" autoFilter="0" pivotTables="0"/>
  <mergeCells count="3">
    <mergeCell ref="B28:D28"/>
    <mergeCell ref="A39:I39"/>
    <mergeCell ref="A20:I20"/>
  </mergeCells>
  <hyperlinks>
    <hyperlink ref="A2" location="'Table of Contents'!A1" display="Back to Table of Contents"/>
    <hyperlink ref="A21" r:id="rId1"/>
    <hyperlink ref="A40"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3:G111"/>
  <sheetViews>
    <sheetView topLeftCell="A37" workbookViewId="0">
      <selection activeCell="E54" sqref="E54"/>
    </sheetView>
  </sheetViews>
  <sheetFormatPr defaultRowHeight="15" x14ac:dyDescent="0.25"/>
  <cols>
    <col min="1" max="1" width="21.85546875" customWidth="1"/>
    <col min="2" max="2" width="18" customWidth="1"/>
    <col min="3" max="3" width="15.7109375" bestFit="1" customWidth="1"/>
    <col min="4" max="4" width="16.7109375" bestFit="1" customWidth="1"/>
    <col min="5" max="5" width="12" bestFit="1" customWidth="1"/>
    <col min="6" max="6" width="15.7109375" customWidth="1"/>
    <col min="7" max="7" width="12" bestFit="1" customWidth="1"/>
  </cols>
  <sheetData>
    <row r="3" spans="1:5" x14ac:dyDescent="0.25">
      <c r="A3" s="565" t="s">
        <v>329</v>
      </c>
      <c r="B3" t="s">
        <v>851</v>
      </c>
      <c r="C3" t="str">
        <f>B3</f>
        <v>2019-20</v>
      </c>
    </row>
    <row r="5" spans="1:5" x14ac:dyDescent="0.25">
      <c r="A5" s="565" t="s">
        <v>246</v>
      </c>
      <c r="B5" t="s">
        <v>330</v>
      </c>
      <c r="C5" t="s">
        <v>331</v>
      </c>
      <c r="D5" t="s">
        <v>332</v>
      </c>
      <c r="E5" t="s">
        <v>252</v>
      </c>
    </row>
    <row r="6" spans="1:5" x14ac:dyDescent="0.25">
      <c r="A6" s="1068" t="s">
        <v>31</v>
      </c>
      <c r="B6" s="567">
        <v>3</v>
      </c>
      <c r="C6" s="567">
        <v>1</v>
      </c>
      <c r="D6" s="567"/>
      <c r="E6" s="567">
        <v>4</v>
      </c>
    </row>
    <row r="7" spans="1:5" x14ac:dyDescent="0.25">
      <c r="A7" s="1068" t="s">
        <v>32</v>
      </c>
      <c r="B7" s="567">
        <v>1</v>
      </c>
      <c r="C7" s="567">
        <v>23</v>
      </c>
      <c r="D7" s="567"/>
      <c r="E7" s="567">
        <v>24</v>
      </c>
    </row>
    <row r="8" spans="1:5" x14ac:dyDescent="0.25">
      <c r="A8" s="1068" t="s">
        <v>33</v>
      </c>
      <c r="B8" s="567">
        <v>1</v>
      </c>
      <c r="C8" s="567">
        <v>5</v>
      </c>
      <c r="D8" s="567"/>
      <c r="E8" s="567">
        <v>6</v>
      </c>
    </row>
    <row r="9" spans="1:5" x14ac:dyDescent="0.25">
      <c r="A9" s="1068" t="s">
        <v>34</v>
      </c>
      <c r="B9" s="567">
        <v>2</v>
      </c>
      <c r="C9" s="567">
        <v>12</v>
      </c>
      <c r="D9" s="567">
        <v>25</v>
      </c>
      <c r="E9" s="567">
        <v>39</v>
      </c>
    </row>
    <row r="10" spans="1:5" x14ac:dyDescent="0.25">
      <c r="A10" s="1068" t="s">
        <v>258</v>
      </c>
      <c r="B10" s="567">
        <v>7</v>
      </c>
      <c r="C10" s="567">
        <v>1</v>
      </c>
      <c r="D10" s="567"/>
      <c r="E10" s="567">
        <v>8</v>
      </c>
    </row>
    <row r="11" spans="1:5" x14ac:dyDescent="0.25">
      <c r="A11" s="1068" t="s">
        <v>35</v>
      </c>
      <c r="B11" s="567">
        <v>1</v>
      </c>
      <c r="C11" s="567">
        <v>1</v>
      </c>
      <c r="D11" s="567"/>
      <c r="E11" s="567">
        <v>2</v>
      </c>
    </row>
    <row r="12" spans="1:5" x14ac:dyDescent="0.25">
      <c r="A12" s="1068" t="s">
        <v>36</v>
      </c>
      <c r="B12" s="567">
        <v>1</v>
      </c>
      <c r="C12" s="567">
        <v>15</v>
      </c>
      <c r="D12" s="567">
        <v>1</v>
      </c>
      <c r="E12" s="567">
        <v>17</v>
      </c>
    </row>
    <row r="13" spans="1:5" x14ac:dyDescent="0.25">
      <c r="A13" s="1068" t="s">
        <v>37</v>
      </c>
      <c r="B13" s="567">
        <v>4</v>
      </c>
      <c r="C13" s="567"/>
      <c r="D13" s="567"/>
      <c r="E13" s="567">
        <v>4</v>
      </c>
    </row>
    <row r="14" spans="1:5" x14ac:dyDescent="0.25">
      <c r="A14" s="1068" t="s">
        <v>38</v>
      </c>
      <c r="B14" s="567">
        <v>1</v>
      </c>
      <c r="C14" s="567">
        <v>7</v>
      </c>
      <c r="D14" s="567"/>
      <c r="E14" s="567">
        <v>8</v>
      </c>
    </row>
    <row r="15" spans="1:5" x14ac:dyDescent="0.25">
      <c r="A15" s="1068" t="s">
        <v>39</v>
      </c>
      <c r="B15" s="567">
        <v>3</v>
      </c>
      <c r="C15" s="567"/>
      <c r="D15" s="567"/>
      <c r="E15" s="567">
        <v>3</v>
      </c>
    </row>
    <row r="16" spans="1:5" x14ac:dyDescent="0.25">
      <c r="A16" s="1068" t="s">
        <v>40</v>
      </c>
      <c r="B16" s="567">
        <v>1</v>
      </c>
      <c r="C16" s="567">
        <v>5</v>
      </c>
      <c r="D16" s="567"/>
      <c r="E16" s="567">
        <v>6</v>
      </c>
    </row>
    <row r="17" spans="1:5" x14ac:dyDescent="0.25">
      <c r="A17" s="1068" t="s">
        <v>41</v>
      </c>
      <c r="B17" s="567">
        <v>2</v>
      </c>
      <c r="C17" s="567"/>
      <c r="D17" s="567"/>
      <c r="E17" s="567">
        <v>2</v>
      </c>
    </row>
    <row r="18" spans="1:5" x14ac:dyDescent="0.25">
      <c r="A18" s="1068" t="s">
        <v>42</v>
      </c>
      <c r="B18" s="567">
        <v>3</v>
      </c>
      <c r="C18" s="567">
        <v>2</v>
      </c>
      <c r="D18" s="567"/>
      <c r="E18" s="567">
        <v>5</v>
      </c>
    </row>
    <row r="19" spans="1:5" x14ac:dyDescent="0.25">
      <c r="A19" s="1068" t="s">
        <v>43</v>
      </c>
      <c r="B19" s="567">
        <v>5</v>
      </c>
      <c r="C19" s="567">
        <v>8</v>
      </c>
      <c r="D19" s="567"/>
      <c r="E19" s="567">
        <v>13</v>
      </c>
    </row>
    <row r="20" spans="1:5" x14ac:dyDescent="0.25">
      <c r="A20" s="1068" t="s">
        <v>121</v>
      </c>
      <c r="B20" s="567">
        <v>11</v>
      </c>
      <c r="C20" s="567"/>
      <c r="D20" s="567"/>
      <c r="E20" s="567">
        <v>11</v>
      </c>
    </row>
    <row r="21" spans="1:5" x14ac:dyDescent="0.25">
      <c r="A21" s="1068" t="s">
        <v>44</v>
      </c>
      <c r="B21" s="567">
        <v>1</v>
      </c>
      <c r="C21" s="567">
        <v>51</v>
      </c>
      <c r="D21" s="567">
        <v>9</v>
      </c>
      <c r="E21" s="567">
        <v>61</v>
      </c>
    </row>
    <row r="22" spans="1:5" x14ac:dyDescent="0.25">
      <c r="A22" s="1068" t="s">
        <v>45</v>
      </c>
      <c r="B22" s="567">
        <v>2</v>
      </c>
      <c r="C22" s="567">
        <v>1</v>
      </c>
      <c r="D22" s="567"/>
      <c r="E22" s="567">
        <v>3</v>
      </c>
    </row>
    <row r="23" spans="1:5" x14ac:dyDescent="0.25">
      <c r="A23" s="1068" t="s">
        <v>46</v>
      </c>
      <c r="B23" s="567">
        <v>1</v>
      </c>
      <c r="C23" s="567">
        <v>1</v>
      </c>
      <c r="D23" s="567"/>
      <c r="E23" s="567">
        <v>2</v>
      </c>
    </row>
    <row r="24" spans="1:5" x14ac:dyDescent="0.25">
      <c r="A24" s="1068" t="s">
        <v>47</v>
      </c>
      <c r="B24" s="567">
        <v>1</v>
      </c>
      <c r="C24" s="567">
        <v>10</v>
      </c>
      <c r="D24" s="567">
        <v>1</v>
      </c>
      <c r="E24" s="567">
        <v>12</v>
      </c>
    </row>
    <row r="25" spans="1:5" x14ac:dyDescent="0.25">
      <c r="A25" s="1068" t="s">
        <v>48</v>
      </c>
      <c r="B25" s="567"/>
      <c r="C25" s="567">
        <v>14</v>
      </c>
      <c r="D25" s="567"/>
      <c r="E25" s="567">
        <v>14</v>
      </c>
    </row>
    <row r="26" spans="1:5" x14ac:dyDescent="0.25">
      <c r="A26" s="1068" t="s">
        <v>49</v>
      </c>
      <c r="B26" s="567">
        <v>3</v>
      </c>
      <c r="C26" s="567">
        <v>8</v>
      </c>
      <c r="D26" s="567">
        <v>3</v>
      </c>
      <c r="E26" s="567">
        <v>14</v>
      </c>
    </row>
    <row r="27" spans="1:5" x14ac:dyDescent="0.25">
      <c r="A27" s="1068" t="s">
        <v>50</v>
      </c>
      <c r="B27" s="567">
        <v>4</v>
      </c>
      <c r="C27" s="567">
        <v>3</v>
      </c>
      <c r="D27" s="567"/>
      <c r="E27" s="567">
        <v>7</v>
      </c>
    </row>
    <row r="28" spans="1:5" x14ac:dyDescent="0.25">
      <c r="A28" s="1068" t="s">
        <v>51</v>
      </c>
      <c r="B28" s="567"/>
      <c r="C28" s="567">
        <v>12</v>
      </c>
      <c r="D28" s="567"/>
      <c r="E28" s="567">
        <v>12</v>
      </c>
    </row>
    <row r="29" spans="1:5" x14ac:dyDescent="0.25">
      <c r="A29" s="1068" t="s">
        <v>52</v>
      </c>
      <c r="B29" s="567">
        <v>1</v>
      </c>
      <c r="C29" s="567">
        <v>10</v>
      </c>
      <c r="D29" s="567">
        <v>3</v>
      </c>
      <c r="E29" s="567">
        <v>14</v>
      </c>
    </row>
    <row r="30" spans="1:5" x14ac:dyDescent="0.25">
      <c r="A30" s="1068" t="s">
        <v>53</v>
      </c>
      <c r="B30" s="567">
        <v>3</v>
      </c>
      <c r="C30" s="567"/>
      <c r="D30" s="567"/>
      <c r="E30" s="567">
        <v>3</v>
      </c>
    </row>
    <row r="31" spans="1:5" x14ac:dyDescent="0.25">
      <c r="A31" s="1068" t="s">
        <v>54</v>
      </c>
      <c r="B31" s="567">
        <v>2</v>
      </c>
      <c r="C31" s="567">
        <v>11</v>
      </c>
      <c r="D31" s="567"/>
      <c r="E31" s="567">
        <v>13</v>
      </c>
    </row>
    <row r="32" spans="1:5" x14ac:dyDescent="0.25">
      <c r="A32" s="1068" t="s">
        <v>55</v>
      </c>
      <c r="B32" s="567"/>
      <c r="C32" s="567">
        <v>14</v>
      </c>
      <c r="D32" s="567"/>
      <c r="E32" s="567">
        <v>14</v>
      </c>
    </row>
    <row r="33" spans="1:7" x14ac:dyDescent="0.25">
      <c r="A33" s="1068" t="s">
        <v>56</v>
      </c>
      <c r="B33" s="567">
        <v>1</v>
      </c>
      <c r="C33" s="567">
        <v>4</v>
      </c>
      <c r="D33" s="567"/>
      <c r="E33" s="567">
        <v>5</v>
      </c>
    </row>
    <row r="34" spans="1:7" x14ac:dyDescent="0.25">
      <c r="A34" s="1068" t="s">
        <v>57</v>
      </c>
      <c r="B34" s="567">
        <v>4</v>
      </c>
      <c r="C34" s="567">
        <v>7</v>
      </c>
      <c r="D34" s="567">
        <v>1</v>
      </c>
      <c r="E34" s="567">
        <v>12</v>
      </c>
    </row>
    <row r="35" spans="1:7" x14ac:dyDescent="0.25">
      <c r="A35" s="1068" t="s">
        <v>58</v>
      </c>
      <c r="B35" s="567">
        <v>1</v>
      </c>
      <c r="C35" s="567">
        <v>9</v>
      </c>
      <c r="D35" s="567"/>
      <c r="E35" s="567">
        <v>10</v>
      </c>
    </row>
    <row r="36" spans="1:7" x14ac:dyDescent="0.25">
      <c r="A36" s="1068" t="s">
        <v>59</v>
      </c>
      <c r="B36" s="567">
        <v>2</v>
      </c>
      <c r="C36" s="567">
        <v>1</v>
      </c>
      <c r="D36" s="567"/>
      <c r="E36" s="567">
        <v>3</v>
      </c>
    </row>
    <row r="37" spans="1:7" x14ac:dyDescent="0.25">
      <c r="A37" s="1068" t="s">
        <v>60</v>
      </c>
      <c r="B37" s="567">
        <v>2</v>
      </c>
      <c r="C37" s="567">
        <v>4</v>
      </c>
      <c r="D37" s="567"/>
      <c r="E37" s="567">
        <v>6</v>
      </c>
    </row>
    <row r="38" spans="1:7" x14ac:dyDescent="0.25">
      <c r="A38" s="1068" t="s">
        <v>251</v>
      </c>
      <c r="B38" s="567">
        <v>74</v>
      </c>
      <c r="C38" s="567">
        <v>240</v>
      </c>
      <c r="D38" s="567">
        <v>43</v>
      </c>
      <c r="E38" s="567">
        <v>357</v>
      </c>
    </row>
    <row r="39" spans="1:7" x14ac:dyDescent="0.25">
      <c r="A39" s="565" t="s">
        <v>329</v>
      </c>
      <c r="B39" t="s">
        <v>851</v>
      </c>
      <c r="C39" t="str">
        <f>B39</f>
        <v>2019-20</v>
      </c>
    </row>
    <row r="41" spans="1:7" x14ac:dyDescent="0.25">
      <c r="A41" s="565" t="s">
        <v>246</v>
      </c>
      <c r="B41" t="s">
        <v>330</v>
      </c>
      <c r="C41" t="s">
        <v>333</v>
      </c>
      <c r="D41" t="s">
        <v>334</v>
      </c>
      <c r="E41" t="s">
        <v>332</v>
      </c>
      <c r="F41" t="s">
        <v>331</v>
      </c>
      <c r="G41" t="s">
        <v>252</v>
      </c>
    </row>
    <row r="42" spans="1:7" x14ac:dyDescent="0.25">
      <c r="A42" s="1068" t="s">
        <v>31</v>
      </c>
      <c r="B42" s="567">
        <v>3</v>
      </c>
      <c r="C42" s="567"/>
      <c r="D42" s="567"/>
      <c r="E42" s="567"/>
      <c r="F42" s="567">
        <v>1</v>
      </c>
      <c r="G42" s="567">
        <v>4</v>
      </c>
    </row>
    <row r="43" spans="1:7" x14ac:dyDescent="0.25">
      <c r="A43" s="1068" t="s">
        <v>32</v>
      </c>
      <c r="B43" s="567"/>
      <c r="C43" s="567">
        <v>1</v>
      </c>
      <c r="D43" s="567"/>
      <c r="E43" s="567"/>
      <c r="F43" s="567">
        <v>23</v>
      </c>
      <c r="G43" s="567">
        <v>24</v>
      </c>
    </row>
    <row r="44" spans="1:7" x14ac:dyDescent="0.25">
      <c r="A44" s="1068" t="s">
        <v>33</v>
      </c>
      <c r="B44" s="567"/>
      <c r="C44" s="567">
        <v>1</v>
      </c>
      <c r="D44" s="567"/>
      <c r="E44" s="567"/>
      <c r="F44" s="567">
        <v>5</v>
      </c>
      <c r="G44" s="567">
        <v>6</v>
      </c>
    </row>
    <row r="45" spans="1:7" x14ac:dyDescent="0.25">
      <c r="A45" s="1068" t="s">
        <v>34</v>
      </c>
      <c r="B45" s="567"/>
      <c r="C45" s="567">
        <v>2</v>
      </c>
      <c r="D45" s="567"/>
      <c r="E45" s="567">
        <v>25</v>
      </c>
      <c r="F45" s="567">
        <v>12</v>
      </c>
      <c r="G45" s="567">
        <v>39</v>
      </c>
    </row>
    <row r="46" spans="1:7" x14ac:dyDescent="0.25">
      <c r="A46" s="1068" t="s">
        <v>258</v>
      </c>
      <c r="B46" s="567">
        <v>7</v>
      </c>
      <c r="C46" s="567"/>
      <c r="D46" s="567"/>
      <c r="E46" s="567"/>
      <c r="F46" s="567">
        <v>1</v>
      </c>
      <c r="G46" s="567">
        <v>8</v>
      </c>
    </row>
    <row r="47" spans="1:7" x14ac:dyDescent="0.25">
      <c r="A47" s="1068" t="s">
        <v>35</v>
      </c>
      <c r="B47" s="567"/>
      <c r="C47" s="567">
        <v>1</v>
      </c>
      <c r="D47" s="567"/>
      <c r="E47" s="567"/>
      <c r="F47" s="567">
        <v>1</v>
      </c>
      <c r="G47" s="567">
        <v>2</v>
      </c>
    </row>
    <row r="48" spans="1:7" x14ac:dyDescent="0.25">
      <c r="A48" s="1068" t="s">
        <v>36</v>
      </c>
      <c r="B48" s="567"/>
      <c r="C48" s="567">
        <v>1</v>
      </c>
      <c r="D48" s="567"/>
      <c r="E48" s="567">
        <v>1</v>
      </c>
      <c r="F48" s="567">
        <v>15</v>
      </c>
      <c r="G48" s="567">
        <v>17</v>
      </c>
    </row>
    <row r="49" spans="1:7" x14ac:dyDescent="0.25">
      <c r="A49" s="1068" t="s">
        <v>37</v>
      </c>
      <c r="B49" s="567">
        <v>3</v>
      </c>
      <c r="C49" s="567">
        <v>1</v>
      </c>
      <c r="D49" s="567"/>
      <c r="E49" s="567"/>
      <c r="F49" s="567"/>
      <c r="G49" s="567">
        <v>4</v>
      </c>
    </row>
    <row r="50" spans="1:7" x14ac:dyDescent="0.25">
      <c r="A50" s="1068" t="s">
        <v>38</v>
      </c>
      <c r="B50" s="567">
        <v>1</v>
      </c>
      <c r="C50" s="567"/>
      <c r="D50" s="567"/>
      <c r="E50" s="567"/>
      <c r="F50" s="567">
        <v>7</v>
      </c>
      <c r="G50" s="567">
        <v>8</v>
      </c>
    </row>
    <row r="51" spans="1:7" x14ac:dyDescent="0.25">
      <c r="A51" s="1068" t="s">
        <v>39</v>
      </c>
      <c r="B51" s="567">
        <v>3</v>
      </c>
      <c r="C51" s="567"/>
      <c r="D51" s="567"/>
      <c r="E51" s="567"/>
      <c r="F51" s="567"/>
      <c r="G51" s="567">
        <v>3</v>
      </c>
    </row>
    <row r="52" spans="1:7" x14ac:dyDescent="0.25">
      <c r="A52" s="1068" t="s">
        <v>40</v>
      </c>
      <c r="B52" s="567">
        <v>1</v>
      </c>
      <c r="C52" s="567"/>
      <c r="D52" s="567"/>
      <c r="E52" s="567"/>
      <c r="F52" s="567">
        <v>5</v>
      </c>
      <c r="G52" s="567">
        <v>6</v>
      </c>
    </row>
    <row r="53" spans="1:7" x14ac:dyDescent="0.25">
      <c r="A53" s="1068" t="s">
        <v>41</v>
      </c>
      <c r="B53" s="567">
        <v>2</v>
      </c>
      <c r="C53" s="567"/>
      <c r="D53" s="567"/>
      <c r="E53" s="567"/>
      <c r="F53" s="567"/>
      <c r="G53" s="567">
        <v>2</v>
      </c>
    </row>
    <row r="54" spans="1:7" x14ac:dyDescent="0.25">
      <c r="A54" s="1068" t="s">
        <v>42</v>
      </c>
      <c r="B54" s="567"/>
      <c r="C54" s="567">
        <v>3</v>
      </c>
      <c r="D54" s="567"/>
      <c r="E54" s="567"/>
      <c r="F54" s="567">
        <v>2</v>
      </c>
      <c r="G54" s="567">
        <v>5</v>
      </c>
    </row>
    <row r="55" spans="1:7" x14ac:dyDescent="0.25">
      <c r="A55" s="1068" t="s">
        <v>43</v>
      </c>
      <c r="B55" s="567">
        <v>5</v>
      </c>
      <c r="C55" s="567"/>
      <c r="D55" s="567"/>
      <c r="E55" s="567"/>
      <c r="F55" s="567">
        <v>8</v>
      </c>
      <c r="G55" s="567">
        <v>13</v>
      </c>
    </row>
    <row r="56" spans="1:7" x14ac:dyDescent="0.25">
      <c r="A56" s="1068" t="s">
        <v>121</v>
      </c>
      <c r="B56" s="567">
        <v>11</v>
      </c>
      <c r="C56" s="567"/>
      <c r="D56" s="567"/>
      <c r="E56" s="567"/>
      <c r="F56" s="567"/>
      <c r="G56" s="567">
        <v>11</v>
      </c>
    </row>
    <row r="57" spans="1:7" x14ac:dyDescent="0.25">
      <c r="A57" s="1068" t="s">
        <v>44</v>
      </c>
      <c r="B57" s="567"/>
      <c r="C57" s="567">
        <v>1</v>
      </c>
      <c r="D57" s="567"/>
      <c r="E57" s="567">
        <v>9</v>
      </c>
      <c r="F57" s="567">
        <v>51</v>
      </c>
      <c r="G57" s="567">
        <v>61</v>
      </c>
    </row>
    <row r="58" spans="1:7" x14ac:dyDescent="0.25">
      <c r="A58" s="1068" t="s">
        <v>45</v>
      </c>
      <c r="B58" s="567"/>
      <c r="C58" s="567">
        <v>2</v>
      </c>
      <c r="D58" s="567"/>
      <c r="E58" s="567"/>
      <c r="F58" s="567">
        <v>1</v>
      </c>
      <c r="G58" s="567">
        <v>3</v>
      </c>
    </row>
    <row r="59" spans="1:7" x14ac:dyDescent="0.25">
      <c r="A59" s="1068" t="s">
        <v>46</v>
      </c>
      <c r="B59" s="567">
        <v>1</v>
      </c>
      <c r="C59" s="567"/>
      <c r="D59" s="567"/>
      <c r="E59" s="567"/>
      <c r="F59" s="567">
        <v>1</v>
      </c>
      <c r="G59" s="567">
        <v>2</v>
      </c>
    </row>
    <row r="60" spans="1:7" x14ac:dyDescent="0.25">
      <c r="A60" s="1068" t="s">
        <v>47</v>
      </c>
      <c r="B60" s="567"/>
      <c r="C60" s="567">
        <v>1</v>
      </c>
      <c r="D60" s="567"/>
      <c r="E60" s="567">
        <v>1</v>
      </c>
      <c r="F60" s="567">
        <v>10</v>
      </c>
      <c r="G60" s="567">
        <v>12</v>
      </c>
    </row>
    <row r="61" spans="1:7" x14ac:dyDescent="0.25">
      <c r="A61" s="1068" t="s">
        <v>48</v>
      </c>
      <c r="B61" s="567"/>
      <c r="C61" s="567"/>
      <c r="D61" s="567"/>
      <c r="E61" s="567"/>
      <c r="F61" s="567">
        <v>14</v>
      </c>
      <c r="G61" s="567">
        <v>14</v>
      </c>
    </row>
    <row r="62" spans="1:7" x14ac:dyDescent="0.25">
      <c r="A62" s="1068" t="s">
        <v>49</v>
      </c>
      <c r="B62" s="567">
        <v>1</v>
      </c>
      <c r="C62" s="567">
        <v>2</v>
      </c>
      <c r="D62" s="567"/>
      <c r="E62" s="567">
        <v>3</v>
      </c>
      <c r="F62" s="567">
        <v>8</v>
      </c>
      <c r="G62" s="567">
        <v>14</v>
      </c>
    </row>
    <row r="63" spans="1:7" x14ac:dyDescent="0.25">
      <c r="A63" s="1068" t="s">
        <v>50</v>
      </c>
      <c r="B63" s="567">
        <v>4</v>
      </c>
      <c r="C63" s="567"/>
      <c r="D63" s="567"/>
      <c r="E63" s="567"/>
      <c r="F63" s="567">
        <v>3</v>
      </c>
      <c r="G63" s="567">
        <v>7</v>
      </c>
    </row>
    <row r="64" spans="1:7" x14ac:dyDescent="0.25">
      <c r="A64" s="1068" t="s">
        <v>51</v>
      </c>
      <c r="B64" s="567"/>
      <c r="C64" s="567"/>
      <c r="D64" s="567"/>
      <c r="E64" s="567"/>
      <c r="F64" s="567">
        <v>12</v>
      </c>
      <c r="G64" s="567">
        <v>12</v>
      </c>
    </row>
    <row r="65" spans="1:7" x14ac:dyDescent="0.25">
      <c r="A65" s="1068" t="s">
        <v>52</v>
      </c>
      <c r="B65" s="567">
        <v>1</v>
      </c>
      <c r="C65" s="567"/>
      <c r="D65" s="567"/>
      <c r="E65" s="567">
        <v>3</v>
      </c>
      <c r="F65" s="567">
        <v>10</v>
      </c>
      <c r="G65" s="567">
        <v>14</v>
      </c>
    </row>
    <row r="66" spans="1:7" x14ac:dyDescent="0.25">
      <c r="A66" s="1068" t="s">
        <v>53</v>
      </c>
      <c r="B66" s="567">
        <v>2</v>
      </c>
      <c r="C66" s="567">
        <v>1</v>
      </c>
      <c r="D66" s="567"/>
      <c r="E66" s="567"/>
      <c r="F66" s="567"/>
      <c r="G66" s="567">
        <v>3</v>
      </c>
    </row>
    <row r="67" spans="1:7" x14ac:dyDescent="0.25">
      <c r="A67" s="1068" t="s">
        <v>54</v>
      </c>
      <c r="B67" s="567"/>
      <c r="C67" s="567">
        <v>2</v>
      </c>
      <c r="D67" s="567"/>
      <c r="E67" s="567"/>
      <c r="F67" s="567">
        <v>11</v>
      </c>
      <c r="G67" s="567">
        <v>13</v>
      </c>
    </row>
    <row r="68" spans="1:7" x14ac:dyDescent="0.25">
      <c r="A68" s="1068" t="s">
        <v>55</v>
      </c>
      <c r="B68" s="567"/>
      <c r="C68" s="567"/>
      <c r="D68" s="567"/>
      <c r="E68" s="567"/>
      <c r="F68" s="567">
        <v>14</v>
      </c>
      <c r="G68" s="567">
        <v>14</v>
      </c>
    </row>
    <row r="69" spans="1:7" x14ac:dyDescent="0.25">
      <c r="A69" s="1068" t="s">
        <v>56</v>
      </c>
      <c r="B69" s="567"/>
      <c r="C69" s="567">
        <v>1</v>
      </c>
      <c r="D69" s="567"/>
      <c r="E69" s="567"/>
      <c r="F69" s="567">
        <v>4</v>
      </c>
      <c r="G69" s="567">
        <v>5</v>
      </c>
    </row>
    <row r="70" spans="1:7" x14ac:dyDescent="0.25">
      <c r="A70" s="1068" t="s">
        <v>57</v>
      </c>
      <c r="B70" s="567">
        <v>3</v>
      </c>
      <c r="C70" s="567">
        <v>1</v>
      </c>
      <c r="D70" s="567"/>
      <c r="E70" s="567">
        <v>1</v>
      </c>
      <c r="F70" s="567">
        <v>7</v>
      </c>
      <c r="G70" s="567">
        <v>12</v>
      </c>
    </row>
    <row r="71" spans="1:7" x14ac:dyDescent="0.25">
      <c r="A71" s="1068" t="s">
        <v>58</v>
      </c>
      <c r="B71" s="567">
        <v>1</v>
      </c>
      <c r="C71" s="567"/>
      <c r="D71" s="567"/>
      <c r="E71" s="567"/>
      <c r="F71" s="567">
        <v>9</v>
      </c>
      <c r="G71" s="567">
        <v>10</v>
      </c>
    </row>
    <row r="72" spans="1:7" x14ac:dyDescent="0.25">
      <c r="A72" s="1068" t="s">
        <v>59</v>
      </c>
      <c r="B72" s="567">
        <v>1</v>
      </c>
      <c r="C72" s="567">
        <v>1</v>
      </c>
      <c r="D72" s="567"/>
      <c r="E72" s="567"/>
      <c r="F72" s="567">
        <v>1</v>
      </c>
      <c r="G72" s="567">
        <v>3</v>
      </c>
    </row>
    <row r="73" spans="1:7" x14ac:dyDescent="0.25">
      <c r="A73" s="1068" t="s">
        <v>60</v>
      </c>
      <c r="B73" s="567"/>
      <c r="C73" s="567">
        <v>1</v>
      </c>
      <c r="D73" s="567">
        <v>1</v>
      </c>
      <c r="E73" s="567"/>
      <c r="F73" s="567">
        <v>4</v>
      </c>
      <c r="G73" s="567">
        <v>6</v>
      </c>
    </row>
    <row r="74" spans="1:7" x14ac:dyDescent="0.25">
      <c r="A74" s="1068" t="s">
        <v>251</v>
      </c>
      <c r="B74" s="567">
        <v>50</v>
      </c>
      <c r="C74" s="567">
        <v>23</v>
      </c>
      <c r="D74" s="567">
        <v>1</v>
      </c>
      <c r="E74" s="567">
        <v>43</v>
      </c>
      <c r="F74" s="567">
        <v>240</v>
      </c>
      <c r="G74" s="567">
        <v>357</v>
      </c>
    </row>
    <row r="79" spans="1:7" x14ac:dyDescent="0.25">
      <c r="A79" s="566"/>
      <c r="B79" s="567"/>
      <c r="C79" s="567"/>
      <c r="D79" s="567"/>
      <c r="E79" s="567"/>
      <c r="F79" s="567"/>
    </row>
    <row r="80" spans="1:7" x14ac:dyDescent="0.25">
      <c r="A80" s="566"/>
      <c r="B80" s="567"/>
      <c r="C80" s="567"/>
      <c r="D80" s="567"/>
      <c r="E80" s="567"/>
      <c r="F80" s="567"/>
    </row>
    <row r="81" spans="1:6" x14ac:dyDescent="0.25">
      <c r="A81" s="566"/>
      <c r="B81" s="567"/>
      <c r="C81" s="567"/>
      <c r="D81" s="567"/>
      <c r="E81" s="567"/>
      <c r="F81" s="567"/>
    </row>
    <row r="82" spans="1:6" x14ac:dyDescent="0.25">
      <c r="A82" s="566"/>
      <c r="B82" s="567"/>
      <c r="C82" s="567"/>
      <c r="D82" s="567"/>
      <c r="E82" s="567"/>
      <c r="F82" s="567"/>
    </row>
    <row r="83" spans="1:6" x14ac:dyDescent="0.25">
      <c r="A83" s="566"/>
      <c r="B83" s="567"/>
      <c r="C83" s="567"/>
      <c r="D83" s="567"/>
      <c r="E83" s="567"/>
      <c r="F83" s="567"/>
    </row>
    <row r="84" spans="1:6" x14ac:dyDescent="0.25">
      <c r="A84" s="566"/>
      <c r="B84" s="567"/>
      <c r="C84" s="567"/>
      <c r="D84" s="567"/>
      <c r="E84" s="567"/>
      <c r="F84" s="567"/>
    </row>
    <row r="85" spans="1:6" x14ac:dyDescent="0.25">
      <c r="A85" s="566"/>
      <c r="B85" s="567"/>
      <c r="C85" s="567"/>
      <c r="D85" s="567"/>
      <c r="E85" s="567"/>
      <c r="F85" s="567"/>
    </row>
    <row r="86" spans="1:6" x14ac:dyDescent="0.25">
      <c r="A86" s="566"/>
      <c r="B86" s="567"/>
      <c r="C86" s="567"/>
      <c r="D86" s="567"/>
      <c r="E86" s="567"/>
      <c r="F86" s="567"/>
    </row>
    <row r="87" spans="1:6" x14ac:dyDescent="0.25">
      <c r="A87" s="566"/>
      <c r="B87" s="567"/>
      <c r="C87" s="567"/>
      <c r="D87" s="567"/>
      <c r="E87" s="567"/>
      <c r="F87" s="567"/>
    </row>
    <row r="88" spans="1:6" x14ac:dyDescent="0.25">
      <c r="A88" s="566"/>
      <c r="B88" s="567"/>
      <c r="C88" s="567"/>
      <c r="D88" s="567"/>
      <c r="E88" s="567"/>
      <c r="F88" s="567"/>
    </row>
    <row r="89" spans="1:6" x14ac:dyDescent="0.25">
      <c r="A89" s="566"/>
      <c r="B89" s="567"/>
      <c r="C89" s="567"/>
      <c r="D89" s="567"/>
      <c r="E89" s="567"/>
      <c r="F89" s="567"/>
    </row>
    <row r="90" spans="1:6" x14ac:dyDescent="0.25">
      <c r="A90" s="566"/>
      <c r="B90" s="567"/>
      <c r="C90" s="567"/>
      <c r="D90" s="567"/>
      <c r="E90" s="567"/>
      <c r="F90" s="567"/>
    </row>
    <row r="91" spans="1:6" x14ac:dyDescent="0.25">
      <c r="A91" s="566"/>
      <c r="B91" s="567"/>
      <c r="C91" s="567"/>
      <c r="D91" s="567"/>
      <c r="E91" s="567"/>
      <c r="F91" s="567"/>
    </row>
    <row r="92" spans="1:6" x14ac:dyDescent="0.25">
      <c r="A92" s="566"/>
      <c r="B92" s="567"/>
      <c r="C92" s="567"/>
      <c r="D92" s="567"/>
      <c r="E92" s="567"/>
      <c r="F92" s="567"/>
    </row>
    <row r="93" spans="1:6" x14ac:dyDescent="0.25">
      <c r="A93" s="566"/>
      <c r="B93" s="567"/>
      <c r="C93" s="567"/>
      <c r="D93" s="567"/>
      <c r="E93" s="567"/>
      <c r="F93" s="567"/>
    </row>
    <row r="94" spans="1:6" x14ac:dyDescent="0.25">
      <c r="A94" s="566"/>
      <c r="B94" s="567"/>
      <c r="C94" s="567"/>
      <c r="D94" s="567"/>
      <c r="E94" s="567"/>
      <c r="F94" s="567"/>
    </row>
    <row r="95" spans="1:6" x14ac:dyDescent="0.25">
      <c r="A95" s="566"/>
      <c r="B95" s="567"/>
      <c r="C95" s="567"/>
      <c r="D95" s="567"/>
      <c r="E95" s="567"/>
      <c r="F95" s="567"/>
    </row>
    <row r="96" spans="1:6" x14ac:dyDescent="0.25">
      <c r="A96" s="566"/>
      <c r="B96" s="567"/>
      <c r="C96" s="567"/>
      <c r="D96" s="567"/>
      <c r="E96" s="567"/>
      <c r="F96" s="567"/>
    </row>
    <row r="97" spans="1:6" x14ac:dyDescent="0.25">
      <c r="A97" s="566"/>
      <c r="B97" s="567"/>
      <c r="C97" s="567"/>
      <c r="D97" s="567"/>
      <c r="E97" s="567"/>
      <c r="F97" s="567"/>
    </row>
    <row r="98" spans="1:6" x14ac:dyDescent="0.25">
      <c r="A98" s="566"/>
      <c r="B98" s="567"/>
      <c r="C98" s="567"/>
      <c r="D98" s="567"/>
      <c r="E98" s="567"/>
      <c r="F98" s="567"/>
    </row>
    <row r="99" spans="1:6" x14ac:dyDescent="0.25">
      <c r="A99" s="566"/>
      <c r="B99" s="567"/>
      <c r="C99" s="567"/>
      <c r="D99" s="567"/>
      <c r="E99" s="567"/>
      <c r="F99" s="567"/>
    </row>
    <row r="100" spans="1:6" x14ac:dyDescent="0.25">
      <c r="A100" s="566"/>
      <c r="B100" s="567"/>
      <c r="C100" s="567"/>
      <c r="D100" s="567"/>
      <c r="E100" s="567"/>
      <c r="F100" s="567"/>
    </row>
    <row r="101" spans="1:6" x14ac:dyDescent="0.25">
      <c r="A101" s="566"/>
      <c r="B101" s="567"/>
      <c r="C101" s="567"/>
      <c r="D101" s="567"/>
      <c r="E101" s="567"/>
      <c r="F101" s="567"/>
    </row>
    <row r="102" spans="1:6" x14ac:dyDescent="0.25">
      <c r="A102" s="566"/>
      <c r="B102" s="567"/>
      <c r="C102" s="567"/>
      <c r="D102" s="567"/>
      <c r="E102" s="567"/>
      <c r="F102" s="567"/>
    </row>
    <row r="103" spans="1:6" x14ac:dyDescent="0.25">
      <c r="A103" s="566"/>
      <c r="B103" s="567"/>
      <c r="C103" s="567"/>
      <c r="D103" s="567"/>
      <c r="E103" s="567"/>
      <c r="F103" s="567"/>
    </row>
    <row r="104" spans="1:6" x14ac:dyDescent="0.25">
      <c r="A104" s="566"/>
      <c r="B104" s="567"/>
      <c r="C104" s="567"/>
      <c r="D104" s="567"/>
      <c r="E104" s="567"/>
      <c r="F104" s="567"/>
    </row>
    <row r="105" spans="1:6" x14ac:dyDescent="0.25">
      <c r="A105" s="566"/>
      <c r="B105" s="567"/>
      <c r="C105" s="567"/>
      <c r="D105" s="567"/>
      <c r="E105" s="567"/>
      <c r="F105" s="567"/>
    </row>
    <row r="106" spans="1:6" x14ac:dyDescent="0.25">
      <c r="A106" s="566"/>
      <c r="B106" s="567"/>
      <c r="C106" s="567"/>
      <c r="D106" s="567"/>
      <c r="E106" s="567"/>
      <c r="F106" s="567"/>
    </row>
    <row r="107" spans="1:6" x14ac:dyDescent="0.25">
      <c r="A107" s="566"/>
      <c r="B107" s="567"/>
      <c r="C107" s="567"/>
      <c r="D107" s="567"/>
      <c r="E107" s="567"/>
      <c r="F107" s="567"/>
    </row>
    <row r="108" spans="1:6" x14ac:dyDescent="0.25">
      <c r="A108" s="566"/>
      <c r="B108" s="567"/>
      <c r="C108" s="567"/>
      <c r="D108" s="567"/>
      <c r="E108" s="567"/>
      <c r="F108" s="567"/>
    </row>
    <row r="109" spans="1:6" x14ac:dyDescent="0.25">
      <c r="A109" s="566"/>
      <c r="B109" s="567"/>
      <c r="C109" s="567"/>
      <c r="D109" s="567"/>
      <c r="E109" s="567"/>
      <c r="F109" s="567"/>
    </row>
    <row r="110" spans="1:6" x14ac:dyDescent="0.25">
      <c r="A110" s="566"/>
      <c r="B110" s="567"/>
      <c r="C110" s="567"/>
      <c r="D110" s="567"/>
      <c r="E110" s="567"/>
      <c r="F110" s="567"/>
    </row>
    <row r="111" spans="1:6" x14ac:dyDescent="0.25">
      <c r="A111" s="566"/>
      <c r="B111" s="567"/>
      <c r="C111" s="567"/>
      <c r="D111" s="567"/>
      <c r="E111" s="567"/>
      <c r="F111" s="567"/>
    </row>
  </sheetData>
  <sheetProtection algorithmName="SHA-512" hashValue="eQlnGYQcxEgst/1iJJJZMia7s/XBz2RlbGtTbvoKn3PTpPxkOI0gDtWjYu56utmKGqkaZYjpc9MXAP4qfcLqsw==" saltValue="vd7R4of+swtEghc7/PaPAg==" spinCount="100000" sheet="1" scenarios="1" formatCells="0" formatColumns="0" formatRows="0" sort="0" autoFilter="0" pivotTables="0"/>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1"/>
  <sheetViews>
    <sheetView showGridLines="0" workbookViewId="0">
      <pane ySplit="2" topLeftCell="A3" activePane="bottomLeft" state="frozen"/>
      <selection pane="bottomLeft"/>
    </sheetView>
  </sheetViews>
  <sheetFormatPr defaultRowHeight="15" x14ac:dyDescent="0.25"/>
  <cols>
    <col min="1" max="1" width="19.85546875" customWidth="1"/>
    <col min="2" max="8" width="15.7109375" customWidth="1"/>
    <col min="9" max="15" width="19.85546875" bestFit="1" customWidth="1"/>
    <col min="16" max="16" width="19.85546875" customWidth="1"/>
    <col min="17" max="21" width="19.85546875" bestFit="1" customWidth="1"/>
    <col min="22" max="22" width="17.28515625" bestFit="1" customWidth="1"/>
    <col min="23" max="23" width="24.7109375" bestFit="1" customWidth="1"/>
    <col min="24" max="24" width="18.7109375" bestFit="1" customWidth="1"/>
  </cols>
  <sheetData>
    <row r="1" spans="1:11" ht="15.75" x14ac:dyDescent="0.25">
      <c r="A1" s="802" t="s">
        <v>605</v>
      </c>
      <c r="B1" s="802"/>
      <c r="C1" s="802"/>
    </row>
    <row r="2" spans="1:11" ht="15.75" x14ac:dyDescent="0.25">
      <c r="A2" s="772" t="s">
        <v>578</v>
      </c>
      <c r="B2" s="780"/>
      <c r="C2" s="780"/>
    </row>
    <row r="3" spans="1:11" x14ac:dyDescent="0.25">
      <c r="A3" s="31"/>
      <c r="B3" s="31"/>
      <c r="C3" s="31"/>
      <c r="D3" s="31"/>
      <c r="E3" s="31"/>
      <c r="F3" s="31"/>
      <c r="G3" s="31"/>
      <c r="H3" s="31"/>
      <c r="I3" s="31"/>
      <c r="J3" s="31"/>
      <c r="K3" s="31"/>
    </row>
    <row r="4" spans="1:11" ht="15.75" customHeight="1" x14ac:dyDescent="0.25">
      <c r="A4" s="850" t="s">
        <v>669</v>
      </c>
      <c r="B4" s="850"/>
      <c r="C4" s="850"/>
      <c r="D4" s="850"/>
      <c r="E4" s="850"/>
      <c r="F4" s="850"/>
      <c r="G4" s="850"/>
      <c r="H4" s="850"/>
      <c r="I4" s="850"/>
      <c r="J4" s="850"/>
      <c r="K4" s="850"/>
    </row>
    <row r="5" spans="1:11" ht="15.75" x14ac:dyDescent="0.25">
      <c r="A5" t="s">
        <v>363</v>
      </c>
      <c r="B5" t="s">
        <v>778</v>
      </c>
      <c r="C5" s="784"/>
      <c r="D5" s="784"/>
      <c r="E5" s="784"/>
      <c r="F5" s="784"/>
      <c r="G5" s="784"/>
      <c r="H5" s="784"/>
      <c r="I5" s="784"/>
      <c r="J5" s="784"/>
      <c r="K5" s="784"/>
    </row>
    <row r="6" spans="1:11" ht="15.75" x14ac:dyDescent="0.25">
      <c r="A6" t="s">
        <v>364</v>
      </c>
      <c r="B6" t="s">
        <v>366</v>
      </c>
      <c r="C6" s="784"/>
      <c r="D6" s="784"/>
      <c r="E6" s="784"/>
      <c r="F6" s="784"/>
      <c r="G6" s="784"/>
      <c r="H6" s="784"/>
      <c r="I6" s="784"/>
      <c r="J6" s="784"/>
      <c r="K6" s="784"/>
    </row>
    <row r="7" spans="1:11" ht="15.75" x14ac:dyDescent="0.25">
      <c r="A7" t="s">
        <v>365</v>
      </c>
      <c r="B7" t="s">
        <v>606</v>
      </c>
      <c r="C7" s="784"/>
      <c r="D7" s="784"/>
      <c r="E7" s="784"/>
      <c r="F7" s="784"/>
      <c r="G7" s="784"/>
      <c r="H7" s="784"/>
      <c r="I7" s="784"/>
      <c r="J7" s="784"/>
      <c r="K7" s="784"/>
    </row>
    <row r="8" spans="1:11" ht="15.75" x14ac:dyDescent="0.25">
      <c r="C8" s="784"/>
      <c r="D8" s="784"/>
      <c r="E8" s="784"/>
      <c r="F8" s="784"/>
      <c r="G8" s="784"/>
      <c r="H8" s="784"/>
      <c r="I8" s="784"/>
      <c r="J8" s="784"/>
      <c r="K8" s="784"/>
    </row>
    <row r="9" spans="1:11" x14ac:dyDescent="0.25">
      <c r="C9" s="851" t="s">
        <v>615</v>
      </c>
    </row>
    <row r="10" spans="1:11" s="437" customFormat="1" x14ac:dyDescent="0.25">
      <c r="A10" s="853" t="s">
        <v>1</v>
      </c>
      <c r="B10" s="854" t="s">
        <v>391</v>
      </c>
      <c r="C10" s="854" t="s">
        <v>392</v>
      </c>
      <c r="D10" s="854" t="s">
        <v>393</v>
      </c>
      <c r="E10" s="854" t="s">
        <v>394</v>
      </c>
      <c r="F10" s="854" t="s">
        <v>395</v>
      </c>
      <c r="G10" s="854" t="s">
        <v>396</v>
      </c>
      <c r="H10" s="854" t="s">
        <v>397</v>
      </c>
    </row>
    <row r="11" spans="1:11" x14ac:dyDescent="0.25">
      <c r="A11" s="437" t="str">
        <f>T17ap!A5</f>
        <v>2013-14</v>
      </c>
      <c r="B11" s="156">
        <f>T17ap!B5</f>
        <v>9522</v>
      </c>
      <c r="C11" s="156">
        <f>T17ap!C5</f>
        <v>8378</v>
      </c>
      <c r="D11" s="156">
        <f>T17ap!D5</f>
        <v>6148</v>
      </c>
      <c r="E11" s="156">
        <f>T17ap!E5</f>
        <v>21422</v>
      </c>
      <c r="F11" s="156">
        <f>T17ap!F5</f>
        <v>45974</v>
      </c>
      <c r="G11" s="156">
        <f>T17ap!G5</f>
        <v>43449</v>
      </c>
      <c r="H11" s="156">
        <f>T17ap!H5</f>
        <v>134893</v>
      </c>
      <c r="I11" s="223"/>
    </row>
    <row r="12" spans="1:11" x14ac:dyDescent="0.25">
      <c r="A12" s="437" t="str">
        <f>T17ap!A6</f>
        <v>2014-15</v>
      </c>
      <c r="B12" s="156">
        <f>T17ap!B6</f>
        <v>9301</v>
      </c>
      <c r="C12" s="156">
        <f>T17ap!C6</f>
        <v>8100</v>
      </c>
      <c r="D12" s="156">
        <f>T17ap!D6</f>
        <v>5611</v>
      </c>
      <c r="E12" s="156">
        <f>T17ap!E6</f>
        <v>17596</v>
      </c>
      <c r="F12" s="156">
        <f>T17ap!F6</f>
        <v>41757</v>
      </c>
      <c r="G12" s="156">
        <f>T17ap!G6</f>
        <v>43048</v>
      </c>
      <c r="H12" s="156">
        <f>T17ap!H6</f>
        <v>125413</v>
      </c>
      <c r="I12" s="223"/>
    </row>
    <row r="13" spans="1:11" x14ac:dyDescent="0.25">
      <c r="A13" s="437" t="str">
        <f>T17ap!A7</f>
        <v>2015-16</v>
      </c>
      <c r="B13" s="156">
        <f>T17ap!B7</f>
        <v>9270</v>
      </c>
      <c r="C13" s="156">
        <f>T17ap!C7</f>
        <v>8385</v>
      </c>
      <c r="D13" s="156">
        <f>T17ap!D7</f>
        <v>5779</v>
      </c>
      <c r="E13" s="156">
        <f>T17ap!E7</f>
        <v>17567</v>
      </c>
      <c r="F13" s="156">
        <f>T17ap!F7</f>
        <v>43991</v>
      </c>
      <c r="G13" s="156">
        <f>T17ap!G7</f>
        <v>49733</v>
      </c>
      <c r="H13" s="156">
        <f>T17ap!H7</f>
        <v>134725</v>
      </c>
      <c r="I13" s="223"/>
    </row>
    <row r="14" spans="1:11" x14ac:dyDescent="0.25">
      <c r="A14" s="437" t="str">
        <f>T17ap!A8</f>
        <v>2016-17</v>
      </c>
      <c r="B14" s="156">
        <f>T17ap!B8</f>
        <v>7684</v>
      </c>
      <c r="C14" s="156">
        <f>T17ap!C8</f>
        <v>7945</v>
      </c>
      <c r="D14" s="156">
        <f>T17ap!D8</f>
        <v>5617</v>
      </c>
      <c r="E14" s="156">
        <f>T17ap!E8</f>
        <v>13019</v>
      </c>
      <c r="F14" s="156">
        <f>T17ap!F8</f>
        <v>42665</v>
      </c>
      <c r="G14" s="156">
        <f>T17ap!G8</f>
        <v>52260</v>
      </c>
      <c r="H14" s="156">
        <f>T17ap!H8</f>
        <v>129190</v>
      </c>
      <c r="I14" s="223"/>
    </row>
    <row r="15" spans="1:11" x14ac:dyDescent="0.25">
      <c r="A15" s="437" t="str">
        <f>T17ap!A9</f>
        <v>2017-18</v>
      </c>
      <c r="B15" s="156">
        <f>T17ap!B9</f>
        <v>7694</v>
      </c>
      <c r="C15" s="156">
        <f>T17ap!C9</f>
        <v>7954</v>
      </c>
      <c r="D15" s="156">
        <f>T17ap!D9</f>
        <v>5364</v>
      </c>
      <c r="E15" s="156">
        <f>T17ap!E9</f>
        <v>13881</v>
      </c>
      <c r="F15" s="156">
        <f>T17ap!F9</f>
        <v>42205</v>
      </c>
      <c r="G15" s="156">
        <f>T17ap!G9</f>
        <v>50848</v>
      </c>
      <c r="H15" s="156">
        <f>T17ap!H9</f>
        <v>127946</v>
      </c>
      <c r="I15" s="223"/>
    </row>
    <row r="16" spans="1:11" x14ac:dyDescent="0.25">
      <c r="A16" s="437" t="str">
        <f>T17ap!A10</f>
        <v>2018-19</v>
      </c>
      <c r="B16" s="156">
        <f>T17ap!B10</f>
        <v>7266</v>
      </c>
      <c r="C16" s="156">
        <f>T17ap!C10</f>
        <v>7987</v>
      </c>
      <c r="D16" s="156">
        <f>T17ap!D10</f>
        <v>5517</v>
      </c>
      <c r="E16" s="156">
        <f>T17ap!E10</f>
        <v>13947</v>
      </c>
      <c r="F16" s="156">
        <f>T17ap!F10</f>
        <v>41141</v>
      </c>
      <c r="G16" s="156">
        <f>T17ap!G10</f>
        <v>48727</v>
      </c>
      <c r="H16" s="156">
        <f>T17ap!H10</f>
        <v>124585</v>
      </c>
      <c r="I16" s="223"/>
    </row>
    <row r="17" spans="1:11" ht="15.75" thickBot="1" x14ac:dyDescent="0.3">
      <c r="A17" s="852" t="str">
        <f>T17ap!A11</f>
        <v>2019-20</v>
      </c>
      <c r="B17" s="837">
        <f>T17ap!B11</f>
        <v>7040</v>
      </c>
      <c r="C17" s="837">
        <f>T17ap!C11</f>
        <v>7889</v>
      </c>
      <c r="D17" s="837">
        <f>T17ap!D11</f>
        <v>5512</v>
      </c>
      <c r="E17" s="837">
        <f>T17ap!E11</f>
        <v>13665</v>
      </c>
      <c r="F17" s="837">
        <f>T17ap!F11</f>
        <v>40167</v>
      </c>
      <c r="G17" s="837">
        <f>T17ap!G11</f>
        <v>48759</v>
      </c>
      <c r="H17" s="837">
        <f>T17ap!H11</f>
        <v>123032</v>
      </c>
      <c r="I17" s="223"/>
    </row>
    <row r="18" spans="1:11" x14ac:dyDescent="0.25">
      <c r="A18" s="223"/>
      <c r="B18" s="223"/>
      <c r="C18" s="223"/>
      <c r="D18" s="223"/>
      <c r="E18" s="223"/>
      <c r="F18" s="223"/>
      <c r="G18" s="223"/>
      <c r="H18" s="223"/>
      <c r="I18" s="223"/>
    </row>
    <row r="19" spans="1:11" x14ac:dyDescent="0.25">
      <c r="A19" s="223" t="s">
        <v>8</v>
      </c>
      <c r="B19" s="223"/>
      <c r="C19" s="223"/>
      <c r="D19" s="223"/>
      <c r="E19" s="223"/>
      <c r="F19" s="223"/>
      <c r="G19" s="223"/>
      <c r="H19" s="223"/>
      <c r="I19" s="223"/>
    </row>
    <row r="20" spans="1:11" ht="47.25" customHeight="1" x14ac:dyDescent="0.25">
      <c r="A20" s="1076" t="s">
        <v>830</v>
      </c>
      <c r="B20" s="1076"/>
      <c r="C20" s="1076"/>
      <c r="D20" s="1076"/>
      <c r="E20" s="1076"/>
      <c r="F20" s="1076"/>
      <c r="G20" s="1076"/>
      <c r="H20" s="1076"/>
    </row>
    <row r="21" spans="1:11" x14ac:dyDescent="0.25">
      <c r="A21" t="s">
        <v>1066</v>
      </c>
      <c r="H21" s="545"/>
    </row>
    <row r="22" spans="1:11" x14ac:dyDescent="0.25">
      <c r="H22" s="545"/>
    </row>
    <row r="23" spans="1:11" ht="15.75" customHeight="1" x14ac:dyDescent="0.25">
      <c r="A23" s="850" t="s">
        <v>668</v>
      </c>
      <c r="B23" s="850"/>
      <c r="C23" s="850"/>
      <c r="D23" s="850"/>
      <c r="E23" s="850"/>
      <c r="F23" s="850"/>
      <c r="G23" s="850"/>
      <c r="H23" s="850"/>
      <c r="I23" s="850"/>
      <c r="J23" s="850"/>
      <c r="K23" s="850"/>
    </row>
    <row r="24" spans="1:11" ht="15.75" x14ac:dyDescent="0.25">
      <c r="A24" t="s">
        <v>363</v>
      </c>
      <c r="B24" t="s">
        <v>779</v>
      </c>
      <c r="C24" s="784"/>
      <c r="D24" s="784"/>
      <c r="E24" s="784"/>
      <c r="F24" s="784"/>
      <c r="G24" s="784"/>
      <c r="H24" s="784"/>
      <c r="I24" s="784"/>
      <c r="J24" s="784"/>
      <c r="K24" s="784"/>
    </row>
    <row r="25" spans="1:11" ht="15.75" x14ac:dyDescent="0.25">
      <c r="A25" t="s">
        <v>364</v>
      </c>
      <c r="B25" t="s">
        <v>366</v>
      </c>
      <c r="C25" s="784"/>
      <c r="D25" s="784"/>
      <c r="E25" s="784"/>
      <c r="F25" s="784"/>
      <c r="G25" s="784"/>
      <c r="H25" s="784"/>
      <c r="I25" s="784"/>
      <c r="J25" s="784"/>
      <c r="K25" s="784"/>
    </row>
    <row r="26" spans="1:11" ht="15.75" x14ac:dyDescent="0.25">
      <c r="A26" t="s">
        <v>365</v>
      </c>
      <c r="B26" t="s">
        <v>606</v>
      </c>
      <c r="C26" s="784"/>
      <c r="D26" s="784"/>
      <c r="E26" s="784"/>
      <c r="F26" s="784"/>
      <c r="G26" s="784"/>
      <c r="H26" s="784"/>
      <c r="I26" s="784"/>
      <c r="J26" s="784"/>
      <c r="K26" s="784"/>
    </row>
    <row r="27" spans="1:11" ht="15.75" x14ac:dyDescent="0.25">
      <c r="C27" s="784"/>
      <c r="D27" s="784"/>
      <c r="E27" s="784"/>
      <c r="F27" s="784"/>
      <c r="G27" s="784"/>
      <c r="H27" s="784"/>
      <c r="I27" s="784"/>
      <c r="J27" s="784"/>
      <c r="K27" s="784"/>
    </row>
    <row r="28" spans="1:11" ht="15.75" x14ac:dyDescent="0.25">
      <c r="C28" s="851" t="s">
        <v>615</v>
      </c>
      <c r="D28" s="784"/>
      <c r="E28" s="784"/>
      <c r="F28" s="784"/>
      <c r="G28" s="784"/>
      <c r="H28" s="784"/>
      <c r="I28" s="784"/>
      <c r="J28" s="784"/>
      <c r="K28" s="784"/>
    </row>
    <row r="29" spans="1:11" x14ac:dyDescent="0.25">
      <c r="A29" s="853" t="s">
        <v>1</v>
      </c>
      <c r="B29" s="854" t="s">
        <v>391</v>
      </c>
      <c r="C29" s="854" t="s">
        <v>392</v>
      </c>
      <c r="D29" s="854" t="s">
        <v>393</v>
      </c>
      <c r="E29" s="854" t="s">
        <v>394</v>
      </c>
      <c r="F29" s="854" t="s">
        <v>395</v>
      </c>
      <c r="G29" s="854" t="s">
        <v>396</v>
      </c>
      <c r="H29" s="854" t="s">
        <v>397</v>
      </c>
    </row>
    <row r="30" spans="1:11" x14ac:dyDescent="0.25">
      <c r="A30" t="str">
        <f>T17ap!A5</f>
        <v>2013-14</v>
      </c>
      <c r="B30" s="618">
        <f>T17ap!I5/100</f>
        <v>3.2383018810174025E-2</v>
      </c>
      <c r="C30" s="618">
        <f>T17ap!J5/100</f>
        <v>2.4963871217651704E-2</v>
      </c>
      <c r="D30" s="618">
        <f>T17ap!K5/100</f>
        <v>1.7888109120957136E-2</v>
      </c>
      <c r="E30" s="618">
        <f>T17ap!L5/100</f>
        <v>2.1791939972981331E-2</v>
      </c>
      <c r="F30" s="618">
        <f>T17ap!M5/100</f>
        <v>2.1170750711117844E-2</v>
      </c>
      <c r="G30" s="618">
        <f>T17ap!N5/100</f>
        <v>3.6214893874165974E-2</v>
      </c>
      <c r="H30" s="618">
        <f>T17ap!O5/100</f>
        <v>2.5319180884809576E-2</v>
      </c>
    </row>
    <row r="31" spans="1:11" x14ac:dyDescent="0.25">
      <c r="A31" t="str">
        <f>T17ap!A6</f>
        <v>2014-15</v>
      </c>
      <c r="B31" s="618">
        <f>T17ap!I6/100</f>
        <v>3.1868346484751092E-2</v>
      </c>
      <c r="C31" s="618">
        <f>T17ap!J6/100</f>
        <v>2.3587378131879652E-2</v>
      </c>
      <c r="D31" s="618">
        <f>T17ap!K6/100</f>
        <v>1.6718611261747125E-2</v>
      </c>
      <c r="E31" s="618">
        <f>T17ap!L6/100</f>
        <v>1.7886003663398341E-2</v>
      </c>
      <c r="F31" s="618">
        <f>T17ap!M6/100</f>
        <v>1.920827339900005E-2</v>
      </c>
      <c r="G31" s="618">
        <f>T17ap!N6/100</f>
        <v>3.5313264951207186E-2</v>
      </c>
      <c r="H31" s="618">
        <f>T17ap!O6/100</f>
        <v>2.3452202857356566E-2</v>
      </c>
    </row>
    <row r="32" spans="1:11" x14ac:dyDescent="0.25">
      <c r="A32" t="str">
        <f>T17ap!A7</f>
        <v>2015-16</v>
      </c>
      <c r="B32" s="618">
        <f>T17ap!I7/100</f>
        <v>3.1836633765377403E-2</v>
      </c>
      <c r="C32" s="618">
        <f>T17ap!J7/100</f>
        <v>2.4072968224256135E-2</v>
      </c>
      <c r="D32" s="618">
        <f>T17ap!K7/100</f>
        <v>1.743119819504603E-2</v>
      </c>
      <c r="E32" s="618">
        <f>T17ap!L7/100</f>
        <v>1.7731512977404357E-2</v>
      </c>
      <c r="F32" s="618">
        <f>T17ap!M7/100</f>
        <v>2.0207351468548171E-2</v>
      </c>
      <c r="G32" s="618">
        <f>T17ap!N7/100</f>
        <v>4.0293256937670344E-2</v>
      </c>
      <c r="H32" s="618">
        <f>T17ap!O7/100</f>
        <v>2.5074446305602086E-2</v>
      </c>
    </row>
    <row r="33" spans="1:8" x14ac:dyDescent="0.25">
      <c r="A33" t="str">
        <f>T17ap!A8</f>
        <v>2016-17</v>
      </c>
      <c r="B33" s="618">
        <f>T17ap!I8/100</f>
        <v>2.6751335129753025E-2</v>
      </c>
      <c r="C33" s="618">
        <f>T17ap!J8/100</f>
        <v>2.2349055966874452E-2</v>
      </c>
      <c r="D33" s="618">
        <f>T17ap!K8/100</f>
        <v>1.7018839798088752E-2</v>
      </c>
      <c r="E33" s="618">
        <f>T17ap!L8/100</f>
        <v>1.3071088286822989E-2</v>
      </c>
      <c r="F33" s="618">
        <f>T17ap!M8/100</f>
        <v>1.953746600462598E-2</v>
      </c>
      <c r="G33" s="618">
        <f>T17ap!N8/100</f>
        <v>4.173614704924003E-2</v>
      </c>
      <c r="H33" s="618">
        <f>T17ap!O8/100</f>
        <v>2.3903269376653654E-2</v>
      </c>
    </row>
    <row r="34" spans="1:8" x14ac:dyDescent="0.25">
      <c r="A34" t="str">
        <f>T17ap!A9</f>
        <v>2017-18</v>
      </c>
      <c r="B34" s="618">
        <f>T17ap!I9/100</f>
        <v>2.7273436226099408E-2</v>
      </c>
      <c r="C34" s="618">
        <f>T17ap!J9/100</f>
        <v>2.2093953467700721E-2</v>
      </c>
      <c r="D34" s="618">
        <f>T17ap!K9/100</f>
        <v>1.6209257770713342E-2</v>
      </c>
      <c r="E34" s="618">
        <f>T17ap!L9/100</f>
        <v>1.3984682435577371E-2</v>
      </c>
      <c r="F34" s="618">
        <f>T17ap!M9/100</f>
        <v>1.9291712357163395E-2</v>
      </c>
      <c r="G34" s="618">
        <f>T17ap!N9/100</f>
        <v>3.999210351008415E-2</v>
      </c>
      <c r="H34" s="618">
        <f>T17ap!O9/100</f>
        <v>2.358538563633682E-2</v>
      </c>
    </row>
    <row r="35" spans="1:8" x14ac:dyDescent="0.25">
      <c r="A35" t="str">
        <f>T17ap!A10</f>
        <v>2018-19</v>
      </c>
      <c r="B35" s="618">
        <f>T17ap!I10/100</f>
        <v>2.6244121620157334E-2</v>
      </c>
      <c r="C35" s="618">
        <f>T17ap!J10/100</f>
        <v>2.2083850613962567E-2</v>
      </c>
      <c r="D35" s="618">
        <f>T17ap!K10/100</f>
        <v>1.6496084534584367E-2</v>
      </c>
      <c r="E35" s="618">
        <f>T17ap!L10/100</f>
        <v>1.415210647920309E-2</v>
      </c>
      <c r="F35" s="618">
        <f>T17ap!M10/100</f>
        <v>1.8794160521253468E-2</v>
      </c>
      <c r="G35" s="618">
        <f>T17ap!N10/100</f>
        <v>3.7755600151868525E-2</v>
      </c>
      <c r="H35" s="618">
        <f>T17ap!O10/100</f>
        <v>2.2909655946010556E-2</v>
      </c>
    </row>
    <row r="36" spans="1:8" ht="15.75" thickBot="1" x14ac:dyDescent="0.3">
      <c r="A36" s="480" t="str">
        <f>T17ap!A11</f>
        <v>2019-20</v>
      </c>
      <c r="B36" s="836">
        <f>T17ap!I11/100</f>
        <v>2.5909500763667815E-2</v>
      </c>
      <c r="C36" s="836">
        <f>T17ap!J11/100</f>
        <v>2.1887441563666125E-2</v>
      </c>
      <c r="D36" s="836">
        <f>T17ap!K11/100</f>
        <v>1.6055974529491784E-2</v>
      </c>
      <c r="E36" s="836">
        <f>T17ap!L11/100</f>
        <v>1.3978495723593021E-2</v>
      </c>
      <c r="F36" s="836">
        <f>T17ap!M11/100</f>
        <v>1.8299783502449266E-2</v>
      </c>
      <c r="G36" s="836">
        <f>T17ap!N11/100</f>
        <v>3.7069672037672557E-2</v>
      </c>
      <c r="H36" s="836">
        <f>T17ap!O11/100</f>
        <v>2.2519722512034851E-2</v>
      </c>
    </row>
    <row r="37" spans="1:8" x14ac:dyDescent="0.25">
      <c r="H37" s="545"/>
    </row>
    <row r="38" spans="1:8" x14ac:dyDescent="0.25">
      <c r="A38" s="437" t="s">
        <v>8</v>
      </c>
      <c r="H38" s="545"/>
    </row>
    <row r="39" spans="1:8" x14ac:dyDescent="0.25">
      <c r="A39" s="1076" t="s">
        <v>831</v>
      </c>
      <c r="B39" s="1076"/>
      <c r="C39" s="1076"/>
      <c r="D39" s="1076"/>
      <c r="E39" s="1076"/>
      <c r="F39" s="1076"/>
      <c r="G39" s="1076"/>
      <c r="H39" s="1076"/>
    </row>
    <row r="40" spans="1:8" x14ac:dyDescent="0.25">
      <c r="A40" t="s">
        <v>832</v>
      </c>
    </row>
    <row r="41" spans="1:8" x14ac:dyDescent="0.25">
      <c r="A41" s="951" t="s">
        <v>833</v>
      </c>
    </row>
  </sheetData>
  <sheetProtection algorithmName="SHA-512" hashValue="5ogeBfTbe3JFGO4pT/+1YNlwNI5PTOZQjoU9pcCcd4EOwhPqkX9j4HZWQ3Rfl+/9B/Qd8QYqbeXMsTejMDIbFA==" saltValue="wzW5WyNDmVWpeFwB9E7WHA==" spinCount="100000" sheet="1" scenarios="1" formatCells="0" formatColumns="0" formatRows="0" sort="0" autoFilter="0" pivotTables="0"/>
  <mergeCells count="2">
    <mergeCell ref="A20:H20"/>
    <mergeCell ref="A39:H39"/>
  </mergeCells>
  <hyperlinks>
    <hyperlink ref="A2" location="'Table of Contents'!A1" display="Back to Table of Contents"/>
    <hyperlink ref="A41" r:id="rId1"/>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32"/>
  <sheetViews>
    <sheetView showGridLines="0" workbookViewId="0">
      <pane ySplit="2" topLeftCell="A3" activePane="bottomLeft" state="frozen"/>
      <selection pane="bottomLeft"/>
    </sheetView>
  </sheetViews>
  <sheetFormatPr defaultRowHeight="15" x14ac:dyDescent="0.25"/>
  <cols>
    <col min="1" max="1" width="17.42578125" customWidth="1"/>
    <col min="2" max="6" width="10.7109375" customWidth="1"/>
  </cols>
  <sheetData>
    <row r="1" spans="1:12" ht="15.75" x14ac:dyDescent="0.25">
      <c r="A1" s="802" t="s">
        <v>605</v>
      </c>
      <c r="B1" s="802"/>
      <c r="C1" s="802"/>
    </row>
    <row r="2" spans="1:12" ht="15.75" x14ac:dyDescent="0.25">
      <c r="A2" s="772" t="s">
        <v>578</v>
      </c>
      <c r="B2" s="1021"/>
      <c r="C2" s="1021"/>
    </row>
    <row r="3" spans="1:12" x14ac:dyDescent="0.25">
      <c r="A3" s="31"/>
      <c r="B3" s="31"/>
      <c r="C3" s="31"/>
    </row>
    <row r="4" spans="1:12" ht="15.75" x14ac:dyDescent="0.25">
      <c r="A4" s="850" t="s">
        <v>1032</v>
      </c>
      <c r="B4" s="850"/>
      <c r="C4" s="850"/>
    </row>
    <row r="5" spans="1:12" ht="15.75" x14ac:dyDescent="0.25">
      <c r="A5" t="s">
        <v>937</v>
      </c>
      <c r="B5" s="850"/>
      <c r="C5" s="850"/>
    </row>
    <row r="6" spans="1:12" ht="15.75" x14ac:dyDescent="0.25">
      <c r="A6" t="s">
        <v>363</v>
      </c>
      <c r="B6" t="s">
        <v>1033</v>
      </c>
      <c r="C6" s="1024"/>
    </row>
    <row r="7" spans="1:12" ht="15.75" x14ac:dyDescent="0.25">
      <c r="A7" t="s">
        <v>364</v>
      </c>
      <c r="B7" t="s">
        <v>366</v>
      </c>
      <c r="C7" s="1024"/>
      <c r="J7" s="437"/>
    </row>
    <row r="8" spans="1:12" ht="15.75" x14ac:dyDescent="0.25">
      <c r="A8" t="s">
        <v>365</v>
      </c>
      <c r="B8" t="s">
        <v>606</v>
      </c>
      <c r="C8" s="1024"/>
    </row>
    <row r="9" spans="1:12" x14ac:dyDescent="0.25">
      <c r="F9" s="437" t="s">
        <v>865</v>
      </c>
      <c r="K9" s="437" t="s">
        <v>1034</v>
      </c>
    </row>
    <row r="10" spans="1:12" ht="22.5" customHeight="1" x14ac:dyDescent="0.25">
      <c r="A10" t="s">
        <v>877</v>
      </c>
      <c r="B10" s="1043" t="str">
        <f>htenure!I5</f>
        <v>2015-16</v>
      </c>
      <c r="C10" s="1043" t="str">
        <f>htenure!J5</f>
        <v>2016-17</v>
      </c>
      <c r="D10" s="1043" t="str">
        <f>htenure!K5</f>
        <v>2017-18</v>
      </c>
      <c r="E10" s="1043" t="str">
        <f>htenure!L5</f>
        <v>2018-19</v>
      </c>
      <c r="F10" s="1043" t="str">
        <f>htenure!M5</f>
        <v>2019-20</v>
      </c>
      <c r="H10" s="1043" t="str">
        <f>B10</f>
        <v>2015-16</v>
      </c>
      <c r="I10" s="1043" t="str">
        <f t="shared" ref="I10:L10" si="0">C10</f>
        <v>2016-17</v>
      </c>
      <c r="J10" s="1043" t="str">
        <f t="shared" si="0"/>
        <v>2017-18</v>
      </c>
      <c r="K10" s="1043" t="str">
        <f t="shared" si="0"/>
        <v>2018-19</v>
      </c>
      <c r="L10" s="1043" t="str">
        <f t="shared" si="0"/>
        <v>2019-20</v>
      </c>
    </row>
    <row r="11" spans="1:12" x14ac:dyDescent="0.25">
      <c r="A11" s="1044" t="str">
        <f>htenure!H6</f>
        <v>Housing Association</v>
      </c>
      <c r="B11" s="1044">
        <f>htenure!I6</f>
        <v>8020</v>
      </c>
      <c r="C11" s="1044">
        <f>htenure!J6</f>
        <v>7448</v>
      </c>
      <c r="D11" s="1044">
        <f>htenure!K6</f>
        <v>7742</v>
      </c>
      <c r="E11" s="1044">
        <f>htenure!L6</f>
        <v>9727</v>
      </c>
      <c r="F11" s="1044">
        <f>htenure!M6</f>
        <v>10039</v>
      </c>
      <c r="H11" s="1045">
        <f>B11/B$17</f>
        <v>0.1118284367723134</v>
      </c>
      <c r="I11" s="1045">
        <f t="shared" ref="I11:L11" si="1">C11/C$17</f>
        <v>0.10519625429019364</v>
      </c>
      <c r="J11" s="1045">
        <f t="shared" si="1"/>
        <v>0.11086766622273775</v>
      </c>
      <c r="K11" s="1045">
        <f t="shared" si="1"/>
        <v>0.14055952140111558</v>
      </c>
      <c r="L11" s="1045">
        <f t="shared" si="1"/>
        <v>0.14501567307553412</v>
      </c>
    </row>
    <row r="12" spans="1:12" x14ac:dyDescent="0.25">
      <c r="A12" s="664" t="str">
        <f>htenure!H7</f>
        <v>Local Authority</v>
      </c>
      <c r="B12" s="664">
        <f>htenure!I7</f>
        <v>15848</v>
      </c>
      <c r="C12" s="664">
        <f>htenure!J7</f>
        <v>15101</v>
      </c>
      <c r="D12" s="664">
        <f>htenure!K7</f>
        <v>14796</v>
      </c>
      <c r="E12" s="664">
        <f>htenure!L7</f>
        <v>15332</v>
      </c>
      <c r="F12" s="664">
        <f>htenure!M7</f>
        <v>15694</v>
      </c>
      <c r="H12" s="1046">
        <f t="shared" ref="H12:H16" si="2">B12/B$17</f>
        <v>0.22097968403586318</v>
      </c>
      <c r="I12" s="1046">
        <f t="shared" ref="I12:I16" si="3">C12/C$17</f>
        <v>0.21328794791034025</v>
      </c>
      <c r="J12" s="1046">
        <f t="shared" ref="J12:J16" si="4">D12/D$17</f>
        <v>0.21188297461013017</v>
      </c>
      <c r="K12" s="1046">
        <f t="shared" ref="K12:K16" si="5">E12/E$17</f>
        <v>0.22155429033842952</v>
      </c>
      <c r="L12" s="1046">
        <f t="shared" ref="L12:L16" si="6">F12/F$17</f>
        <v>0.22670345385470986</v>
      </c>
    </row>
    <row r="13" spans="1:12" x14ac:dyDescent="0.25">
      <c r="A13" s="664" t="str">
        <f>htenure!H8</f>
        <v>Not Known</v>
      </c>
      <c r="B13" s="664">
        <f>htenure!I8</f>
        <v>101</v>
      </c>
      <c r="C13" s="664">
        <f>htenure!J8</f>
        <v>103</v>
      </c>
      <c r="D13" s="664">
        <f>htenure!K8</f>
        <v>107</v>
      </c>
      <c r="E13" s="664">
        <f>htenure!L8</f>
        <v>622</v>
      </c>
      <c r="F13" s="664">
        <f>htenure!M8</f>
        <v>641</v>
      </c>
      <c r="H13" s="1046">
        <f t="shared" si="2"/>
        <v>1.4083132311725254E-3</v>
      </c>
      <c r="I13" s="1046">
        <f t="shared" si="3"/>
        <v>1.4547817121227102E-3</v>
      </c>
      <c r="J13" s="1046">
        <f t="shared" si="4"/>
        <v>1.5322707679970213E-3</v>
      </c>
      <c r="K13" s="1046">
        <f t="shared" si="5"/>
        <v>8.9881795323834574E-3</v>
      </c>
      <c r="L13" s="1046">
        <f t="shared" si="6"/>
        <v>9.2593930113972871E-3</v>
      </c>
    </row>
    <row r="14" spans="1:12" x14ac:dyDescent="0.25">
      <c r="A14" s="664" t="str">
        <f>htenure!H9</f>
        <v>Other</v>
      </c>
      <c r="B14" s="664">
        <f>htenure!I9</f>
        <v>5400</v>
      </c>
      <c r="C14" s="664">
        <f>htenure!J9</f>
        <v>4535</v>
      </c>
      <c r="D14" s="664">
        <f>htenure!K9</f>
        <v>5074</v>
      </c>
      <c r="E14" s="664">
        <f>htenure!L9</f>
        <v>4289</v>
      </c>
      <c r="F14" s="664">
        <f>htenure!M9</f>
        <v>4004</v>
      </c>
      <c r="H14" s="1046">
        <f t="shared" si="2"/>
        <v>7.5295954933976603E-2</v>
      </c>
      <c r="I14" s="1046">
        <f t="shared" si="3"/>
        <v>6.405276761627661E-2</v>
      </c>
      <c r="J14" s="1046">
        <f t="shared" si="4"/>
        <v>7.266113903567184E-2</v>
      </c>
      <c r="K14" s="1046">
        <f t="shared" si="5"/>
        <v>6.1977977515100723E-2</v>
      </c>
      <c r="L14" s="1046">
        <f t="shared" si="6"/>
        <v>5.7838704551692259E-2</v>
      </c>
    </row>
    <row r="15" spans="1:12" x14ac:dyDescent="0.25">
      <c r="A15" s="664" t="str">
        <f>htenure!H10</f>
        <v>Owner Occupier</v>
      </c>
      <c r="B15" s="664">
        <f>htenure!I10</f>
        <v>37461</v>
      </c>
      <c r="C15" s="664">
        <f>htenure!J10</f>
        <v>39726</v>
      </c>
      <c r="D15" s="664">
        <f>htenure!K10</f>
        <v>38345</v>
      </c>
      <c r="E15" s="664">
        <f>htenure!L10</f>
        <v>35339</v>
      </c>
      <c r="F15" s="664">
        <f>htenure!M10</f>
        <v>34625</v>
      </c>
      <c r="H15" s="1046">
        <f t="shared" si="2"/>
        <v>0.52234477181142547</v>
      </c>
      <c r="I15" s="1046">
        <f t="shared" si="3"/>
        <v>0.56109376986200765</v>
      </c>
      <c r="J15" s="1046">
        <f t="shared" si="4"/>
        <v>0.54911142615743724</v>
      </c>
      <c r="K15" s="1046">
        <f t="shared" si="5"/>
        <v>0.51066443166382469</v>
      </c>
      <c r="L15" s="1046">
        <f t="shared" si="6"/>
        <v>0.50016612015543072</v>
      </c>
    </row>
    <row r="16" spans="1:12" x14ac:dyDescent="0.25">
      <c r="A16" s="419" t="str">
        <f>htenure!H11</f>
        <v>Private Let</v>
      </c>
      <c r="B16" s="419">
        <f>htenure!I11</f>
        <v>4887</v>
      </c>
      <c r="C16" s="419">
        <f>htenure!J11</f>
        <v>3888</v>
      </c>
      <c r="D16" s="419">
        <f>htenure!K11</f>
        <v>3767</v>
      </c>
      <c r="E16" s="419">
        <f>htenure!L11</f>
        <v>3893</v>
      </c>
      <c r="F16" s="419">
        <f>htenure!M11</f>
        <v>4224</v>
      </c>
      <c r="H16" s="1047">
        <f t="shared" si="2"/>
        <v>6.8142839215248829E-2</v>
      </c>
      <c r="I16" s="1047">
        <f t="shared" si="3"/>
        <v>5.4914478609059195E-2</v>
      </c>
      <c r="J16" s="1047">
        <f t="shared" si="4"/>
        <v>5.3944523206025975E-2</v>
      </c>
      <c r="K16" s="1047">
        <f t="shared" si="5"/>
        <v>5.6255599549145975E-2</v>
      </c>
      <c r="L16" s="1047">
        <f t="shared" si="6"/>
        <v>6.1016655351235786E-2</v>
      </c>
    </row>
    <row r="17" spans="1:12" ht="15.75" thickBot="1" x14ac:dyDescent="0.3">
      <c r="A17" s="682" t="s">
        <v>26</v>
      </c>
      <c r="B17" s="767">
        <f>htenure!I12</f>
        <v>71717</v>
      </c>
      <c r="C17" s="767">
        <f>htenure!J12</f>
        <v>70801</v>
      </c>
      <c r="D17" s="767">
        <f>htenure!K12</f>
        <v>69831</v>
      </c>
      <c r="E17" s="767">
        <f>htenure!L12</f>
        <v>69202</v>
      </c>
      <c r="F17" s="767">
        <f>htenure!M12</f>
        <v>69227</v>
      </c>
      <c r="G17" s="852"/>
      <c r="H17" s="682"/>
      <c r="I17" s="682"/>
      <c r="J17" s="682"/>
      <c r="K17" s="682"/>
      <c r="L17" s="682"/>
    </row>
    <row r="30" spans="1:12" x14ac:dyDescent="0.25">
      <c r="B30" s="366"/>
    </row>
    <row r="31" spans="1:12" x14ac:dyDescent="0.25">
      <c r="B31" s="366"/>
      <c r="H31" s="366"/>
      <c r="I31" s="366"/>
      <c r="J31" s="366"/>
    </row>
    <row r="32" spans="1:12" x14ac:dyDescent="0.25">
      <c r="B32" s="366"/>
    </row>
  </sheetData>
  <sheetProtection algorithmName="SHA-512" hashValue="TC+2UpEeIF9ns9ZqNfdaYjXc0aVZCInEkZPRnXSFZGCgqUhZHHFm4PshT8tdnX9eaUoAQQMLieCwmVJka3Y6Sw==" saltValue="fgtuDI742Xw/KBR/uPr5WA==" spinCount="100000" sheet="1" scenarios="1" formatCells="0" formatColumns="0" formatRows="0" sort="0" autoFilter="0" pivotTables="0"/>
  <sortState ref="C2:G32">
    <sortCondition ref="C1"/>
  </sortState>
  <hyperlinks>
    <hyperlink ref="A2" location="'Table of Contents'!A1" display="Back to Table of Contents"/>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N31"/>
  <sheetViews>
    <sheetView topLeftCell="C1" workbookViewId="0">
      <selection activeCell="I5" sqref="I5"/>
    </sheetView>
  </sheetViews>
  <sheetFormatPr defaultRowHeight="15" x14ac:dyDescent="0.25"/>
  <cols>
    <col min="2" max="2" width="9.42578125" customWidth="1"/>
    <col min="4" max="4" width="19" customWidth="1"/>
    <col min="5" max="5" width="16.5703125" customWidth="1"/>
    <col min="8" max="8" width="19" bestFit="1" customWidth="1"/>
    <col min="9" max="9" width="16.28515625" bestFit="1" customWidth="1"/>
    <col min="10" max="13" width="7.7109375" bestFit="1" customWidth="1"/>
    <col min="14" max="14" width="11.28515625" bestFit="1" customWidth="1"/>
  </cols>
  <sheetData>
    <row r="1" spans="1:14" x14ac:dyDescent="0.25">
      <c r="A1" s="956" t="s">
        <v>329</v>
      </c>
      <c r="B1" s="956" t="s">
        <v>877</v>
      </c>
      <c r="C1" s="956" t="s">
        <v>865</v>
      </c>
      <c r="D1" t="s">
        <v>869</v>
      </c>
      <c r="E1" t="s">
        <v>866</v>
      </c>
    </row>
    <row r="2" spans="1:14" x14ac:dyDescent="0.25">
      <c r="A2" s="956" t="s">
        <v>202</v>
      </c>
      <c r="B2" s="956" t="s">
        <v>878</v>
      </c>
      <c r="C2" s="956">
        <v>8020</v>
      </c>
      <c r="D2">
        <v>1075</v>
      </c>
      <c r="E2">
        <v>13.4</v>
      </c>
    </row>
    <row r="3" spans="1:14" x14ac:dyDescent="0.25">
      <c r="A3" s="956" t="s">
        <v>202</v>
      </c>
      <c r="B3" s="956" t="s">
        <v>120</v>
      </c>
      <c r="C3" s="956">
        <v>15848</v>
      </c>
      <c r="D3">
        <v>2785</v>
      </c>
      <c r="E3">
        <v>17.57</v>
      </c>
    </row>
    <row r="4" spans="1:14" x14ac:dyDescent="0.25">
      <c r="A4" s="956" t="s">
        <v>202</v>
      </c>
      <c r="B4" s="956" t="s">
        <v>879</v>
      </c>
      <c r="C4" s="956">
        <v>101</v>
      </c>
      <c r="D4">
        <v>17</v>
      </c>
      <c r="E4">
        <v>16.829999999999998</v>
      </c>
      <c r="H4" s="565" t="s">
        <v>1031</v>
      </c>
      <c r="I4" s="565" t="s">
        <v>271</v>
      </c>
    </row>
    <row r="5" spans="1:14" x14ac:dyDescent="0.25">
      <c r="A5" s="956" t="s">
        <v>202</v>
      </c>
      <c r="B5" s="956" t="s">
        <v>200</v>
      </c>
      <c r="C5" s="956">
        <v>5400</v>
      </c>
      <c r="D5">
        <v>1804</v>
      </c>
      <c r="E5">
        <v>33.409999999999997</v>
      </c>
      <c r="H5" s="565" t="s">
        <v>246</v>
      </c>
      <c r="I5" t="s">
        <v>202</v>
      </c>
      <c r="J5" t="s">
        <v>273</v>
      </c>
      <c r="K5" t="s">
        <v>255</v>
      </c>
      <c r="L5" t="s">
        <v>254</v>
      </c>
      <c r="M5" t="s">
        <v>851</v>
      </c>
      <c r="N5" t="s">
        <v>251</v>
      </c>
    </row>
    <row r="6" spans="1:14" x14ac:dyDescent="0.25">
      <c r="A6" s="956" t="s">
        <v>202</v>
      </c>
      <c r="B6" s="956" t="s">
        <v>880</v>
      </c>
      <c r="C6" s="956">
        <v>37461</v>
      </c>
      <c r="D6">
        <v>20582</v>
      </c>
      <c r="E6">
        <v>54.94</v>
      </c>
      <c r="H6" s="1068" t="s">
        <v>878</v>
      </c>
      <c r="I6" s="567">
        <v>8020</v>
      </c>
      <c r="J6" s="567">
        <v>7448</v>
      </c>
      <c r="K6" s="567">
        <v>7742</v>
      </c>
      <c r="L6" s="567">
        <v>9727</v>
      </c>
      <c r="M6" s="567">
        <v>10039</v>
      </c>
      <c r="N6" s="567">
        <v>42976</v>
      </c>
    </row>
    <row r="7" spans="1:14" x14ac:dyDescent="0.25">
      <c r="A7" s="956" t="s">
        <v>202</v>
      </c>
      <c r="B7" s="956" t="s">
        <v>881</v>
      </c>
      <c r="C7" s="956">
        <v>4887</v>
      </c>
      <c r="D7">
        <v>2075</v>
      </c>
      <c r="E7">
        <v>42.46</v>
      </c>
      <c r="H7" s="1068" t="s">
        <v>120</v>
      </c>
      <c r="I7" s="567">
        <v>15848</v>
      </c>
      <c r="J7" s="567">
        <v>15101</v>
      </c>
      <c r="K7" s="567">
        <v>14796</v>
      </c>
      <c r="L7" s="567">
        <v>15332</v>
      </c>
      <c r="M7" s="567">
        <v>15694</v>
      </c>
      <c r="N7" s="567">
        <v>76771</v>
      </c>
    </row>
    <row r="8" spans="1:14" x14ac:dyDescent="0.25">
      <c r="A8" s="956" t="s">
        <v>273</v>
      </c>
      <c r="B8" s="956" t="s">
        <v>878</v>
      </c>
      <c r="C8" s="956">
        <v>7448</v>
      </c>
      <c r="D8">
        <v>911</v>
      </c>
      <c r="E8">
        <v>12.23</v>
      </c>
      <c r="H8" s="1068" t="s">
        <v>879</v>
      </c>
      <c r="I8" s="567">
        <v>101</v>
      </c>
      <c r="J8" s="567">
        <v>103</v>
      </c>
      <c r="K8" s="567">
        <v>107</v>
      </c>
      <c r="L8" s="567">
        <v>622</v>
      </c>
      <c r="M8" s="567">
        <v>641</v>
      </c>
      <c r="N8" s="567">
        <v>1574</v>
      </c>
    </row>
    <row r="9" spans="1:14" x14ac:dyDescent="0.25">
      <c r="A9" s="956" t="s">
        <v>273</v>
      </c>
      <c r="B9" s="956" t="s">
        <v>120</v>
      </c>
      <c r="C9" s="956">
        <v>15101</v>
      </c>
      <c r="D9">
        <v>2900</v>
      </c>
      <c r="E9">
        <v>19.2</v>
      </c>
      <c r="H9" s="1068" t="s">
        <v>200</v>
      </c>
      <c r="I9" s="567">
        <v>5400</v>
      </c>
      <c r="J9" s="567">
        <v>4535</v>
      </c>
      <c r="K9" s="567">
        <v>5074</v>
      </c>
      <c r="L9" s="567">
        <v>4289</v>
      </c>
      <c r="M9" s="567">
        <v>4004</v>
      </c>
      <c r="N9" s="567">
        <v>23302</v>
      </c>
    </row>
    <row r="10" spans="1:14" x14ac:dyDescent="0.25">
      <c r="A10" s="956" t="s">
        <v>273</v>
      </c>
      <c r="B10" s="956" t="s">
        <v>879</v>
      </c>
      <c r="C10" s="956">
        <v>103</v>
      </c>
      <c r="D10">
        <v>29</v>
      </c>
      <c r="E10">
        <v>28.16</v>
      </c>
      <c r="H10" s="1068" t="s">
        <v>880</v>
      </c>
      <c r="I10" s="567">
        <v>37461</v>
      </c>
      <c r="J10" s="567">
        <v>39726</v>
      </c>
      <c r="K10" s="567">
        <v>38345</v>
      </c>
      <c r="L10" s="567">
        <v>35339</v>
      </c>
      <c r="M10" s="567">
        <v>34625</v>
      </c>
      <c r="N10" s="567">
        <v>185496</v>
      </c>
    </row>
    <row r="11" spans="1:14" x14ac:dyDescent="0.25">
      <c r="A11" s="956" t="s">
        <v>273</v>
      </c>
      <c r="B11" s="956" t="s">
        <v>200</v>
      </c>
      <c r="C11" s="956">
        <v>4535</v>
      </c>
      <c r="D11">
        <v>1743</v>
      </c>
      <c r="E11">
        <v>38.43</v>
      </c>
      <c r="H11" s="1068" t="s">
        <v>881</v>
      </c>
      <c r="I11" s="567">
        <v>4887</v>
      </c>
      <c r="J11" s="567">
        <v>3888</v>
      </c>
      <c r="K11" s="567">
        <v>3767</v>
      </c>
      <c r="L11" s="567">
        <v>3893</v>
      </c>
      <c r="M11" s="567">
        <v>4224</v>
      </c>
      <c r="N11" s="567">
        <v>20659</v>
      </c>
    </row>
    <row r="12" spans="1:14" x14ac:dyDescent="0.25">
      <c r="A12" s="956" t="s">
        <v>273</v>
      </c>
      <c r="B12" s="956" t="s">
        <v>880</v>
      </c>
      <c r="C12" s="956">
        <v>39726</v>
      </c>
      <c r="D12">
        <v>21875</v>
      </c>
      <c r="E12">
        <v>55.06</v>
      </c>
      <c r="H12" s="1068" t="s">
        <v>251</v>
      </c>
      <c r="I12" s="567">
        <v>71717</v>
      </c>
      <c r="J12" s="567">
        <v>70801</v>
      </c>
      <c r="K12" s="567">
        <v>69831</v>
      </c>
      <c r="L12" s="567">
        <v>69202</v>
      </c>
      <c r="M12" s="567">
        <v>69227</v>
      </c>
      <c r="N12" s="567">
        <v>350778</v>
      </c>
    </row>
    <row r="13" spans="1:14" x14ac:dyDescent="0.25">
      <c r="A13" s="956" t="s">
        <v>273</v>
      </c>
      <c r="B13" s="956" t="s">
        <v>881</v>
      </c>
      <c r="C13" s="956">
        <v>3888</v>
      </c>
      <c r="D13">
        <v>1558</v>
      </c>
      <c r="E13">
        <v>40.07</v>
      </c>
    </row>
    <row r="14" spans="1:14" x14ac:dyDescent="0.25">
      <c r="A14" s="956" t="s">
        <v>255</v>
      </c>
      <c r="B14" s="956" t="s">
        <v>878</v>
      </c>
      <c r="C14" s="956">
        <v>7742</v>
      </c>
      <c r="D14">
        <v>994</v>
      </c>
      <c r="E14">
        <v>12.84</v>
      </c>
    </row>
    <row r="15" spans="1:14" x14ac:dyDescent="0.25">
      <c r="A15" s="956" t="s">
        <v>255</v>
      </c>
      <c r="B15" s="956" t="s">
        <v>120</v>
      </c>
      <c r="C15" s="956">
        <v>14796</v>
      </c>
      <c r="D15">
        <v>2507</v>
      </c>
      <c r="E15">
        <v>16.940000000000001</v>
      </c>
    </row>
    <row r="16" spans="1:14" x14ac:dyDescent="0.25">
      <c r="A16" s="956" t="s">
        <v>255</v>
      </c>
      <c r="B16" s="956" t="s">
        <v>879</v>
      </c>
      <c r="C16" s="956">
        <v>107</v>
      </c>
      <c r="D16">
        <v>34</v>
      </c>
      <c r="E16">
        <v>31.78</v>
      </c>
    </row>
    <row r="17" spans="1:5" x14ac:dyDescent="0.25">
      <c r="A17" s="956" t="s">
        <v>255</v>
      </c>
      <c r="B17" s="956" t="s">
        <v>200</v>
      </c>
      <c r="C17" s="956">
        <v>5074</v>
      </c>
      <c r="D17">
        <v>1823</v>
      </c>
      <c r="E17">
        <v>35.93</v>
      </c>
    </row>
    <row r="18" spans="1:5" x14ac:dyDescent="0.25">
      <c r="A18" s="956" t="s">
        <v>255</v>
      </c>
      <c r="B18" s="956" t="s">
        <v>880</v>
      </c>
      <c r="C18" s="956">
        <v>38345</v>
      </c>
      <c r="D18">
        <v>21072</v>
      </c>
      <c r="E18">
        <v>54.95</v>
      </c>
    </row>
    <row r="19" spans="1:5" x14ac:dyDescent="0.25">
      <c r="A19" s="956" t="s">
        <v>255</v>
      </c>
      <c r="B19" s="956" t="s">
        <v>881</v>
      </c>
      <c r="C19" s="956">
        <v>3767</v>
      </c>
      <c r="D19">
        <v>1324</v>
      </c>
      <c r="E19">
        <v>35.15</v>
      </c>
    </row>
    <row r="20" spans="1:5" x14ac:dyDescent="0.25">
      <c r="A20" s="956" t="s">
        <v>254</v>
      </c>
      <c r="B20" s="956" t="s">
        <v>878</v>
      </c>
      <c r="C20" s="956">
        <v>9727</v>
      </c>
      <c r="D20">
        <v>953</v>
      </c>
      <c r="E20">
        <v>9.8000000000000007</v>
      </c>
    </row>
    <row r="21" spans="1:5" x14ac:dyDescent="0.25">
      <c r="A21" s="956" t="s">
        <v>254</v>
      </c>
      <c r="B21" s="956" t="s">
        <v>120</v>
      </c>
      <c r="C21" s="956">
        <v>15332</v>
      </c>
      <c r="D21">
        <v>2303</v>
      </c>
      <c r="E21">
        <v>15.02</v>
      </c>
    </row>
    <row r="22" spans="1:5" x14ac:dyDescent="0.25">
      <c r="A22" s="956" t="s">
        <v>254</v>
      </c>
      <c r="B22" s="956" t="s">
        <v>879</v>
      </c>
      <c r="C22" s="956">
        <v>622</v>
      </c>
      <c r="D22">
        <v>115</v>
      </c>
      <c r="E22">
        <v>18.489999999999998</v>
      </c>
    </row>
    <row r="23" spans="1:5" x14ac:dyDescent="0.25">
      <c r="A23" s="956" t="s">
        <v>254</v>
      </c>
      <c r="B23" s="956" t="s">
        <v>200</v>
      </c>
      <c r="C23" s="956">
        <v>4289</v>
      </c>
      <c r="D23">
        <v>1374</v>
      </c>
      <c r="E23">
        <v>32.04</v>
      </c>
    </row>
    <row r="24" spans="1:5" x14ac:dyDescent="0.25">
      <c r="A24" s="956" t="s">
        <v>254</v>
      </c>
      <c r="B24" s="956" t="s">
        <v>880</v>
      </c>
      <c r="C24" s="956">
        <v>35339</v>
      </c>
      <c r="D24">
        <v>18512</v>
      </c>
      <c r="E24">
        <v>52.38</v>
      </c>
    </row>
    <row r="25" spans="1:5" x14ac:dyDescent="0.25">
      <c r="A25" s="956" t="s">
        <v>254</v>
      </c>
      <c r="B25" s="956" t="s">
        <v>881</v>
      </c>
      <c r="C25" s="956">
        <v>3893</v>
      </c>
      <c r="D25">
        <v>1205</v>
      </c>
      <c r="E25">
        <v>30.95</v>
      </c>
    </row>
    <row r="26" spans="1:5" x14ac:dyDescent="0.25">
      <c r="A26" s="956" t="s">
        <v>851</v>
      </c>
      <c r="B26" s="956" t="s">
        <v>878</v>
      </c>
      <c r="C26" s="956">
        <v>10039</v>
      </c>
      <c r="D26">
        <v>792</v>
      </c>
      <c r="E26">
        <v>7.89</v>
      </c>
    </row>
    <row r="27" spans="1:5" x14ac:dyDescent="0.25">
      <c r="A27" s="956" t="s">
        <v>851</v>
      </c>
      <c r="B27" s="956" t="s">
        <v>120</v>
      </c>
      <c r="C27" s="956">
        <v>15694</v>
      </c>
      <c r="D27">
        <v>2054</v>
      </c>
      <c r="E27">
        <v>13.09</v>
      </c>
    </row>
    <row r="28" spans="1:5" x14ac:dyDescent="0.25">
      <c r="A28" s="956" t="s">
        <v>851</v>
      </c>
      <c r="B28" s="956" t="s">
        <v>879</v>
      </c>
      <c r="C28" s="956">
        <v>641</v>
      </c>
      <c r="D28">
        <v>83</v>
      </c>
      <c r="E28">
        <v>12.95</v>
      </c>
    </row>
    <row r="29" spans="1:5" x14ac:dyDescent="0.25">
      <c r="A29" s="956" t="s">
        <v>851</v>
      </c>
      <c r="B29" s="956" t="s">
        <v>200</v>
      </c>
      <c r="C29" s="956">
        <v>4004</v>
      </c>
      <c r="D29">
        <v>1339</v>
      </c>
      <c r="E29">
        <v>33.44</v>
      </c>
    </row>
    <row r="30" spans="1:5" x14ac:dyDescent="0.25">
      <c r="A30" s="956" t="s">
        <v>851</v>
      </c>
      <c r="B30" s="956" t="s">
        <v>880</v>
      </c>
      <c r="C30" s="956">
        <v>34625</v>
      </c>
      <c r="D30" s="366">
        <v>16995</v>
      </c>
      <c r="E30" s="366">
        <v>49.08</v>
      </c>
    </row>
    <row r="31" spans="1:5" x14ac:dyDescent="0.25">
      <c r="A31" s="956" t="s">
        <v>851</v>
      </c>
      <c r="B31" s="956" t="s">
        <v>881</v>
      </c>
      <c r="C31" s="956">
        <v>4224</v>
      </c>
      <c r="D31">
        <v>1024</v>
      </c>
      <c r="E31">
        <v>24.24</v>
      </c>
    </row>
  </sheetData>
  <sheetProtection algorithmName="SHA-512" hashValue="5GqmlKKuVyuLOZzj+MUmFgZoerKyqnRXy2vEIP/ADhqR7USqSQlmxb1yKPmhjGd5BP4EtZ1KBeZk45SdIJ1wfQ==" saltValue="s/xR0TFRrTKcrtw/lkLTrw==" spinCount="100000" sheet="1" scenarios="1" formatCells="0" formatColumns="0" formatRows="0" sort="0" autoFilter="0" pivotTables="0"/>
  <pageMargins left="0.7" right="0.7" top="0.75" bottom="0.75" header="0.3" footer="0.3"/>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0"/>
  <sheetViews>
    <sheetView showGridLines="0" workbookViewId="0">
      <pane ySplit="2" topLeftCell="A3" activePane="bottomLeft" state="frozen"/>
      <selection pane="bottomLeft"/>
    </sheetView>
  </sheetViews>
  <sheetFormatPr defaultColWidth="9.28515625" defaultRowHeight="15" x14ac:dyDescent="0.25"/>
  <cols>
    <col min="1" max="1" width="19.140625" customWidth="1"/>
    <col min="2" max="8" width="23.85546875" customWidth="1"/>
  </cols>
  <sheetData>
    <row r="1" spans="1:11" ht="15.75" x14ac:dyDescent="0.25">
      <c r="A1" s="802" t="s">
        <v>605</v>
      </c>
      <c r="B1" s="802"/>
      <c r="C1" s="802"/>
    </row>
    <row r="2" spans="1:11" ht="15.75" x14ac:dyDescent="0.25">
      <c r="A2" s="772" t="s">
        <v>578</v>
      </c>
      <c r="B2" s="780"/>
      <c r="C2" s="780"/>
    </row>
    <row r="3" spans="1:11" x14ac:dyDescent="0.25">
      <c r="A3" s="31"/>
      <c r="B3" s="31"/>
      <c r="C3" s="31"/>
      <c r="D3" s="31"/>
      <c r="E3" s="31"/>
      <c r="F3" s="31"/>
      <c r="G3" s="31"/>
      <c r="H3" s="31"/>
      <c r="I3" s="31"/>
      <c r="J3" s="31"/>
      <c r="K3" s="31"/>
    </row>
    <row r="4" spans="1:11" ht="15.75" x14ac:dyDescent="0.25">
      <c r="A4" s="850" t="s">
        <v>616</v>
      </c>
      <c r="B4" s="850"/>
      <c r="C4" s="850"/>
      <c r="D4" s="850"/>
      <c r="E4" s="850"/>
      <c r="F4" s="850"/>
      <c r="G4" s="850"/>
      <c r="H4" s="850"/>
      <c r="I4" s="850"/>
      <c r="J4" s="850"/>
      <c r="K4" s="850"/>
    </row>
    <row r="5" spans="1:11" ht="15.75" x14ac:dyDescent="0.25">
      <c r="A5" t="s">
        <v>363</v>
      </c>
      <c r="B5" t="s">
        <v>780</v>
      </c>
      <c r="C5" s="784"/>
      <c r="D5" s="784"/>
      <c r="E5" s="784"/>
      <c r="F5" s="784"/>
      <c r="G5" s="784"/>
      <c r="H5" s="784"/>
      <c r="I5" s="784"/>
      <c r="J5" s="784"/>
      <c r="K5" s="784"/>
    </row>
    <row r="6" spans="1:11" ht="15.75" x14ac:dyDescent="0.25">
      <c r="A6" t="s">
        <v>364</v>
      </c>
      <c r="B6" t="s">
        <v>366</v>
      </c>
      <c r="C6" s="784"/>
      <c r="D6" s="784"/>
      <c r="E6" s="784"/>
      <c r="F6" s="784"/>
      <c r="G6" s="784"/>
      <c r="H6" s="784"/>
      <c r="I6" s="784"/>
      <c r="J6" s="784"/>
      <c r="K6" s="784"/>
    </row>
    <row r="7" spans="1:11" ht="15.75" x14ac:dyDescent="0.25">
      <c r="A7" t="s">
        <v>365</v>
      </c>
      <c r="B7" t="s">
        <v>836</v>
      </c>
      <c r="C7" s="784"/>
      <c r="D7" s="784"/>
      <c r="E7" s="784"/>
      <c r="F7" s="784"/>
      <c r="G7" s="784"/>
      <c r="H7" s="784"/>
      <c r="I7" s="784"/>
      <c r="J7" s="784"/>
      <c r="K7" s="784"/>
    </row>
    <row r="9" spans="1:11" x14ac:dyDescent="0.25">
      <c r="D9" s="856" t="s">
        <v>617</v>
      </c>
    </row>
    <row r="10" spans="1:11" s="437" customFormat="1" x14ac:dyDescent="0.25">
      <c r="A10" s="854" t="s">
        <v>1</v>
      </c>
      <c r="B10" s="854" t="s">
        <v>407</v>
      </c>
      <c r="C10" s="854">
        <v>2</v>
      </c>
      <c r="D10" s="854">
        <v>3</v>
      </c>
      <c r="E10" s="854">
        <v>4</v>
      </c>
      <c r="F10" s="854" t="s">
        <v>408</v>
      </c>
      <c r="G10" s="854" t="s">
        <v>466</v>
      </c>
    </row>
    <row r="11" spans="1:11" x14ac:dyDescent="0.25">
      <c r="A11" t="str">
        <f>T19dz!A11</f>
        <v>2014-15</v>
      </c>
      <c r="B11" s="156">
        <f>T19dz!C11</f>
        <v>17883</v>
      </c>
      <c r="C11" s="156">
        <f>T19dz!D11</f>
        <v>15938</v>
      </c>
      <c r="D11" s="156">
        <f>T19dz!E11</f>
        <v>12820</v>
      </c>
      <c r="E11" s="156">
        <f>T19dz!F11</f>
        <v>10359</v>
      </c>
      <c r="F11" s="156">
        <f>T19dz!G11</f>
        <v>8715</v>
      </c>
      <c r="G11" s="156">
        <f>T19dz!H11</f>
        <v>65715</v>
      </c>
    </row>
    <row r="12" spans="1:11" x14ac:dyDescent="0.25">
      <c r="A12" t="str">
        <f>T19dz!A12</f>
        <v>2015-16</v>
      </c>
      <c r="B12" s="156">
        <f>T19dz!C12</f>
        <v>18993</v>
      </c>
      <c r="C12" s="156">
        <f>T19dz!D12</f>
        <v>17419</v>
      </c>
      <c r="D12" s="156">
        <f>T19dz!E12</f>
        <v>14153</v>
      </c>
      <c r="E12" s="156">
        <f>T19dz!F12</f>
        <v>11858</v>
      </c>
      <c r="F12" s="156">
        <f>T19dz!G12</f>
        <v>9294</v>
      </c>
      <c r="G12" s="156">
        <f>T19dz!H12</f>
        <v>71717</v>
      </c>
    </row>
    <row r="13" spans="1:11" x14ac:dyDescent="0.25">
      <c r="A13" t="str">
        <f>T19dz!A13</f>
        <v>2016-17</v>
      </c>
      <c r="B13" s="156">
        <f>T19dz!C13</f>
        <v>17707</v>
      </c>
      <c r="C13" s="156">
        <f>T19dz!D13</f>
        <v>16801</v>
      </c>
      <c r="D13" s="156">
        <f>T19dz!E13</f>
        <v>14140</v>
      </c>
      <c r="E13" s="156">
        <f>T19dz!F13</f>
        <v>12512</v>
      </c>
      <c r="F13" s="156">
        <f>T19dz!G13</f>
        <v>9641</v>
      </c>
      <c r="G13" s="156">
        <f>T19dz!H13</f>
        <v>70801</v>
      </c>
    </row>
    <row r="14" spans="1:11" x14ac:dyDescent="0.25">
      <c r="A14" t="str">
        <f>T19dz!A14</f>
        <v>2017-18</v>
      </c>
      <c r="B14" s="156">
        <f>T19dz!C14</f>
        <v>18513</v>
      </c>
      <c r="C14" s="156">
        <f>T19dz!D14</f>
        <v>16350</v>
      </c>
      <c r="D14" s="156">
        <f>T19dz!E14</f>
        <v>13755</v>
      </c>
      <c r="E14" s="156">
        <f>T19dz!F14</f>
        <v>11983</v>
      </c>
      <c r="F14" s="156">
        <f>T19dz!G14</f>
        <v>9230</v>
      </c>
      <c r="G14" s="156">
        <f>T19dz!H14</f>
        <v>69831</v>
      </c>
    </row>
    <row r="15" spans="1:11" x14ac:dyDescent="0.25">
      <c r="A15" t="str">
        <f>T19dz!A15</f>
        <v>2018-19</v>
      </c>
      <c r="B15" s="156">
        <f>T19dz!C15</f>
        <v>19491</v>
      </c>
      <c r="C15" s="156">
        <f>T19dz!D15</f>
        <v>16489</v>
      </c>
      <c r="D15" s="156">
        <f>T19dz!E15</f>
        <v>13423</v>
      </c>
      <c r="E15" s="156">
        <f>T19dz!F15</f>
        <v>10933</v>
      </c>
      <c r="F15" s="156">
        <f>T19dz!G15</f>
        <v>8866</v>
      </c>
      <c r="G15" s="156">
        <f>T19dz!H15</f>
        <v>69202</v>
      </c>
    </row>
    <row r="16" spans="1:11" ht="15.75" thickBot="1" x14ac:dyDescent="0.3">
      <c r="A16" s="480" t="str">
        <f>T19dz!A16</f>
        <v>2019-20</v>
      </c>
      <c r="B16" s="837">
        <f>T19dz!C16</f>
        <v>19687</v>
      </c>
      <c r="C16" s="837">
        <f>T19dz!D16</f>
        <v>16058</v>
      </c>
      <c r="D16" s="837">
        <f>T19dz!E16</f>
        <v>13385</v>
      </c>
      <c r="E16" s="837">
        <f>T19dz!F16</f>
        <v>11357</v>
      </c>
      <c r="F16" s="837">
        <f>T19dz!G16</f>
        <v>8740</v>
      </c>
      <c r="G16" s="837">
        <f>T19dz!H16</f>
        <v>69227</v>
      </c>
    </row>
    <row r="18" spans="1:11" x14ac:dyDescent="0.25">
      <c r="A18" s="437" t="s">
        <v>8</v>
      </c>
    </row>
    <row r="19" spans="1:11" x14ac:dyDescent="0.25">
      <c r="A19" s="483" t="s">
        <v>835</v>
      </c>
    </row>
    <row r="20" spans="1:11" x14ac:dyDescent="0.25">
      <c r="A20" s="951" t="s">
        <v>834</v>
      </c>
    </row>
    <row r="21" spans="1:11" x14ac:dyDescent="0.25">
      <c r="A21" s="951"/>
    </row>
    <row r="22" spans="1:11" x14ac:dyDescent="0.25">
      <c r="A22" s="952"/>
    </row>
    <row r="23" spans="1:11" ht="15.75" customHeight="1" x14ac:dyDescent="0.25">
      <c r="A23" s="850" t="s">
        <v>670</v>
      </c>
      <c r="B23" s="850"/>
      <c r="C23" s="850"/>
      <c r="D23" s="850"/>
      <c r="E23" s="850"/>
      <c r="F23" s="850"/>
      <c r="G23" s="850"/>
      <c r="H23" s="850"/>
      <c r="I23" s="850"/>
      <c r="J23" s="850"/>
      <c r="K23" s="850"/>
    </row>
    <row r="24" spans="1:11" ht="15.75" x14ac:dyDescent="0.25">
      <c r="A24" t="s">
        <v>363</v>
      </c>
      <c r="B24" t="s">
        <v>781</v>
      </c>
      <c r="C24" s="784"/>
      <c r="D24" s="784"/>
      <c r="E24" s="784"/>
      <c r="F24" s="784"/>
      <c r="G24" s="784"/>
      <c r="H24" s="784"/>
      <c r="I24" s="784"/>
      <c r="J24" s="784"/>
      <c r="K24" s="784"/>
    </row>
    <row r="25" spans="1:11" ht="15.75" x14ac:dyDescent="0.25">
      <c r="A25" t="s">
        <v>364</v>
      </c>
      <c r="B25" t="s">
        <v>366</v>
      </c>
      <c r="C25" s="784"/>
      <c r="D25" s="784"/>
      <c r="E25" s="784"/>
      <c r="F25" s="784"/>
      <c r="G25" s="784"/>
      <c r="H25" s="784"/>
      <c r="I25" s="784"/>
      <c r="J25" s="784"/>
      <c r="K25" s="784"/>
    </row>
    <row r="26" spans="1:11" ht="15.75" x14ac:dyDescent="0.25">
      <c r="A26" t="s">
        <v>365</v>
      </c>
      <c r="B26" t="s">
        <v>836</v>
      </c>
      <c r="C26" s="784"/>
      <c r="D26" s="784"/>
      <c r="E26" s="784"/>
      <c r="F26" s="784"/>
      <c r="G26" s="784"/>
      <c r="H26" s="784"/>
      <c r="I26" s="784"/>
      <c r="J26" s="784"/>
      <c r="K26" s="784"/>
    </row>
    <row r="28" spans="1:11" x14ac:dyDescent="0.25">
      <c r="A28" s="437"/>
      <c r="C28" s="855"/>
      <c r="D28" s="857" t="s">
        <v>618</v>
      </c>
      <c r="E28" s="855"/>
      <c r="F28" s="855"/>
      <c r="G28" s="855"/>
    </row>
    <row r="29" spans="1:11" x14ac:dyDescent="0.25">
      <c r="A29" s="854" t="s">
        <v>1</v>
      </c>
      <c r="B29" s="854" t="s">
        <v>407</v>
      </c>
      <c r="C29" s="854">
        <v>2</v>
      </c>
      <c r="D29" s="854">
        <v>3</v>
      </c>
      <c r="E29" s="854">
        <v>4</v>
      </c>
      <c r="F29" s="854" t="s">
        <v>408</v>
      </c>
      <c r="G29" s="854" t="s">
        <v>466</v>
      </c>
    </row>
    <row r="30" spans="1:11" x14ac:dyDescent="0.25">
      <c r="A30" t="str">
        <f>T19dz!A5</f>
        <v>2014-15</v>
      </c>
      <c r="B30" s="618">
        <f>T19dz!C5/100</f>
        <v>3.4000000000000002E-2</v>
      </c>
      <c r="C30" s="618">
        <f>T19dz!D5/100</f>
        <v>3.1600000000000003E-2</v>
      </c>
      <c r="D30" s="618">
        <f>T19dz!E5/100</f>
        <v>2.63E-2</v>
      </c>
      <c r="E30" s="618">
        <f>T19dz!F5/100</f>
        <v>2.2200000000000001E-2</v>
      </c>
      <c r="F30" s="618">
        <f>T19dz!G5/100</f>
        <v>1.9400000000000001E-2</v>
      </c>
      <c r="G30" s="618">
        <f>T19dz!H5/100</f>
        <v>2.7000000000000003E-2</v>
      </c>
    </row>
    <row r="31" spans="1:11" x14ac:dyDescent="0.25">
      <c r="A31" t="str">
        <f>T19dz!A6</f>
        <v>2015-16</v>
      </c>
      <c r="B31" s="618">
        <f>T19dz!C6/100</f>
        <v>3.5900000000000001E-2</v>
      </c>
      <c r="C31" s="618">
        <f>T19dz!D6/100</f>
        <v>3.44E-2</v>
      </c>
      <c r="D31" s="618">
        <f>T19dz!E6/100</f>
        <v>2.8900000000000002E-2</v>
      </c>
      <c r="E31" s="618">
        <f>T19dz!F6/100</f>
        <v>2.5099999999999997E-2</v>
      </c>
      <c r="F31" s="618">
        <f>T19dz!G6/100</f>
        <v>2.0499999999999997E-2</v>
      </c>
      <c r="G31" s="618">
        <f>T19dz!H6/100</f>
        <v>2.9300000000000003E-2</v>
      </c>
    </row>
    <row r="32" spans="1:11" x14ac:dyDescent="0.25">
      <c r="A32" t="str">
        <f>T19dz!A7</f>
        <v>2016-17</v>
      </c>
      <c r="B32" s="618">
        <f>T19dz!C7/100</f>
        <v>3.3399999999999999E-2</v>
      </c>
      <c r="C32" s="618">
        <f>T19dz!D7/100</f>
        <v>3.3000000000000002E-2</v>
      </c>
      <c r="D32" s="618">
        <f>T19dz!E7/100</f>
        <v>2.86E-2</v>
      </c>
      <c r="E32" s="618">
        <f>T19dz!F7/100</f>
        <v>2.6099999999999998E-2</v>
      </c>
      <c r="F32" s="618">
        <f>T19dz!G7/100</f>
        <v>2.12E-2</v>
      </c>
      <c r="G32" s="618">
        <f>T19dz!H7/100</f>
        <v>2.87E-2</v>
      </c>
    </row>
    <row r="33" spans="1:7" x14ac:dyDescent="0.25">
      <c r="A33" t="str">
        <f>T19dz!A8</f>
        <v>2017-18</v>
      </c>
      <c r="B33" s="618">
        <f>T19dz!C8/100</f>
        <v>3.4799999999999998E-2</v>
      </c>
      <c r="C33" s="618">
        <f>T19dz!D8/100</f>
        <v>3.1899999999999998E-2</v>
      </c>
      <c r="D33" s="618">
        <f>T19dz!E8/100</f>
        <v>2.76E-2</v>
      </c>
      <c r="E33" s="618">
        <f>T19dz!F8/100</f>
        <v>2.46E-2</v>
      </c>
      <c r="F33" s="618">
        <f>T19dz!G8/100</f>
        <v>2.0099999999999996E-2</v>
      </c>
      <c r="G33" s="618">
        <f>T19dz!H8/100</f>
        <v>2.7999999999999997E-2</v>
      </c>
    </row>
    <row r="34" spans="1:7" x14ac:dyDescent="0.25">
      <c r="A34" t="str">
        <f>T19dz!A9</f>
        <v>2018-19</v>
      </c>
      <c r="B34" s="618">
        <f>T19dz!C9/100</f>
        <v>3.6499999999999998E-2</v>
      </c>
      <c r="C34" s="618">
        <f>T19dz!D9/100</f>
        <v>3.2099999999999997E-2</v>
      </c>
      <c r="D34" s="618">
        <f>T19dz!E9/100</f>
        <v>2.6800000000000001E-2</v>
      </c>
      <c r="E34" s="618">
        <f>T19dz!F9/100</f>
        <v>2.2099999999999998E-2</v>
      </c>
      <c r="F34" s="618">
        <f>T19dz!G9/100</f>
        <v>1.9099999999999999E-2</v>
      </c>
      <c r="G34" s="618">
        <f>T19dz!H9/100</f>
        <v>2.76E-2</v>
      </c>
    </row>
    <row r="35" spans="1:7" ht="15.75" thickBot="1" x14ac:dyDescent="0.3">
      <c r="A35" s="480" t="str">
        <f>T19dz!A10</f>
        <v>2019-20</v>
      </c>
      <c r="B35" s="836">
        <f>T19dz!C10/100</f>
        <v>3.6699999999999997E-2</v>
      </c>
      <c r="C35" s="836">
        <f>T19dz!D10/100</f>
        <v>3.1E-2</v>
      </c>
      <c r="D35" s="836">
        <f>T19dz!E10/100</f>
        <v>2.6499999999999999E-2</v>
      </c>
      <c r="E35" s="836">
        <f>T19dz!F10/100</f>
        <v>2.2599999999999999E-2</v>
      </c>
      <c r="F35" s="836">
        <f>T19dz!G10/100</f>
        <v>1.8700000000000001E-2</v>
      </c>
      <c r="G35" s="836">
        <f>T19dz!H10/100</f>
        <v>2.7400000000000001E-2</v>
      </c>
    </row>
    <row r="37" spans="1:7" x14ac:dyDescent="0.25">
      <c r="A37" s="437" t="s">
        <v>8</v>
      </c>
    </row>
    <row r="38" spans="1:7" x14ac:dyDescent="0.25">
      <c r="A38" s="483" t="s">
        <v>838</v>
      </c>
    </row>
    <row r="39" spans="1:7" ht="15.75" customHeight="1" x14ac:dyDescent="0.25">
      <c r="A39" s="951" t="s">
        <v>834</v>
      </c>
    </row>
    <row r="40" spans="1:7" x14ac:dyDescent="0.25">
      <c r="A40" s="772" t="s">
        <v>839</v>
      </c>
    </row>
  </sheetData>
  <sheetProtection algorithmName="SHA-512" hashValue="NlbSHPnaRTDQPF009ToWm+A6sP8dvQSm7BLAEwnipXr2ucpF//W3uSUqeftBlU6/I0JTbLQuR9468hwwV2J/5Q==" saltValue="+qdrnlCXisa1l6jzAP2VvA==" spinCount="100000" sheet="1" scenarios="1" formatCells="0" formatColumns="0" formatRows="0" sort="0" autoFilter="0" pivotTables="0"/>
  <hyperlinks>
    <hyperlink ref="A2" location="'Table of Contents'!A1" display="Back to Table of Contents"/>
    <hyperlink ref="A20" r:id="rId1"/>
    <hyperlink ref="A39" r:id="rId2"/>
    <hyperlink ref="A40" r:id="rId3"/>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1"/>
  <sheetViews>
    <sheetView showGridLines="0" workbookViewId="0">
      <pane ySplit="2" topLeftCell="A4" activePane="bottomLeft" state="frozen"/>
      <selection pane="bottomLeft"/>
    </sheetView>
  </sheetViews>
  <sheetFormatPr defaultColWidth="9.28515625" defaultRowHeight="15" x14ac:dyDescent="0.25"/>
  <cols>
    <col min="1" max="1" width="19.140625" customWidth="1"/>
    <col min="2" max="8" width="23.85546875" customWidth="1"/>
  </cols>
  <sheetData>
    <row r="1" spans="1:11" ht="15.75" x14ac:dyDescent="0.25">
      <c r="A1" s="802" t="s">
        <v>605</v>
      </c>
      <c r="B1" s="802"/>
      <c r="C1" s="802"/>
    </row>
    <row r="2" spans="1:11" ht="15.75" x14ac:dyDescent="0.25">
      <c r="A2" s="772" t="s">
        <v>578</v>
      </c>
      <c r="B2" s="1021"/>
      <c r="C2" s="1021"/>
    </row>
    <row r="3" spans="1:11" x14ac:dyDescent="0.25">
      <c r="A3" s="31"/>
      <c r="B3" s="31"/>
      <c r="C3" s="31"/>
      <c r="D3" s="31"/>
      <c r="E3" s="31"/>
      <c r="F3" s="31"/>
      <c r="G3" s="31"/>
      <c r="H3" s="31"/>
      <c r="I3" s="31"/>
      <c r="J3" s="31"/>
      <c r="K3" s="31"/>
    </row>
    <row r="4" spans="1:11" ht="15.75" x14ac:dyDescent="0.25">
      <c r="A4" s="850" t="s">
        <v>1035</v>
      </c>
      <c r="B4" s="850"/>
      <c r="C4" s="850"/>
      <c r="D4" s="850"/>
      <c r="E4" s="850"/>
      <c r="F4" s="850"/>
      <c r="G4" s="850"/>
      <c r="H4" s="850"/>
      <c r="I4" s="850"/>
      <c r="J4" s="850"/>
      <c r="K4" s="850"/>
    </row>
    <row r="5" spans="1:11" ht="15.75" x14ac:dyDescent="0.25">
      <c r="A5" t="s">
        <v>937</v>
      </c>
      <c r="B5" s="1024"/>
      <c r="C5" s="1024"/>
      <c r="D5" s="1024"/>
      <c r="E5" s="1024"/>
      <c r="F5" s="1024"/>
      <c r="G5" s="1024"/>
      <c r="H5" s="1024"/>
      <c r="I5" s="1024"/>
      <c r="J5" s="1024"/>
      <c r="K5" s="1024"/>
    </row>
    <row r="6" spans="1:11" ht="15.75" x14ac:dyDescent="0.25">
      <c r="A6" t="s">
        <v>363</v>
      </c>
      <c r="B6" t="s">
        <v>1050</v>
      </c>
      <c r="C6" s="1024"/>
      <c r="D6" s="1024"/>
      <c r="E6" s="1024"/>
      <c r="F6" s="1024"/>
      <c r="G6" s="1024"/>
      <c r="H6" s="1024"/>
      <c r="I6" s="1024"/>
      <c r="J6" s="1024"/>
      <c r="K6" s="1024"/>
    </row>
    <row r="7" spans="1:11" ht="15.75" x14ac:dyDescent="0.25">
      <c r="A7" t="s">
        <v>364</v>
      </c>
      <c r="B7" t="s">
        <v>366</v>
      </c>
      <c r="C7" s="1024"/>
      <c r="D7" s="1024"/>
      <c r="E7" s="1024"/>
      <c r="F7" s="1024"/>
      <c r="G7" s="1024"/>
      <c r="H7" s="1024"/>
      <c r="I7" s="1024"/>
      <c r="J7" s="1024"/>
      <c r="K7" s="1024"/>
    </row>
    <row r="8" spans="1:11" ht="15.75" x14ac:dyDescent="0.25">
      <c r="A8" t="s">
        <v>365</v>
      </c>
      <c r="B8" t="s">
        <v>836</v>
      </c>
      <c r="C8" s="1024"/>
      <c r="D8" s="1024"/>
      <c r="E8" s="1024"/>
      <c r="F8" s="1024"/>
      <c r="G8" s="1024"/>
      <c r="H8" s="1024"/>
      <c r="I8" s="1024"/>
      <c r="J8" s="1024"/>
      <c r="K8" s="1024"/>
    </row>
    <row r="10" spans="1:11" x14ac:dyDescent="0.25">
      <c r="D10" s="856" t="s">
        <v>1037</v>
      </c>
    </row>
    <row r="11" spans="1:11" s="437" customFormat="1" x14ac:dyDescent="0.25">
      <c r="A11" s="854" t="s">
        <v>1</v>
      </c>
      <c r="B11" s="854" t="s">
        <v>407</v>
      </c>
      <c r="C11" s="854">
        <v>2</v>
      </c>
      <c r="D11" s="854">
        <v>3</v>
      </c>
      <c r="E11" s="854">
        <v>4</v>
      </c>
      <c r="F11" s="854" t="s">
        <v>408</v>
      </c>
      <c r="G11" s="854" t="s">
        <v>466</v>
      </c>
    </row>
    <row r="12" spans="1:11" x14ac:dyDescent="0.25">
      <c r="A12" t="str">
        <f>T19dz!A11</f>
        <v>2014-15</v>
      </c>
      <c r="B12" s="156">
        <f>'hSIMD-Alarms'!J4</f>
        <v>17883</v>
      </c>
      <c r="C12" s="156">
        <f>'hSIMD-Alarms'!K4</f>
        <v>15938</v>
      </c>
      <c r="D12" s="156">
        <f>'hSIMD-Alarms'!L4</f>
        <v>12820</v>
      </c>
      <c r="E12" s="156">
        <f>'hSIMD-Alarms'!M4</f>
        <v>10359</v>
      </c>
      <c r="F12" s="156">
        <f>'hSIMD-Alarms'!N4</f>
        <v>8715</v>
      </c>
      <c r="G12" s="156">
        <f>SUM(B12:F12)</f>
        <v>65715</v>
      </c>
    </row>
    <row r="13" spans="1:11" x14ac:dyDescent="0.25">
      <c r="A13" t="str">
        <f>T19dz!A12</f>
        <v>2015-16</v>
      </c>
      <c r="B13" s="156">
        <f>'hSIMD-Alarms'!J5</f>
        <v>18993</v>
      </c>
      <c r="C13" s="156">
        <f>'hSIMD-Alarms'!K5</f>
        <v>17419</v>
      </c>
      <c r="D13" s="156">
        <f>'hSIMD-Alarms'!L5</f>
        <v>14153</v>
      </c>
      <c r="E13" s="156">
        <f>'hSIMD-Alarms'!M5</f>
        <v>11858</v>
      </c>
      <c r="F13" s="156">
        <f>'hSIMD-Alarms'!N5</f>
        <v>9294</v>
      </c>
      <c r="G13" s="156">
        <f t="shared" ref="G13:G17" si="0">SUM(B13:F13)</f>
        <v>71717</v>
      </c>
    </row>
    <row r="14" spans="1:11" x14ac:dyDescent="0.25">
      <c r="A14" t="str">
        <f>T19dz!A13</f>
        <v>2016-17</v>
      </c>
      <c r="B14" s="156">
        <f>'hSIMD-Alarms'!J6</f>
        <v>17707</v>
      </c>
      <c r="C14" s="156">
        <f>'hSIMD-Alarms'!K6</f>
        <v>16801</v>
      </c>
      <c r="D14" s="156">
        <f>'hSIMD-Alarms'!L6</f>
        <v>14140</v>
      </c>
      <c r="E14" s="156">
        <f>'hSIMD-Alarms'!M6</f>
        <v>12512</v>
      </c>
      <c r="F14" s="156">
        <f>'hSIMD-Alarms'!N6</f>
        <v>9641</v>
      </c>
      <c r="G14" s="156">
        <f t="shared" si="0"/>
        <v>70801</v>
      </c>
    </row>
    <row r="15" spans="1:11" x14ac:dyDescent="0.25">
      <c r="A15" t="str">
        <f>T19dz!A14</f>
        <v>2017-18</v>
      </c>
      <c r="B15" s="156">
        <f>'hSIMD-Alarms'!J7</f>
        <v>18513</v>
      </c>
      <c r="C15" s="156">
        <f>'hSIMD-Alarms'!K7</f>
        <v>16350</v>
      </c>
      <c r="D15" s="156">
        <f>'hSIMD-Alarms'!L7</f>
        <v>13755</v>
      </c>
      <c r="E15" s="156">
        <f>'hSIMD-Alarms'!M7</f>
        <v>11983</v>
      </c>
      <c r="F15" s="156">
        <f>'hSIMD-Alarms'!N7</f>
        <v>9230</v>
      </c>
      <c r="G15" s="156">
        <f t="shared" si="0"/>
        <v>69831</v>
      </c>
    </row>
    <row r="16" spans="1:11" x14ac:dyDescent="0.25">
      <c r="A16" t="str">
        <f>T19dz!A15</f>
        <v>2018-19</v>
      </c>
      <c r="B16" s="156">
        <f>'hSIMD-Alarms'!J8</f>
        <v>19491</v>
      </c>
      <c r="C16" s="156">
        <f>'hSIMD-Alarms'!K8</f>
        <v>16489</v>
      </c>
      <c r="D16" s="156">
        <f>'hSIMD-Alarms'!L8</f>
        <v>13423</v>
      </c>
      <c r="E16" s="156">
        <f>'hSIMD-Alarms'!M8</f>
        <v>10933</v>
      </c>
      <c r="F16" s="156">
        <f>'hSIMD-Alarms'!N8</f>
        <v>8866</v>
      </c>
      <c r="G16" s="156">
        <f t="shared" si="0"/>
        <v>69202</v>
      </c>
    </row>
    <row r="17" spans="1:11" ht="15.75" thickBot="1" x14ac:dyDescent="0.3">
      <c r="A17" s="480" t="str">
        <f>T19dz!A16</f>
        <v>2019-20</v>
      </c>
      <c r="B17" s="837">
        <f>'hSIMD-Alarms'!J9</f>
        <v>19687</v>
      </c>
      <c r="C17" s="837">
        <f>'hSIMD-Alarms'!K9</f>
        <v>16058</v>
      </c>
      <c r="D17" s="837">
        <f>'hSIMD-Alarms'!L9</f>
        <v>13385</v>
      </c>
      <c r="E17" s="837">
        <f>'hSIMD-Alarms'!M9</f>
        <v>11357</v>
      </c>
      <c r="F17" s="837">
        <f>'hSIMD-Alarms'!N9</f>
        <v>8740</v>
      </c>
      <c r="G17" s="837">
        <f t="shared" si="0"/>
        <v>69227</v>
      </c>
    </row>
    <row r="19" spans="1:11" x14ac:dyDescent="0.25">
      <c r="A19" s="437" t="s">
        <v>8</v>
      </c>
    </row>
    <row r="20" spans="1:11" x14ac:dyDescent="0.25">
      <c r="A20" s="483" t="s">
        <v>1043</v>
      </c>
    </row>
    <row r="21" spans="1:11" x14ac:dyDescent="0.25">
      <c r="A21" s="951" t="s">
        <v>834</v>
      </c>
    </row>
    <row r="22" spans="1:11" x14ac:dyDescent="0.25">
      <c r="A22" s="952"/>
    </row>
    <row r="23" spans="1:11" ht="15.75" customHeight="1" x14ac:dyDescent="0.25">
      <c r="A23" s="850" t="s">
        <v>1036</v>
      </c>
      <c r="B23" s="850"/>
      <c r="C23" s="850"/>
      <c r="D23" s="850"/>
      <c r="E23" s="850"/>
      <c r="F23" s="850"/>
      <c r="G23" s="850"/>
      <c r="H23" s="850"/>
      <c r="I23" s="850"/>
      <c r="J23" s="850"/>
      <c r="K23" s="850"/>
    </row>
    <row r="24" spans="1:11" ht="15.75" x14ac:dyDescent="0.25">
      <c r="A24" t="s">
        <v>937</v>
      </c>
      <c r="B24" s="1024"/>
      <c r="C24" s="1024"/>
      <c r="D24" s="1024"/>
      <c r="E24" s="1024"/>
      <c r="F24" s="1024"/>
      <c r="G24" s="1024"/>
      <c r="H24" s="1024"/>
      <c r="I24" s="1024"/>
      <c r="J24" s="1024"/>
      <c r="K24" s="1024"/>
    </row>
    <row r="25" spans="1:11" ht="15.75" x14ac:dyDescent="0.25">
      <c r="A25" t="s">
        <v>363</v>
      </c>
      <c r="B25" t="s">
        <v>1051</v>
      </c>
      <c r="C25" s="1024"/>
      <c r="D25" s="1024"/>
      <c r="E25" s="1024"/>
      <c r="F25" s="1024"/>
      <c r="G25" s="1024"/>
      <c r="H25" s="1024"/>
      <c r="I25" s="1024"/>
      <c r="J25" s="1024"/>
      <c r="K25" s="1024"/>
    </row>
    <row r="26" spans="1:11" ht="15.75" x14ac:dyDescent="0.25">
      <c r="A26" t="s">
        <v>364</v>
      </c>
      <c r="B26" t="s">
        <v>366</v>
      </c>
      <c r="C26" s="1024"/>
      <c r="D26" s="1024"/>
      <c r="E26" s="1024"/>
      <c r="F26" s="1024"/>
      <c r="G26" s="1024"/>
      <c r="H26" s="1024"/>
      <c r="I26" s="1024"/>
      <c r="J26" s="1024"/>
      <c r="K26" s="1024"/>
    </row>
    <row r="27" spans="1:11" ht="15.75" x14ac:dyDescent="0.25">
      <c r="A27" t="s">
        <v>365</v>
      </c>
      <c r="B27" t="s">
        <v>836</v>
      </c>
      <c r="C27" s="1024"/>
      <c r="D27" s="1024"/>
      <c r="E27" s="1024"/>
      <c r="F27" s="1024"/>
      <c r="G27" s="1024"/>
      <c r="H27" s="1024"/>
      <c r="I27" s="1024"/>
      <c r="J27" s="1024"/>
      <c r="K27" s="1024"/>
    </row>
    <row r="29" spans="1:11" x14ac:dyDescent="0.25">
      <c r="A29" s="437"/>
      <c r="C29" s="855"/>
      <c r="D29" s="857" t="s">
        <v>1038</v>
      </c>
      <c r="E29" s="855"/>
      <c r="F29" s="855"/>
    </row>
    <row r="30" spans="1:11" x14ac:dyDescent="0.25">
      <c r="A30" s="854" t="s">
        <v>1</v>
      </c>
      <c r="B30" s="854" t="s">
        <v>407</v>
      </c>
      <c r="C30" s="854">
        <v>2</v>
      </c>
      <c r="D30" s="854">
        <v>3</v>
      </c>
      <c r="E30" s="854">
        <v>4</v>
      </c>
      <c r="F30" s="854" t="s">
        <v>408</v>
      </c>
    </row>
    <row r="31" spans="1:11" x14ac:dyDescent="0.25">
      <c r="A31" t="str">
        <f>T19dz!A5</f>
        <v>2014-15</v>
      </c>
      <c r="B31" s="1052">
        <f>'hSIMD-Alarms'!J18/100</f>
        <v>1.1299999999999999E-2</v>
      </c>
      <c r="C31" s="1052">
        <f>'hSIMD-Alarms'!K18/100</f>
        <v>1.24E-2</v>
      </c>
      <c r="D31" s="1052">
        <f>'hSIMD-Alarms'!L18/100</f>
        <v>1.09E-2</v>
      </c>
      <c r="E31" s="1052">
        <f>'hSIMD-Alarms'!M18/100</f>
        <v>1.0500000000000001E-2</v>
      </c>
      <c r="F31" s="1052">
        <f>'hSIMD-Alarms'!N18/100</f>
        <v>1.0200000000000001E-2</v>
      </c>
    </row>
    <row r="32" spans="1:11" x14ac:dyDescent="0.25">
      <c r="A32" t="str">
        <f>T19dz!A6</f>
        <v>2015-16</v>
      </c>
      <c r="B32" s="1052">
        <f>'hSIMD-Alarms'!J19/100</f>
        <v>1.1299999999999999E-2</v>
      </c>
      <c r="C32" s="1052">
        <f>'hSIMD-Alarms'!K19/100</f>
        <v>1.2800000000000001E-2</v>
      </c>
      <c r="D32" s="1052">
        <f>'hSIMD-Alarms'!L19/100</f>
        <v>1.1899999999999999E-2</v>
      </c>
      <c r="E32" s="1052">
        <f>'hSIMD-Alarms'!M19/100</f>
        <v>1.1299999999999999E-2</v>
      </c>
      <c r="F32" s="1052">
        <f>'hSIMD-Alarms'!N19/100</f>
        <v>1.03E-2</v>
      </c>
    </row>
    <row r="33" spans="1:6" x14ac:dyDescent="0.25">
      <c r="A33" t="str">
        <f>T19dz!A7</f>
        <v>2016-17</v>
      </c>
      <c r="B33" s="1052">
        <f>'hSIMD-Alarms'!J20/100</f>
        <v>1.09E-2</v>
      </c>
      <c r="C33" s="1052">
        <f>'hSIMD-Alarms'!K20/100</f>
        <v>1.29E-2</v>
      </c>
      <c r="D33" s="1052">
        <f>'hSIMD-Alarms'!L20/100</f>
        <v>1.2E-2</v>
      </c>
      <c r="E33" s="1052">
        <f>'hSIMD-Alarms'!M20/100</f>
        <v>1.1699999999999999E-2</v>
      </c>
      <c r="F33" s="1052">
        <f>'hSIMD-Alarms'!N20/100</f>
        <v>1.11E-2</v>
      </c>
    </row>
    <row r="34" spans="1:6" x14ac:dyDescent="0.25">
      <c r="A34" t="str">
        <f>T19dz!A8</f>
        <v>2017-18</v>
      </c>
      <c r="B34" s="1052">
        <f>'hSIMD-Alarms'!J21/100</f>
        <v>1.0500000000000001E-2</v>
      </c>
      <c r="C34" s="1052">
        <f>'hSIMD-Alarms'!K21/100</f>
        <v>1.2199999999999999E-2</v>
      </c>
      <c r="D34" s="1052">
        <f>'hSIMD-Alarms'!L21/100</f>
        <v>1.1399999999999999E-2</v>
      </c>
      <c r="E34" s="1052">
        <f>'hSIMD-Alarms'!M21/100</f>
        <v>1.1000000000000001E-2</v>
      </c>
      <c r="F34" s="1052">
        <f>'hSIMD-Alarms'!N21/100</f>
        <v>1.0500000000000001E-2</v>
      </c>
    </row>
    <row r="35" spans="1:6" x14ac:dyDescent="0.25">
      <c r="A35" t="str">
        <f>T19dz!A9</f>
        <v>2018-19</v>
      </c>
      <c r="B35" s="1052">
        <f>'hSIMD-Alarms'!J22/100</f>
        <v>9.7000000000000003E-3</v>
      </c>
      <c r="C35" s="1052">
        <f>'hSIMD-Alarms'!K22/100</f>
        <v>1.09E-2</v>
      </c>
      <c r="D35" s="1052">
        <f>'hSIMD-Alarms'!L22/100</f>
        <v>0.01</v>
      </c>
      <c r="E35" s="1052">
        <f>'hSIMD-Alarms'!M22/100</f>
        <v>9.1000000000000004E-3</v>
      </c>
      <c r="F35" s="1052">
        <f>'hSIMD-Alarms'!N22/100</f>
        <v>9.0000000000000011E-3</v>
      </c>
    </row>
    <row r="36" spans="1:6" ht="15.75" thickBot="1" x14ac:dyDescent="0.3">
      <c r="A36" s="480" t="str">
        <f>T19dz!A10</f>
        <v>2019-20</v>
      </c>
      <c r="B36" s="1053">
        <f>'hSIMD-Alarms'!J23/100</f>
        <v>8.6999999999999994E-3</v>
      </c>
      <c r="C36" s="1053">
        <f>'hSIMD-Alarms'!K23/100</f>
        <v>9.7999999999999997E-3</v>
      </c>
      <c r="D36" s="1053">
        <f>'hSIMD-Alarms'!L23/100</f>
        <v>9.0000000000000011E-3</v>
      </c>
      <c r="E36" s="1053">
        <f>'hSIMD-Alarms'!M23/100</f>
        <v>8.3999999999999995E-3</v>
      </c>
      <c r="F36" s="1053">
        <f>'hSIMD-Alarms'!N23/100</f>
        <v>8.199999999999999E-3</v>
      </c>
    </row>
    <row r="38" spans="1:6" x14ac:dyDescent="0.25">
      <c r="A38" s="437" t="s">
        <v>8</v>
      </c>
    </row>
    <row r="39" spans="1:6" x14ac:dyDescent="0.25">
      <c r="A39" s="483" t="s">
        <v>1043</v>
      </c>
    </row>
    <row r="40" spans="1:6" ht="15.75" customHeight="1" x14ac:dyDescent="0.25">
      <c r="A40" s="951" t="s">
        <v>834</v>
      </c>
    </row>
    <row r="41" spans="1:6" x14ac:dyDescent="0.25">
      <c r="A41" s="772" t="s">
        <v>839</v>
      </c>
    </row>
  </sheetData>
  <sheetProtection algorithmName="SHA-512" hashValue="fUqGDkOWv0KenONa4h+LFqnOvCXWA9xVdsxRYPFwzzaf1l9vIq3++H5xivFoMAJ4tefs0uRb64QWhap4qXG9ag==" saltValue="ywZoZxA2qK4vYECDcHArNA==" spinCount="100000" sheet="1" scenarios="1" formatCells="0" formatColumns="0" formatRows="0" sort="0" autoFilter="0" pivotTables="0"/>
  <hyperlinks>
    <hyperlink ref="A2" location="'Table of Contents'!A1" display="Back to Table of Contents"/>
    <hyperlink ref="A21" r:id="rId1"/>
    <hyperlink ref="A40" r:id="rId2"/>
    <hyperlink ref="A41" r:id="rId3"/>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1"/>
  <sheetViews>
    <sheetView showGridLines="0" workbookViewId="0">
      <pane ySplit="2" topLeftCell="A5" activePane="bottomLeft" state="frozen"/>
      <selection pane="bottomLeft"/>
    </sheetView>
  </sheetViews>
  <sheetFormatPr defaultColWidth="9.28515625" defaultRowHeight="15" x14ac:dyDescent="0.25"/>
  <cols>
    <col min="1" max="1" width="19.140625" customWidth="1"/>
    <col min="2" max="8" width="23.85546875" customWidth="1"/>
  </cols>
  <sheetData>
    <row r="1" spans="1:11" ht="15.75" x14ac:dyDescent="0.25">
      <c r="A1" s="802" t="s">
        <v>605</v>
      </c>
      <c r="B1" s="802"/>
      <c r="C1" s="802"/>
    </row>
    <row r="2" spans="1:11" ht="15.75" x14ac:dyDescent="0.25">
      <c r="A2" s="772" t="s">
        <v>578</v>
      </c>
      <c r="B2" s="1021"/>
      <c r="C2" s="1021"/>
    </row>
    <row r="3" spans="1:11" x14ac:dyDescent="0.25">
      <c r="A3" s="31"/>
      <c r="B3" s="31"/>
      <c r="C3" s="31"/>
      <c r="D3" s="31"/>
      <c r="E3" s="31"/>
      <c r="F3" s="31"/>
      <c r="G3" s="31"/>
      <c r="H3" s="31"/>
      <c r="I3" s="31"/>
      <c r="J3" s="31"/>
      <c r="K3" s="31"/>
    </row>
    <row r="4" spans="1:11" ht="15.75" x14ac:dyDescent="0.25">
      <c r="A4" s="850" t="s">
        <v>1041</v>
      </c>
      <c r="B4" s="850"/>
      <c r="C4" s="850"/>
      <c r="D4" s="850"/>
      <c r="E4" s="850"/>
      <c r="F4" s="850"/>
      <c r="G4" s="850"/>
      <c r="H4" s="850"/>
      <c r="I4" s="850"/>
      <c r="J4" s="850"/>
      <c r="K4" s="850"/>
    </row>
    <row r="5" spans="1:11" ht="15.75" x14ac:dyDescent="0.25">
      <c r="A5" t="s">
        <v>937</v>
      </c>
      <c r="B5" s="1024"/>
      <c r="C5" s="1024"/>
      <c r="D5" s="1024"/>
      <c r="E5" s="1024"/>
      <c r="F5" s="1024"/>
      <c r="G5" s="1024"/>
      <c r="H5" s="1024"/>
      <c r="I5" s="1024"/>
      <c r="J5" s="1024"/>
      <c r="K5" s="1024"/>
    </row>
    <row r="6" spans="1:11" ht="15.75" x14ac:dyDescent="0.25">
      <c r="A6" t="s">
        <v>363</v>
      </c>
      <c r="B6" t="s">
        <v>1052</v>
      </c>
      <c r="C6" s="1024"/>
      <c r="D6" s="1024"/>
      <c r="E6" s="1024"/>
      <c r="F6" s="1024"/>
      <c r="G6" s="1024"/>
      <c r="H6" s="1024"/>
      <c r="I6" s="1024"/>
      <c r="J6" s="1024"/>
      <c r="K6" s="1024"/>
    </row>
    <row r="7" spans="1:11" ht="15.75" x14ac:dyDescent="0.25">
      <c r="A7" t="s">
        <v>364</v>
      </c>
      <c r="B7" t="s">
        <v>366</v>
      </c>
      <c r="C7" s="1024"/>
      <c r="D7" s="1024"/>
      <c r="E7" s="1024"/>
      <c r="F7" s="1024"/>
      <c r="G7" s="1024"/>
      <c r="H7" s="1024"/>
      <c r="I7" s="1024"/>
      <c r="J7" s="1024"/>
      <c r="K7" s="1024"/>
    </row>
    <row r="8" spans="1:11" ht="15.75" x14ac:dyDescent="0.25">
      <c r="A8" t="s">
        <v>365</v>
      </c>
      <c r="B8" t="s">
        <v>836</v>
      </c>
      <c r="C8" s="1024"/>
      <c r="D8" s="1024"/>
      <c r="E8" s="1024"/>
      <c r="F8" s="1024"/>
      <c r="G8" s="1024"/>
      <c r="H8" s="1024"/>
      <c r="I8" s="1024"/>
      <c r="J8" s="1024"/>
      <c r="K8" s="1024"/>
    </row>
    <row r="10" spans="1:11" x14ac:dyDescent="0.25">
      <c r="D10" s="857" t="s">
        <v>1039</v>
      </c>
    </row>
    <row r="11" spans="1:11" s="437" customFormat="1" x14ac:dyDescent="0.25">
      <c r="A11" s="854" t="s">
        <v>1</v>
      </c>
      <c r="B11" s="854" t="s">
        <v>407</v>
      </c>
      <c r="C11" s="854">
        <v>2</v>
      </c>
      <c r="D11" s="854">
        <v>3</v>
      </c>
      <c r="E11" s="854">
        <v>4</v>
      </c>
      <c r="F11" s="854" t="s">
        <v>408</v>
      </c>
      <c r="G11"/>
    </row>
    <row r="12" spans="1:11" x14ac:dyDescent="0.25">
      <c r="A12" t="str">
        <f>T19dz!A11</f>
        <v>2014-15</v>
      </c>
      <c r="B12" s="1054">
        <f>'hSIMD-Alarms'!Q4</f>
        <v>33.200000000000003</v>
      </c>
      <c r="C12" s="1054">
        <f>'hSIMD-Alarms'!R4</f>
        <v>39.200000000000003</v>
      </c>
      <c r="D12" s="1054">
        <f>'hSIMD-Alarms'!S4</f>
        <v>41.6</v>
      </c>
      <c r="E12" s="1054">
        <f>'hSIMD-Alarms'!T4</f>
        <v>47.4</v>
      </c>
      <c r="F12" s="1054">
        <f>'hSIMD-Alarms'!U4</f>
        <v>52.4</v>
      </c>
    </row>
    <row r="13" spans="1:11" x14ac:dyDescent="0.25">
      <c r="A13" t="str">
        <f>T19dz!A12</f>
        <v>2015-16</v>
      </c>
      <c r="B13" s="1054">
        <f>'hSIMD-Alarms'!Q5</f>
        <v>31.5</v>
      </c>
      <c r="C13" s="1054">
        <f>'hSIMD-Alarms'!R5</f>
        <v>37.299999999999997</v>
      </c>
      <c r="D13" s="1054">
        <f>'hSIMD-Alarms'!S5</f>
        <v>41.3</v>
      </c>
      <c r="E13" s="1054">
        <f>'hSIMD-Alarms'!T5</f>
        <v>45</v>
      </c>
      <c r="F13" s="1054">
        <f>'hSIMD-Alarms'!U5</f>
        <v>50.2</v>
      </c>
    </row>
    <row r="14" spans="1:11" x14ac:dyDescent="0.25">
      <c r="A14" t="str">
        <f>T19dz!A13</f>
        <v>2016-17</v>
      </c>
      <c r="B14" s="1054">
        <f>'hSIMD-Alarms'!Q6</f>
        <v>32.799999999999997</v>
      </c>
      <c r="C14" s="1054">
        <f>'hSIMD-Alarms'!R6</f>
        <v>39</v>
      </c>
      <c r="D14" s="1054">
        <f>'hSIMD-Alarms'!S6</f>
        <v>42.1</v>
      </c>
      <c r="E14" s="1054">
        <f>'hSIMD-Alarms'!T6</f>
        <v>45</v>
      </c>
      <c r="F14" s="1054">
        <f>'hSIMD-Alarms'!U6</f>
        <v>52.6</v>
      </c>
    </row>
    <row r="15" spans="1:11" x14ac:dyDescent="0.25">
      <c r="A15" t="str">
        <f>T19dz!A14</f>
        <v>2017-18</v>
      </c>
      <c r="B15" s="1054">
        <f>'hSIMD-Alarms'!Q7</f>
        <v>30.1</v>
      </c>
      <c r="C15" s="1054">
        <f>'hSIMD-Alarms'!R7</f>
        <v>38.4</v>
      </c>
      <c r="D15" s="1054">
        <f>'hSIMD-Alarms'!S7</f>
        <v>41.4</v>
      </c>
      <c r="E15" s="1054">
        <f>'hSIMD-Alarms'!T7</f>
        <v>44.8</v>
      </c>
      <c r="F15" s="1054">
        <f>'hSIMD-Alarms'!U7</f>
        <v>52.3</v>
      </c>
    </row>
    <row r="16" spans="1:11" x14ac:dyDescent="0.25">
      <c r="A16" t="str">
        <f>T19dz!A15</f>
        <v>2018-19</v>
      </c>
      <c r="B16" s="1054">
        <f>'hSIMD-Alarms'!Q8</f>
        <v>26.5</v>
      </c>
      <c r="C16" s="1054">
        <f>'hSIMD-Alarms'!R8</f>
        <v>33.9</v>
      </c>
      <c r="D16" s="1054">
        <f>'hSIMD-Alarms'!S8</f>
        <v>37.4</v>
      </c>
      <c r="E16" s="1054">
        <f>'hSIMD-Alarms'!T8</f>
        <v>41</v>
      </c>
      <c r="F16" s="1054">
        <f>'hSIMD-Alarms'!U8</f>
        <v>47.3</v>
      </c>
    </row>
    <row r="17" spans="1:11" ht="15.75" thickBot="1" x14ac:dyDescent="0.3">
      <c r="A17" s="480" t="str">
        <f>T19dz!A16</f>
        <v>2019-20</v>
      </c>
      <c r="B17" s="1055">
        <f>'hSIMD-Alarms'!Q9</f>
        <v>23.7</v>
      </c>
      <c r="C17" s="1055">
        <f>'hSIMD-Alarms'!R9</f>
        <v>31.6</v>
      </c>
      <c r="D17" s="1055">
        <f>'hSIMD-Alarms'!S9</f>
        <v>33.799999999999997</v>
      </c>
      <c r="E17" s="1055">
        <f>'hSIMD-Alarms'!T9</f>
        <v>37.1</v>
      </c>
      <c r="F17" s="1055">
        <f>'hSIMD-Alarms'!U9</f>
        <v>43.6</v>
      </c>
    </row>
    <row r="19" spans="1:11" x14ac:dyDescent="0.25">
      <c r="A19" s="437" t="s">
        <v>8</v>
      </c>
    </row>
    <row r="20" spans="1:11" x14ac:dyDescent="0.25">
      <c r="A20" s="483" t="s">
        <v>1043</v>
      </c>
    </row>
    <row r="21" spans="1:11" x14ac:dyDescent="0.25">
      <c r="A21" s="951" t="s">
        <v>834</v>
      </c>
    </row>
    <row r="22" spans="1:11" x14ac:dyDescent="0.25">
      <c r="A22" s="952"/>
    </row>
    <row r="23" spans="1:11" ht="15.75" customHeight="1" x14ac:dyDescent="0.25">
      <c r="A23" s="850" t="s">
        <v>1042</v>
      </c>
      <c r="B23" s="850"/>
      <c r="C23" s="850"/>
      <c r="D23" s="850"/>
      <c r="E23" s="850"/>
      <c r="F23" s="850"/>
      <c r="G23" s="850"/>
      <c r="H23" s="850"/>
      <c r="I23" s="850"/>
      <c r="J23" s="850"/>
      <c r="K23" s="850"/>
    </row>
    <row r="24" spans="1:11" ht="15.75" x14ac:dyDescent="0.25">
      <c r="A24" t="s">
        <v>937</v>
      </c>
      <c r="B24" s="1024"/>
      <c r="C24" s="1024"/>
      <c r="D24" s="1024"/>
      <c r="E24" s="1024"/>
      <c r="F24" s="1024"/>
      <c r="G24" s="1024"/>
      <c r="H24" s="1024"/>
      <c r="I24" s="1024"/>
      <c r="J24" s="1024"/>
      <c r="K24" s="1024"/>
    </row>
    <row r="25" spans="1:11" ht="15.75" x14ac:dyDescent="0.25">
      <c r="A25" t="s">
        <v>363</v>
      </c>
      <c r="B25" t="s">
        <v>1053</v>
      </c>
      <c r="C25" s="1024"/>
      <c r="D25" s="1024"/>
      <c r="E25" s="1024"/>
      <c r="F25" s="1024"/>
      <c r="G25" s="1024"/>
      <c r="H25" s="1024"/>
      <c r="I25" s="1024"/>
      <c r="J25" s="1024"/>
      <c r="K25" s="1024"/>
    </row>
    <row r="26" spans="1:11" ht="15.75" x14ac:dyDescent="0.25">
      <c r="A26" t="s">
        <v>364</v>
      </c>
      <c r="B26" t="s">
        <v>366</v>
      </c>
      <c r="C26" s="1024"/>
      <c r="D26" s="1024"/>
      <c r="E26" s="1024"/>
      <c r="F26" s="1024"/>
      <c r="G26" s="1024"/>
      <c r="H26" s="1024"/>
      <c r="I26" s="1024"/>
      <c r="J26" s="1024"/>
      <c r="K26" s="1024"/>
    </row>
    <row r="27" spans="1:11" ht="15.75" x14ac:dyDescent="0.25">
      <c r="A27" t="s">
        <v>365</v>
      </c>
      <c r="B27" t="s">
        <v>836</v>
      </c>
      <c r="C27" s="1024"/>
      <c r="D27" s="1024"/>
      <c r="E27" s="1024"/>
      <c r="F27" s="1024"/>
      <c r="G27" s="1024"/>
      <c r="H27" s="1024"/>
      <c r="I27" s="1024"/>
      <c r="J27" s="1024"/>
      <c r="K27" s="1024"/>
    </row>
    <row r="29" spans="1:11" x14ac:dyDescent="0.25">
      <c r="A29" s="437"/>
      <c r="C29" s="855"/>
      <c r="D29" s="857" t="s">
        <v>1040</v>
      </c>
      <c r="E29" s="855"/>
      <c r="F29" s="855"/>
    </row>
    <row r="30" spans="1:11" x14ac:dyDescent="0.25">
      <c r="A30" s="854" t="s">
        <v>1</v>
      </c>
      <c r="B30" s="854" t="s">
        <v>407</v>
      </c>
      <c r="C30" s="854">
        <v>2</v>
      </c>
      <c r="D30" s="854">
        <v>3</v>
      </c>
      <c r="E30" s="854">
        <v>4</v>
      </c>
      <c r="F30" s="854" t="s">
        <v>408</v>
      </c>
    </row>
    <row r="31" spans="1:11" x14ac:dyDescent="0.25">
      <c r="A31" t="str">
        <f>T19dz!A5</f>
        <v>2014-15</v>
      </c>
      <c r="B31" s="618">
        <f>'hSIMD-Alarms'!Q18/100</f>
        <v>0.54899999999999993</v>
      </c>
      <c r="C31" s="618">
        <f>'hSIMD-Alarms'!R18/100</f>
        <v>0.57600000000000007</v>
      </c>
      <c r="D31" s="618">
        <f>'hSIMD-Alarms'!S18/100</f>
        <v>0.55399999999999994</v>
      </c>
      <c r="E31" s="618">
        <f>'hSIMD-Alarms'!T18/100</f>
        <v>0.56700000000000006</v>
      </c>
      <c r="F31" s="618">
        <f>'hSIMD-Alarms'!U18/100</f>
        <v>0.57100000000000006</v>
      </c>
    </row>
    <row r="32" spans="1:11" x14ac:dyDescent="0.25">
      <c r="A32" t="str">
        <f>T19dz!A6</f>
        <v>2015-16</v>
      </c>
      <c r="B32" s="618">
        <f>'hSIMD-Alarms'!Q19/100</f>
        <v>0.53900000000000003</v>
      </c>
      <c r="C32" s="618">
        <f>'hSIMD-Alarms'!R19/100</f>
        <v>0.55600000000000005</v>
      </c>
      <c r="D32" s="618">
        <f>'hSIMD-Alarms'!S19/100</f>
        <v>0.55700000000000005</v>
      </c>
      <c r="E32" s="618">
        <f>'hSIMD-Alarms'!T19/100</f>
        <v>0.53400000000000003</v>
      </c>
      <c r="F32" s="618">
        <f>'hSIMD-Alarms'!U19/100</f>
        <v>0.55899999999999994</v>
      </c>
    </row>
    <row r="33" spans="1:6" x14ac:dyDescent="0.25">
      <c r="A33" t="str">
        <f>T19dz!A7</f>
        <v>2016-17</v>
      </c>
      <c r="B33" s="618">
        <f>'hSIMD-Alarms'!Q20/100</f>
        <v>0.54700000000000004</v>
      </c>
      <c r="C33" s="618">
        <f>'hSIMD-Alarms'!R20/100</f>
        <v>0.56600000000000006</v>
      </c>
      <c r="D33" s="618">
        <f>'hSIMD-Alarms'!S20/100</f>
        <v>0.54600000000000004</v>
      </c>
      <c r="E33" s="618">
        <f>'hSIMD-Alarms'!T20/100</f>
        <v>0.53400000000000003</v>
      </c>
      <c r="F33" s="618">
        <f>'hSIMD-Alarms'!U20/100</f>
        <v>0.56000000000000005</v>
      </c>
    </row>
    <row r="34" spans="1:6" x14ac:dyDescent="0.25">
      <c r="A34" t="str">
        <f>T19dz!A8</f>
        <v>2017-18</v>
      </c>
      <c r="B34" s="618">
        <f>'hSIMD-Alarms'!Q21/100</f>
        <v>0.52700000000000002</v>
      </c>
      <c r="C34" s="618">
        <f>'hSIMD-Alarms'!R21/100</f>
        <v>0.56899999999999995</v>
      </c>
      <c r="D34" s="618">
        <f>'hSIMD-Alarms'!S21/100</f>
        <v>0.54700000000000004</v>
      </c>
      <c r="E34" s="618">
        <f>'hSIMD-Alarms'!T21/100</f>
        <v>0.53200000000000003</v>
      </c>
      <c r="F34" s="618">
        <f>'hSIMD-Alarms'!U21/100</f>
        <v>0.56899999999999995</v>
      </c>
    </row>
    <row r="35" spans="1:6" x14ac:dyDescent="0.25">
      <c r="A35" t="str">
        <f>T19dz!A9</f>
        <v>2018-19</v>
      </c>
      <c r="B35" s="618">
        <f>'hSIMD-Alarms'!Q22/100</f>
        <v>0.52200000000000002</v>
      </c>
      <c r="C35" s="618">
        <f>'hSIMD-Alarms'!R22/100</f>
        <v>0.54299999999999993</v>
      </c>
      <c r="D35" s="618">
        <f>'hSIMD-Alarms'!S22/100</f>
        <v>0.52</v>
      </c>
      <c r="E35" s="618">
        <f>'hSIMD-Alarms'!T22/100</f>
        <v>0.51200000000000001</v>
      </c>
      <c r="F35" s="618">
        <f>'hSIMD-Alarms'!U22/100</f>
        <v>0.52200000000000002</v>
      </c>
    </row>
    <row r="36" spans="1:6" ht="15.75" thickBot="1" x14ac:dyDescent="0.3">
      <c r="A36" s="480" t="str">
        <f>T19dz!A10</f>
        <v>2019-20</v>
      </c>
      <c r="B36" s="836">
        <f>'hSIMD-Alarms'!Q23/100</f>
        <v>0.49200000000000005</v>
      </c>
      <c r="C36" s="836">
        <f>'hSIMD-Alarms'!R23/100</f>
        <v>0.52400000000000002</v>
      </c>
      <c r="D36" s="836">
        <f>'hSIMD-Alarms'!S23/100</f>
        <v>0.48700000000000004</v>
      </c>
      <c r="E36" s="836">
        <f>'hSIMD-Alarms'!T23/100</f>
        <v>0.46299999999999997</v>
      </c>
      <c r="F36" s="836">
        <f>'hSIMD-Alarms'!U23/100</f>
        <v>0.49</v>
      </c>
    </row>
    <row r="38" spans="1:6" x14ac:dyDescent="0.25">
      <c r="A38" s="437" t="s">
        <v>8</v>
      </c>
    </row>
    <row r="39" spans="1:6" x14ac:dyDescent="0.25">
      <c r="A39" s="483" t="s">
        <v>1043</v>
      </c>
    </row>
    <row r="40" spans="1:6" ht="15.75" customHeight="1" x14ac:dyDescent="0.25">
      <c r="A40" s="951" t="s">
        <v>834</v>
      </c>
    </row>
    <row r="41" spans="1:6" x14ac:dyDescent="0.25">
      <c r="A41" s="772"/>
    </row>
  </sheetData>
  <sheetProtection algorithmName="SHA-512" hashValue="Dtd/u9EEC10MrNeCInRGxyQIdtkMl1wEAYIfuILL2SZPb64AgkBHnU+UiED4/0n3sIHW2nXR70FhG4ivs66htA==" saltValue="Wc25Fs7Ln1ANvUSfLzZ+yA==" spinCount="100000" sheet="1" scenarios="1" formatCells="0" formatColumns="0" formatRows="0" sort="0" autoFilter="0" pivotTables="0"/>
  <hyperlinks>
    <hyperlink ref="A2" location="'Table of Contents'!A1" display="Back to Table of Contents"/>
    <hyperlink ref="A21" r:id="rId1"/>
    <hyperlink ref="A40" r:id="rId2"/>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W66"/>
  <sheetViews>
    <sheetView topLeftCell="I1" workbookViewId="0">
      <selection activeCell="Q13" sqref="Q13"/>
    </sheetView>
  </sheetViews>
  <sheetFormatPr defaultRowHeight="15" x14ac:dyDescent="0.25"/>
  <cols>
    <col min="2" max="2" width="20.140625" customWidth="1"/>
    <col min="4" max="4" width="19" customWidth="1"/>
    <col min="5" max="5" width="16.5703125" customWidth="1"/>
    <col min="6" max="6" width="41.5703125" customWidth="1"/>
    <col min="7" max="7" width="20.140625" customWidth="1"/>
    <col min="9" max="9" width="13.140625" bestFit="1" customWidth="1"/>
    <col min="10" max="10" width="16.28515625" bestFit="1" customWidth="1"/>
    <col min="11" max="13" width="6" bestFit="1" customWidth="1"/>
    <col min="14" max="14" width="5" bestFit="1" customWidth="1"/>
    <col min="15" max="15" width="11.28515625" bestFit="1" customWidth="1"/>
    <col min="16" max="16" width="21.42578125" bestFit="1" customWidth="1"/>
    <col min="17" max="17" width="16.28515625" bestFit="1" customWidth="1"/>
    <col min="18" max="21" width="6" bestFit="1" customWidth="1"/>
    <col min="22" max="22" width="11.28515625" bestFit="1" customWidth="1"/>
  </cols>
  <sheetData>
    <row r="1" spans="1:23" x14ac:dyDescent="0.25">
      <c r="A1" t="s">
        <v>329</v>
      </c>
      <c r="B1" t="s">
        <v>868</v>
      </c>
      <c r="C1" t="s">
        <v>865</v>
      </c>
      <c r="D1" t="s">
        <v>869</v>
      </c>
      <c r="E1" t="s">
        <v>866</v>
      </c>
      <c r="F1" t="s">
        <v>870</v>
      </c>
      <c r="G1" t="s">
        <v>872</v>
      </c>
    </row>
    <row r="2" spans="1:23" x14ac:dyDescent="0.25">
      <c r="A2" t="s">
        <v>203</v>
      </c>
      <c r="B2">
        <v>1</v>
      </c>
      <c r="C2">
        <v>17883</v>
      </c>
      <c r="D2">
        <v>5932</v>
      </c>
      <c r="E2">
        <v>33.200000000000003</v>
      </c>
      <c r="F2">
        <v>1.1299999999999999</v>
      </c>
      <c r="G2">
        <v>525964</v>
      </c>
      <c r="I2" s="565" t="s">
        <v>1031</v>
      </c>
      <c r="J2" s="565" t="s">
        <v>271</v>
      </c>
      <c r="P2" s="565" t="s">
        <v>867</v>
      </c>
      <c r="Q2" s="565" t="s">
        <v>271</v>
      </c>
    </row>
    <row r="3" spans="1:23" x14ac:dyDescent="0.25">
      <c r="A3" t="s">
        <v>273</v>
      </c>
      <c r="B3">
        <v>4</v>
      </c>
      <c r="C3">
        <v>12512</v>
      </c>
      <c r="D3">
        <v>5629</v>
      </c>
      <c r="E3">
        <v>45</v>
      </c>
      <c r="F3">
        <v>1.17</v>
      </c>
      <c r="G3">
        <v>479897</v>
      </c>
      <c r="I3" s="565" t="s">
        <v>246</v>
      </c>
      <c r="J3">
        <v>1</v>
      </c>
      <c r="K3">
        <v>2</v>
      </c>
      <c r="L3">
        <v>3</v>
      </c>
      <c r="M3">
        <v>4</v>
      </c>
      <c r="N3">
        <v>5</v>
      </c>
      <c r="P3" s="565" t="s">
        <v>246</v>
      </c>
      <c r="Q3">
        <v>1</v>
      </c>
      <c r="R3">
        <v>2</v>
      </c>
      <c r="S3">
        <v>3</v>
      </c>
      <c r="T3">
        <v>4</v>
      </c>
      <c r="U3">
        <v>5</v>
      </c>
      <c r="V3" t="s">
        <v>251</v>
      </c>
    </row>
    <row r="4" spans="1:23" x14ac:dyDescent="0.25">
      <c r="A4" t="s">
        <v>273</v>
      </c>
      <c r="B4">
        <v>5</v>
      </c>
      <c r="C4">
        <v>9641</v>
      </c>
      <c r="D4">
        <v>5067</v>
      </c>
      <c r="E4">
        <v>52.6</v>
      </c>
      <c r="F4">
        <v>1.1100000000000001</v>
      </c>
      <c r="G4">
        <v>455604</v>
      </c>
      <c r="I4" s="1068" t="s">
        <v>203</v>
      </c>
      <c r="J4" s="567">
        <v>17883</v>
      </c>
      <c r="K4" s="567">
        <v>15938</v>
      </c>
      <c r="L4" s="567">
        <v>12820</v>
      </c>
      <c r="M4" s="567">
        <v>10359</v>
      </c>
      <c r="N4" s="567">
        <v>8715</v>
      </c>
      <c r="P4" s="1068" t="s">
        <v>203</v>
      </c>
      <c r="Q4" s="567">
        <v>33.200000000000003</v>
      </c>
      <c r="R4" s="567">
        <v>39.200000000000003</v>
      </c>
      <c r="S4" s="567">
        <v>41.6</v>
      </c>
      <c r="T4" s="567">
        <v>47.4</v>
      </c>
      <c r="U4" s="567">
        <v>52.4</v>
      </c>
      <c r="V4" s="567">
        <v>213.8</v>
      </c>
    </row>
    <row r="5" spans="1:23" x14ac:dyDescent="0.25">
      <c r="A5" t="s">
        <v>273</v>
      </c>
      <c r="B5">
        <v>2</v>
      </c>
      <c r="C5">
        <v>16801</v>
      </c>
      <c r="D5">
        <v>6558</v>
      </c>
      <c r="E5">
        <v>39</v>
      </c>
      <c r="F5">
        <v>1.29</v>
      </c>
      <c r="G5">
        <v>509500</v>
      </c>
      <c r="I5" s="1068" t="s">
        <v>202</v>
      </c>
      <c r="J5" s="567">
        <v>18993</v>
      </c>
      <c r="K5" s="567">
        <v>17419</v>
      </c>
      <c r="L5" s="567">
        <v>14153</v>
      </c>
      <c r="M5" s="567">
        <v>11858</v>
      </c>
      <c r="N5" s="567">
        <v>9294</v>
      </c>
      <c r="P5" s="1068" t="s">
        <v>202</v>
      </c>
      <c r="Q5" s="567">
        <v>31.5</v>
      </c>
      <c r="R5" s="567">
        <v>37.299999999999997</v>
      </c>
      <c r="S5" s="567">
        <v>41.3</v>
      </c>
      <c r="T5" s="567">
        <v>45</v>
      </c>
      <c r="U5" s="567">
        <v>50.2</v>
      </c>
      <c r="V5" s="567">
        <v>205.3</v>
      </c>
    </row>
    <row r="6" spans="1:23" x14ac:dyDescent="0.25">
      <c r="A6" t="s">
        <v>273</v>
      </c>
      <c r="B6">
        <v>3</v>
      </c>
      <c r="C6">
        <v>14140</v>
      </c>
      <c r="D6">
        <v>5955</v>
      </c>
      <c r="E6">
        <v>42.1</v>
      </c>
      <c r="F6">
        <v>1.2</v>
      </c>
      <c r="G6">
        <v>494416</v>
      </c>
      <c r="I6" s="1068" t="s">
        <v>273</v>
      </c>
      <c r="J6" s="567">
        <v>17707</v>
      </c>
      <c r="K6" s="567">
        <v>16801</v>
      </c>
      <c r="L6" s="567">
        <v>14140</v>
      </c>
      <c r="M6" s="567">
        <v>12512</v>
      </c>
      <c r="N6" s="567">
        <v>9641</v>
      </c>
      <c r="P6" s="1068" t="s">
        <v>273</v>
      </c>
      <c r="Q6" s="567">
        <v>32.799999999999997</v>
      </c>
      <c r="R6" s="567">
        <v>39</v>
      </c>
      <c r="S6" s="567">
        <v>42.1</v>
      </c>
      <c r="T6" s="567">
        <v>45</v>
      </c>
      <c r="U6" s="567">
        <v>52.6</v>
      </c>
      <c r="V6" s="567">
        <v>211.5</v>
      </c>
    </row>
    <row r="7" spans="1:23" x14ac:dyDescent="0.25">
      <c r="A7" t="s">
        <v>851</v>
      </c>
      <c r="B7">
        <v>1</v>
      </c>
      <c r="C7">
        <v>19687</v>
      </c>
      <c r="D7">
        <v>4672</v>
      </c>
      <c r="E7">
        <v>23.7</v>
      </c>
      <c r="F7">
        <v>0.87</v>
      </c>
      <c r="G7">
        <v>536037</v>
      </c>
      <c r="I7" s="1068" t="s">
        <v>255</v>
      </c>
      <c r="J7" s="567">
        <v>18513</v>
      </c>
      <c r="K7" s="567">
        <v>16350</v>
      </c>
      <c r="L7" s="567">
        <v>13755</v>
      </c>
      <c r="M7" s="567">
        <v>11983</v>
      </c>
      <c r="N7" s="567">
        <v>9230</v>
      </c>
      <c r="P7" s="1068" t="s">
        <v>255</v>
      </c>
      <c r="Q7" s="567">
        <v>30.1</v>
      </c>
      <c r="R7" s="567">
        <v>38.4</v>
      </c>
      <c r="S7" s="567">
        <v>41.4</v>
      </c>
      <c r="T7" s="567">
        <v>44.8</v>
      </c>
      <c r="U7" s="567">
        <v>52.3</v>
      </c>
      <c r="V7" s="567">
        <v>207</v>
      </c>
    </row>
    <row r="8" spans="1:23" x14ac:dyDescent="0.25">
      <c r="A8" t="s">
        <v>851</v>
      </c>
      <c r="B8">
        <v>4</v>
      </c>
      <c r="C8">
        <v>11357</v>
      </c>
      <c r="D8">
        <v>4211</v>
      </c>
      <c r="E8">
        <v>37.1</v>
      </c>
      <c r="F8">
        <v>0.84</v>
      </c>
      <c r="G8">
        <v>501595</v>
      </c>
      <c r="I8" s="1068" t="s">
        <v>254</v>
      </c>
      <c r="J8" s="567">
        <v>19491</v>
      </c>
      <c r="K8" s="567">
        <v>16489</v>
      </c>
      <c r="L8" s="567">
        <v>13423</v>
      </c>
      <c r="M8" s="567">
        <v>10933</v>
      </c>
      <c r="N8" s="567">
        <v>8866</v>
      </c>
      <c r="P8" s="1068" t="s">
        <v>254</v>
      </c>
      <c r="Q8" s="567">
        <v>26.5</v>
      </c>
      <c r="R8" s="567">
        <v>33.9</v>
      </c>
      <c r="S8" s="567">
        <v>37.4</v>
      </c>
      <c r="T8" s="567">
        <v>41</v>
      </c>
      <c r="U8" s="567">
        <v>47.3</v>
      </c>
      <c r="V8" s="567">
        <v>186.10000000000002</v>
      </c>
    </row>
    <row r="9" spans="1:23" x14ac:dyDescent="0.25">
      <c r="A9" t="s">
        <v>851</v>
      </c>
      <c r="B9">
        <v>5</v>
      </c>
      <c r="C9">
        <v>8740</v>
      </c>
      <c r="D9">
        <v>3807</v>
      </c>
      <c r="E9">
        <v>43.6</v>
      </c>
      <c r="F9">
        <v>0.82</v>
      </c>
      <c r="G9">
        <v>467052</v>
      </c>
      <c r="I9" s="1068" t="s">
        <v>851</v>
      </c>
      <c r="J9" s="567">
        <v>19687</v>
      </c>
      <c r="K9" s="567">
        <v>16058</v>
      </c>
      <c r="L9" s="567">
        <v>13385</v>
      </c>
      <c r="M9" s="567">
        <v>11357</v>
      </c>
      <c r="N9" s="567">
        <v>8740</v>
      </c>
      <c r="P9" s="1068" t="s">
        <v>851</v>
      </c>
      <c r="Q9" s="567">
        <v>23.7</v>
      </c>
      <c r="R9" s="567">
        <v>31.6</v>
      </c>
      <c r="S9" s="567">
        <v>33.799999999999997</v>
      </c>
      <c r="T9" s="567">
        <v>37.1</v>
      </c>
      <c r="U9" s="567">
        <v>43.6</v>
      </c>
      <c r="V9" s="567">
        <v>169.79999999999998</v>
      </c>
    </row>
    <row r="10" spans="1:23" x14ac:dyDescent="0.25">
      <c r="A10" t="s">
        <v>203</v>
      </c>
      <c r="B10">
        <v>4</v>
      </c>
      <c r="C10">
        <v>10359</v>
      </c>
      <c r="D10">
        <v>4909</v>
      </c>
      <c r="E10">
        <v>47.4</v>
      </c>
      <c r="F10">
        <v>1.05</v>
      </c>
      <c r="G10">
        <v>467642</v>
      </c>
      <c r="P10" s="1068" t="s">
        <v>251</v>
      </c>
      <c r="Q10" s="567">
        <v>177.79999999999998</v>
      </c>
      <c r="R10" s="567">
        <v>219.4</v>
      </c>
      <c r="S10" s="567">
        <v>237.60000000000002</v>
      </c>
      <c r="T10" s="567">
        <v>260.3</v>
      </c>
      <c r="U10" s="567">
        <v>298.40000000000003</v>
      </c>
      <c r="V10" s="567">
        <v>1193.5</v>
      </c>
    </row>
    <row r="11" spans="1:23" x14ac:dyDescent="0.25">
      <c r="A11" t="s">
        <v>203</v>
      </c>
      <c r="B11">
        <v>5</v>
      </c>
      <c r="C11">
        <v>8715</v>
      </c>
      <c r="D11">
        <v>4570</v>
      </c>
      <c r="E11">
        <v>52.4</v>
      </c>
      <c r="F11">
        <v>1.02</v>
      </c>
      <c r="G11">
        <v>449892</v>
      </c>
      <c r="I11" s="965" t="s">
        <v>873</v>
      </c>
    </row>
    <row r="12" spans="1:23" x14ac:dyDescent="0.25">
      <c r="A12" t="s">
        <v>273</v>
      </c>
      <c r="B12">
        <v>1</v>
      </c>
      <c r="C12">
        <v>17707</v>
      </c>
      <c r="D12">
        <v>5807</v>
      </c>
      <c r="E12">
        <v>32.799999999999997</v>
      </c>
      <c r="F12">
        <v>1.0900000000000001</v>
      </c>
      <c r="G12">
        <v>530637</v>
      </c>
      <c r="I12" s="965" t="s">
        <v>874</v>
      </c>
    </row>
    <row r="13" spans="1:23" x14ac:dyDescent="0.25">
      <c r="A13" t="s">
        <v>851</v>
      </c>
      <c r="B13">
        <v>2</v>
      </c>
      <c r="C13">
        <v>16058</v>
      </c>
      <c r="D13">
        <v>5074</v>
      </c>
      <c r="E13">
        <v>31.6</v>
      </c>
      <c r="F13">
        <v>0.98</v>
      </c>
      <c r="G13">
        <v>518089</v>
      </c>
      <c r="I13" s="965" t="s">
        <v>875</v>
      </c>
    </row>
    <row r="14" spans="1:23" x14ac:dyDescent="0.25">
      <c r="A14" t="s">
        <v>851</v>
      </c>
      <c r="B14">
        <v>3</v>
      </c>
      <c r="C14">
        <v>13385</v>
      </c>
      <c r="D14">
        <v>4523</v>
      </c>
      <c r="E14">
        <v>33.799999999999997</v>
      </c>
      <c r="F14">
        <v>0.9</v>
      </c>
      <c r="G14">
        <v>505001</v>
      </c>
      <c r="I14" s="366"/>
      <c r="P14" s="1048" t="s">
        <v>876</v>
      </c>
      <c r="Q14" s="1049"/>
      <c r="R14" s="1049"/>
      <c r="S14" s="1049"/>
      <c r="T14" s="1049"/>
      <c r="U14" s="1049"/>
      <c r="V14" s="1049"/>
      <c r="W14" s="1049"/>
    </row>
    <row r="15" spans="1:23" x14ac:dyDescent="0.25">
      <c r="A15" t="s">
        <v>203</v>
      </c>
      <c r="B15">
        <v>2</v>
      </c>
      <c r="C15">
        <v>15938</v>
      </c>
      <c r="D15">
        <v>6245</v>
      </c>
      <c r="E15">
        <v>39.200000000000003</v>
      </c>
      <c r="F15">
        <v>1.24</v>
      </c>
      <c r="G15">
        <v>504692</v>
      </c>
      <c r="I15" s="366"/>
      <c r="P15" s="1049"/>
      <c r="Q15" s="1048" t="s">
        <v>887</v>
      </c>
      <c r="R15" s="1049"/>
      <c r="S15" s="1049"/>
      <c r="T15" s="1049"/>
      <c r="U15" s="1049"/>
      <c r="V15" s="1049"/>
      <c r="W15" s="1049"/>
    </row>
    <row r="16" spans="1:23" x14ac:dyDescent="0.25">
      <c r="A16" t="s">
        <v>255</v>
      </c>
      <c r="B16">
        <v>2</v>
      </c>
      <c r="C16">
        <v>16350</v>
      </c>
      <c r="D16">
        <v>6276</v>
      </c>
      <c r="E16">
        <v>38.4</v>
      </c>
      <c r="F16">
        <v>1.22</v>
      </c>
      <c r="G16">
        <v>512529</v>
      </c>
      <c r="I16" s="565" t="s">
        <v>871</v>
      </c>
      <c r="J16" s="565" t="s">
        <v>271</v>
      </c>
      <c r="P16" s="1049" t="s">
        <v>867</v>
      </c>
      <c r="Q16" s="1049" t="s">
        <v>271</v>
      </c>
      <c r="R16" s="1049"/>
      <c r="S16" s="1049"/>
      <c r="T16" s="1049"/>
      <c r="U16" s="1049"/>
      <c r="V16" s="1049"/>
      <c r="W16" s="1049"/>
    </row>
    <row r="17" spans="1:23" x14ac:dyDescent="0.25">
      <c r="A17" t="s">
        <v>255</v>
      </c>
      <c r="B17">
        <v>3</v>
      </c>
      <c r="C17">
        <v>13755</v>
      </c>
      <c r="D17">
        <v>5701</v>
      </c>
      <c r="E17">
        <v>41.4</v>
      </c>
      <c r="F17">
        <v>1.1399999999999999</v>
      </c>
      <c r="G17">
        <v>498164</v>
      </c>
      <c r="I17" s="565" t="s">
        <v>246</v>
      </c>
      <c r="J17">
        <v>1</v>
      </c>
      <c r="K17">
        <v>2</v>
      </c>
      <c r="L17">
        <v>3</v>
      </c>
      <c r="M17">
        <v>4</v>
      </c>
      <c r="N17">
        <v>5</v>
      </c>
      <c r="P17" s="1049" t="s">
        <v>246</v>
      </c>
      <c r="Q17" s="1049">
        <v>1</v>
      </c>
      <c r="R17" s="1049">
        <v>2</v>
      </c>
      <c r="S17" s="1049">
        <v>3</v>
      </c>
      <c r="T17" s="1049">
        <v>4</v>
      </c>
      <c r="U17" s="1049">
        <v>5</v>
      </c>
      <c r="V17" s="1049" t="s">
        <v>251</v>
      </c>
      <c r="W17" s="1049"/>
    </row>
    <row r="18" spans="1:23" x14ac:dyDescent="0.25">
      <c r="A18" t="s">
        <v>254</v>
      </c>
      <c r="B18">
        <v>1</v>
      </c>
      <c r="C18">
        <v>19491</v>
      </c>
      <c r="D18">
        <v>5167</v>
      </c>
      <c r="E18">
        <v>26.5</v>
      </c>
      <c r="F18">
        <v>0.97</v>
      </c>
      <c r="G18">
        <v>534275</v>
      </c>
      <c r="I18" s="1068" t="s">
        <v>203</v>
      </c>
      <c r="J18" s="567">
        <v>1.1299999999999999</v>
      </c>
      <c r="K18" s="567">
        <v>1.24</v>
      </c>
      <c r="L18" s="567">
        <v>1.0900000000000001</v>
      </c>
      <c r="M18" s="567">
        <v>1.05</v>
      </c>
      <c r="N18" s="567">
        <v>1.02</v>
      </c>
      <c r="P18" s="1050" t="s">
        <v>203</v>
      </c>
      <c r="Q18" s="1051">
        <v>54.9</v>
      </c>
      <c r="R18" s="1051">
        <v>57.6</v>
      </c>
      <c r="S18" s="1051">
        <v>55.4</v>
      </c>
      <c r="T18" s="1051">
        <v>56.7</v>
      </c>
      <c r="U18" s="1051">
        <v>57.1</v>
      </c>
      <c r="V18" s="1051">
        <v>281.70000000000005</v>
      </c>
      <c r="W18" s="1049"/>
    </row>
    <row r="19" spans="1:23" x14ac:dyDescent="0.25">
      <c r="A19" t="s">
        <v>202</v>
      </c>
      <c r="B19">
        <v>1</v>
      </c>
      <c r="C19">
        <v>18993</v>
      </c>
      <c r="D19">
        <v>5981</v>
      </c>
      <c r="E19">
        <v>31.5</v>
      </c>
      <c r="F19">
        <v>1.1299999999999999</v>
      </c>
      <c r="G19">
        <v>528323</v>
      </c>
      <c r="I19" s="1068" t="s">
        <v>202</v>
      </c>
      <c r="J19" s="567">
        <v>1.1299999999999999</v>
      </c>
      <c r="K19" s="567">
        <v>1.28</v>
      </c>
      <c r="L19" s="567">
        <v>1.19</v>
      </c>
      <c r="M19" s="567">
        <v>1.1299999999999999</v>
      </c>
      <c r="N19" s="567">
        <v>1.03</v>
      </c>
      <c r="P19" s="1050" t="s">
        <v>202</v>
      </c>
      <c r="Q19" s="1051">
        <v>53.9</v>
      </c>
      <c r="R19" s="1051">
        <v>55.6</v>
      </c>
      <c r="S19" s="1051">
        <v>55.7</v>
      </c>
      <c r="T19" s="1051">
        <v>53.4</v>
      </c>
      <c r="U19" s="1051">
        <v>55.9</v>
      </c>
      <c r="V19" s="1051">
        <v>274.5</v>
      </c>
      <c r="W19" s="1049"/>
    </row>
    <row r="20" spans="1:23" x14ac:dyDescent="0.25">
      <c r="A20" t="s">
        <v>202</v>
      </c>
      <c r="B20">
        <v>4</v>
      </c>
      <c r="C20">
        <v>11858</v>
      </c>
      <c r="D20">
        <v>5342</v>
      </c>
      <c r="E20">
        <v>45</v>
      </c>
      <c r="F20">
        <v>1.1299999999999999</v>
      </c>
      <c r="G20">
        <v>472964</v>
      </c>
      <c r="I20" s="1068" t="s">
        <v>273</v>
      </c>
      <c r="J20" s="567">
        <v>1.0900000000000001</v>
      </c>
      <c r="K20" s="567">
        <v>1.29</v>
      </c>
      <c r="L20" s="567">
        <v>1.2</v>
      </c>
      <c r="M20" s="567">
        <v>1.17</v>
      </c>
      <c r="N20" s="567">
        <v>1.1100000000000001</v>
      </c>
      <c r="P20" s="1050" t="s">
        <v>273</v>
      </c>
      <c r="Q20" s="1051">
        <v>54.7</v>
      </c>
      <c r="R20" s="1051">
        <v>56.6</v>
      </c>
      <c r="S20" s="1051">
        <v>54.6</v>
      </c>
      <c r="T20" s="1051">
        <v>53.4</v>
      </c>
      <c r="U20" s="1051">
        <v>56</v>
      </c>
      <c r="V20" s="1051">
        <v>275.3</v>
      </c>
      <c r="W20" s="1049"/>
    </row>
    <row r="21" spans="1:23" x14ac:dyDescent="0.25">
      <c r="A21" t="s">
        <v>202</v>
      </c>
      <c r="B21">
        <v>5</v>
      </c>
      <c r="C21">
        <v>9294</v>
      </c>
      <c r="D21">
        <v>4664</v>
      </c>
      <c r="E21">
        <v>50.2</v>
      </c>
      <c r="F21">
        <v>1.03</v>
      </c>
      <c r="G21">
        <v>453045</v>
      </c>
      <c r="I21" s="1068" t="s">
        <v>255</v>
      </c>
      <c r="J21" s="567">
        <v>1.05</v>
      </c>
      <c r="K21" s="567">
        <v>1.22</v>
      </c>
      <c r="L21" s="567">
        <v>1.1399999999999999</v>
      </c>
      <c r="M21" s="567">
        <v>1.1000000000000001</v>
      </c>
      <c r="N21" s="567">
        <v>1.05</v>
      </c>
      <c r="P21" s="1050" t="s">
        <v>255</v>
      </c>
      <c r="Q21" s="1051">
        <v>52.7</v>
      </c>
      <c r="R21" s="1051">
        <v>56.9</v>
      </c>
      <c r="S21" s="1051">
        <v>54.7</v>
      </c>
      <c r="T21" s="1051">
        <v>53.2</v>
      </c>
      <c r="U21" s="1051">
        <v>56.9</v>
      </c>
      <c r="V21" s="1051">
        <v>274.39999999999998</v>
      </c>
      <c r="W21" s="1049"/>
    </row>
    <row r="22" spans="1:23" x14ac:dyDescent="0.25">
      <c r="A22" t="s">
        <v>202</v>
      </c>
      <c r="B22">
        <v>3</v>
      </c>
      <c r="C22">
        <v>14153</v>
      </c>
      <c r="D22">
        <v>5846</v>
      </c>
      <c r="E22">
        <v>41.3</v>
      </c>
      <c r="F22">
        <v>1.19</v>
      </c>
      <c r="G22">
        <v>490270</v>
      </c>
      <c r="I22" s="1068" t="s">
        <v>254</v>
      </c>
      <c r="J22" s="567">
        <v>0.97</v>
      </c>
      <c r="K22" s="567">
        <v>1.0900000000000001</v>
      </c>
      <c r="L22" s="567">
        <v>1</v>
      </c>
      <c r="M22" s="567">
        <v>0.91</v>
      </c>
      <c r="N22" s="567">
        <v>0.9</v>
      </c>
      <c r="P22" s="1050" t="s">
        <v>254</v>
      </c>
      <c r="Q22" s="1051">
        <v>52.2</v>
      </c>
      <c r="R22" s="1051">
        <v>54.3</v>
      </c>
      <c r="S22" s="1051">
        <v>52</v>
      </c>
      <c r="T22" s="1051">
        <v>51.2</v>
      </c>
      <c r="U22" s="1051">
        <v>52.2</v>
      </c>
      <c r="V22" s="1051">
        <v>261.89999999999998</v>
      </c>
      <c r="W22" s="1049"/>
    </row>
    <row r="23" spans="1:23" x14ac:dyDescent="0.25">
      <c r="A23" t="s">
        <v>254</v>
      </c>
      <c r="B23">
        <v>4</v>
      </c>
      <c r="C23">
        <v>10933</v>
      </c>
      <c r="D23">
        <v>4486</v>
      </c>
      <c r="E23">
        <v>41</v>
      </c>
      <c r="F23">
        <v>0.91</v>
      </c>
      <c r="G23">
        <v>493970</v>
      </c>
      <c r="I23" s="1068" t="s">
        <v>851</v>
      </c>
      <c r="J23" s="567">
        <v>0.87</v>
      </c>
      <c r="K23" s="567">
        <v>0.98</v>
      </c>
      <c r="L23" s="567">
        <v>0.9</v>
      </c>
      <c r="M23" s="567">
        <v>0.84</v>
      </c>
      <c r="N23" s="567">
        <v>0.82</v>
      </c>
      <c r="P23" s="1050" t="s">
        <v>851</v>
      </c>
      <c r="Q23" s="1051">
        <v>49.2</v>
      </c>
      <c r="R23" s="1051">
        <v>52.4</v>
      </c>
      <c r="S23" s="1051">
        <v>48.7</v>
      </c>
      <c r="T23" s="1051">
        <v>46.3</v>
      </c>
      <c r="U23" s="1051">
        <v>49</v>
      </c>
      <c r="V23" s="1051">
        <v>245.60000000000002</v>
      </c>
      <c r="W23" s="1049"/>
    </row>
    <row r="24" spans="1:23" x14ac:dyDescent="0.25">
      <c r="A24" t="s">
        <v>254</v>
      </c>
      <c r="B24">
        <v>5</v>
      </c>
      <c r="C24">
        <v>8866</v>
      </c>
      <c r="D24">
        <v>4192</v>
      </c>
      <c r="E24">
        <v>47.3</v>
      </c>
      <c r="F24">
        <v>0.9</v>
      </c>
      <c r="G24">
        <v>463248</v>
      </c>
      <c r="P24" s="1050" t="s">
        <v>251</v>
      </c>
      <c r="Q24" s="1051">
        <v>317.59999999999997</v>
      </c>
      <c r="R24" s="1051">
        <v>333.4</v>
      </c>
      <c r="S24" s="1051">
        <v>321.09999999999997</v>
      </c>
      <c r="T24" s="1051">
        <v>314.2</v>
      </c>
      <c r="U24" s="1051">
        <v>327.10000000000002</v>
      </c>
      <c r="V24" s="1051">
        <v>1613.4</v>
      </c>
      <c r="W24" s="1049"/>
    </row>
    <row r="25" spans="1:23" x14ac:dyDescent="0.25">
      <c r="A25" t="s">
        <v>203</v>
      </c>
      <c r="B25">
        <v>3</v>
      </c>
      <c r="C25">
        <v>12820</v>
      </c>
      <c r="D25">
        <v>5330</v>
      </c>
      <c r="E25">
        <v>41.6</v>
      </c>
      <c r="F25">
        <v>1.0900000000000001</v>
      </c>
      <c r="G25">
        <v>488191</v>
      </c>
      <c r="P25" s="1049"/>
      <c r="Q25" s="1049"/>
      <c r="R25" s="1049"/>
      <c r="S25" s="1049"/>
      <c r="T25" s="1049"/>
      <c r="U25" s="1049"/>
      <c r="V25" s="1049"/>
      <c r="W25" s="1049"/>
    </row>
    <row r="26" spans="1:23" x14ac:dyDescent="0.25">
      <c r="A26" t="s">
        <v>255</v>
      </c>
      <c r="B26">
        <v>4</v>
      </c>
      <c r="C26">
        <v>11983</v>
      </c>
      <c r="D26">
        <v>5372</v>
      </c>
      <c r="E26">
        <v>44.8</v>
      </c>
      <c r="F26">
        <v>1.1000000000000001</v>
      </c>
      <c r="G26">
        <v>487395</v>
      </c>
      <c r="P26" s="1049"/>
      <c r="Q26" s="1049"/>
      <c r="R26" s="1049"/>
      <c r="S26" s="1049"/>
      <c r="T26" s="1049"/>
      <c r="U26" s="1049"/>
      <c r="V26" s="1049"/>
      <c r="W26" s="1049"/>
    </row>
    <row r="27" spans="1:23" x14ac:dyDescent="0.25">
      <c r="A27" t="s">
        <v>255</v>
      </c>
      <c r="B27">
        <v>5</v>
      </c>
      <c r="C27">
        <v>9230</v>
      </c>
      <c r="D27">
        <v>4825</v>
      </c>
      <c r="E27">
        <v>52.3</v>
      </c>
      <c r="F27">
        <v>1.05</v>
      </c>
      <c r="G27">
        <v>459499</v>
      </c>
    </row>
    <row r="28" spans="1:23" x14ac:dyDescent="0.25">
      <c r="A28" t="s">
        <v>202</v>
      </c>
      <c r="B28">
        <v>2</v>
      </c>
      <c r="C28">
        <v>17419</v>
      </c>
      <c r="D28">
        <v>6505</v>
      </c>
      <c r="E28">
        <v>37.299999999999997</v>
      </c>
      <c r="F28">
        <v>1.28</v>
      </c>
      <c r="G28">
        <v>506910</v>
      </c>
      <c r="I28" s="956" t="s">
        <v>882</v>
      </c>
      <c r="J28" s="956"/>
    </row>
    <row r="29" spans="1:23" x14ac:dyDescent="0.25">
      <c r="A29" t="s">
        <v>255</v>
      </c>
      <c r="B29">
        <v>1</v>
      </c>
      <c r="C29">
        <v>18513</v>
      </c>
      <c r="D29">
        <v>5580</v>
      </c>
      <c r="E29">
        <v>30.1</v>
      </c>
      <c r="F29">
        <v>1.05</v>
      </c>
      <c r="G29">
        <v>532256</v>
      </c>
      <c r="I29" s="989" t="s">
        <v>883</v>
      </c>
      <c r="J29" s="990" t="s">
        <v>884</v>
      </c>
    </row>
    <row r="30" spans="1:23" x14ac:dyDescent="0.25">
      <c r="A30" t="s">
        <v>254</v>
      </c>
      <c r="B30">
        <v>2</v>
      </c>
      <c r="C30">
        <v>16489</v>
      </c>
      <c r="D30">
        <v>5592</v>
      </c>
      <c r="E30">
        <v>33.9</v>
      </c>
      <c r="F30">
        <v>1.0900000000000001</v>
      </c>
      <c r="G30">
        <v>514316</v>
      </c>
      <c r="I30" s="989"/>
      <c r="J30" s="990" t="s">
        <v>885</v>
      </c>
    </row>
    <row r="31" spans="1:23" x14ac:dyDescent="0.25">
      <c r="A31" t="s">
        <v>254</v>
      </c>
      <c r="B31">
        <v>3</v>
      </c>
      <c r="C31">
        <v>13423</v>
      </c>
      <c r="D31">
        <v>5025</v>
      </c>
      <c r="E31">
        <v>37.4</v>
      </c>
      <c r="F31">
        <v>1</v>
      </c>
      <c r="G31">
        <v>500858</v>
      </c>
      <c r="I31" s="989" t="s">
        <v>877</v>
      </c>
      <c r="J31" s="990" t="s">
        <v>886</v>
      </c>
    </row>
    <row r="36" spans="1:8" x14ac:dyDescent="0.25">
      <c r="A36" t="s">
        <v>329</v>
      </c>
      <c r="B36" t="s">
        <v>868</v>
      </c>
      <c r="C36" t="s">
        <v>865</v>
      </c>
      <c r="D36" t="s">
        <v>869</v>
      </c>
      <c r="E36" t="s">
        <v>866</v>
      </c>
      <c r="F36" t="s">
        <v>870</v>
      </c>
      <c r="G36" t="s">
        <v>872</v>
      </c>
      <c r="H36" t="s">
        <v>888</v>
      </c>
    </row>
    <row r="37" spans="1:8" x14ac:dyDescent="0.25">
      <c r="A37" t="s">
        <v>203</v>
      </c>
      <c r="B37">
        <v>1</v>
      </c>
      <c r="C37">
        <v>5312</v>
      </c>
      <c r="D37">
        <v>2915</v>
      </c>
      <c r="E37">
        <v>54.9</v>
      </c>
      <c r="F37">
        <v>0.55000000000000004</v>
      </c>
      <c r="G37">
        <v>525964</v>
      </c>
      <c r="H37">
        <f>Table6[[#This Row],[Visits]]/Table6[[#This Row],[OccupiedDwellings]]*100</f>
        <v>1.0099550539580655</v>
      </c>
    </row>
    <row r="38" spans="1:8" x14ac:dyDescent="0.25">
      <c r="A38" t="s">
        <v>273</v>
      </c>
      <c r="B38">
        <v>4</v>
      </c>
      <c r="C38">
        <v>8894</v>
      </c>
      <c r="D38">
        <v>4750</v>
      </c>
      <c r="E38">
        <v>53.4</v>
      </c>
      <c r="F38">
        <v>0.99</v>
      </c>
      <c r="G38">
        <v>479897</v>
      </c>
      <c r="H38">
        <f>Table6[[#This Row],[Visits]]/Table6[[#This Row],[OccupiedDwellings]]*100</f>
        <v>1.8533143570391146</v>
      </c>
    </row>
    <row r="39" spans="1:8" x14ac:dyDescent="0.25">
      <c r="A39" t="s">
        <v>273</v>
      </c>
      <c r="B39">
        <v>5</v>
      </c>
      <c r="C39">
        <v>7902</v>
      </c>
      <c r="D39">
        <v>4428</v>
      </c>
      <c r="E39">
        <v>56</v>
      </c>
      <c r="F39">
        <v>0.97</v>
      </c>
      <c r="G39">
        <v>455604</v>
      </c>
      <c r="H39">
        <f>Table6[[#This Row],[Visits]]/Table6[[#This Row],[OccupiedDwellings]]*100</f>
        <v>1.7344009271209209</v>
      </c>
    </row>
    <row r="40" spans="1:8" x14ac:dyDescent="0.25">
      <c r="A40" t="s">
        <v>273</v>
      </c>
      <c r="B40">
        <v>2</v>
      </c>
      <c r="C40">
        <v>8378</v>
      </c>
      <c r="D40">
        <v>4745</v>
      </c>
      <c r="E40">
        <v>56.6</v>
      </c>
      <c r="F40">
        <v>0.93</v>
      </c>
      <c r="G40">
        <v>509500</v>
      </c>
      <c r="H40">
        <f>Table6[[#This Row],[Visits]]/Table6[[#This Row],[OccupiedDwellings]]*100</f>
        <v>1.6443572129538766</v>
      </c>
    </row>
    <row r="41" spans="1:8" x14ac:dyDescent="0.25">
      <c r="A41" t="s">
        <v>273</v>
      </c>
      <c r="B41">
        <v>3</v>
      </c>
      <c r="C41">
        <v>8564</v>
      </c>
      <c r="D41">
        <v>4676</v>
      </c>
      <c r="E41">
        <v>54.6</v>
      </c>
      <c r="F41">
        <v>0.95</v>
      </c>
      <c r="G41">
        <v>494416</v>
      </c>
      <c r="H41">
        <f>Table6[[#This Row],[Visits]]/Table6[[#This Row],[OccupiedDwellings]]*100</f>
        <v>1.732144590789942</v>
      </c>
    </row>
    <row r="42" spans="1:8" x14ac:dyDescent="0.25">
      <c r="A42" t="s">
        <v>851</v>
      </c>
      <c r="B42">
        <v>1</v>
      </c>
      <c r="C42">
        <v>5605</v>
      </c>
      <c r="D42">
        <v>2755</v>
      </c>
      <c r="E42">
        <v>49.2</v>
      </c>
      <c r="F42">
        <v>0.51</v>
      </c>
      <c r="G42">
        <v>536037</v>
      </c>
      <c r="H42">
        <f>Table6[[#This Row],[Visits]]/Table6[[#This Row],[OccupiedDwellings]]*100</f>
        <v>1.0456367750733624</v>
      </c>
    </row>
    <row r="43" spans="1:8" x14ac:dyDescent="0.25">
      <c r="A43" t="s">
        <v>851</v>
      </c>
      <c r="B43">
        <v>4</v>
      </c>
      <c r="C43">
        <v>7627</v>
      </c>
      <c r="D43">
        <v>3533</v>
      </c>
      <c r="E43">
        <v>46.3</v>
      </c>
      <c r="F43">
        <v>0.7</v>
      </c>
      <c r="G43">
        <v>501595</v>
      </c>
      <c r="H43">
        <f>Table6[[#This Row],[Visits]]/Table6[[#This Row],[OccupiedDwellings]]*100</f>
        <v>1.5205494472632304</v>
      </c>
    </row>
    <row r="44" spans="1:8" x14ac:dyDescent="0.25">
      <c r="A44" t="s">
        <v>851</v>
      </c>
      <c r="B44">
        <v>5</v>
      </c>
      <c r="C44">
        <v>6942</v>
      </c>
      <c r="D44">
        <v>3403</v>
      </c>
      <c r="E44">
        <v>49</v>
      </c>
      <c r="F44">
        <v>0.73</v>
      </c>
      <c r="G44">
        <v>467052</v>
      </c>
      <c r="H44">
        <f>Table6[[#This Row],[Visits]]/Table6[[#This Row],[OccupiedDwellings]]*100</f>
        <v>1.4863441329873333</v>
      </c>
    </row>
    <row r="45" spans="1:8" x14ac:dyDescent="0.25">
      <c r="A45" t="s">
        <v>203</v>
      </c>
      <c r="B45">
        <v>3</v>
      </c>
      <c r="C45">
        <v>7002</v>
      </c>
      <c r="D45">
        <v>3879</v>
      </c>
      <c r="E45">
        <v>55.4</v>
      </c>
      <c r="F45">
        <v>0.79</v>
      </c>
      <c r="G45">
        <v>488191</v>
      </c>
      <c r="H45">
        <f>Table6[[#This Row],[Visits]]/Table6[[#This Row],[OccupiedDwellings]]*100</f>
        <v>1.4342746998613247</v>
      </c>
    </row>
    <row r="46" spans="1:8" x14ac:dyDescent="0.25">
      <c r="A46" t="s">
        <v>255</v>
      </c>
      <c r="B46">
        <v>4</v>
      </c>
      <c r="C46">
        <v>8477</v>
      </c>
      <c r="D46">
        <v>4511</v>
      </c>
      <c r="E46">
        <v>53.2</v>
      </c>
      <c r="F46">
        <v>0.93</v>
      </c>
      <c r="G46">
        <v>487395</v>
      </c>
      <c r="H46">
        <f>Table6[[#This Row],[Visits]]/Table6[[#This Row],[OccupiedDwellings]]*100</f>
        <v>1.7392464017891032</v>
      </c>
    </row>
    <row r="47" spans="1:8" x14ac:dyDescent="0.25">
      <c r="A47" t="s">
        <v>255</v>
      </c>
      <c r="B47">
        <v>5</v>
      </c>
      <c r="C47">
        <v>7497</v>
      </c>
      <c r="D47">
        <v>4265</v>
      </c>
      <c r="E47">
        <v>56.9</v>
      </c>
      <c r="F47">
        <v>0.93</v>
      </c>
      <c r="G47">
        <v>459499</v>
      </c>
      <c r="H47">
        <f>Table6[[#This Row],[Visits]]/Table6[[#This Row],[OccupiedDwellings]]*100</f>
        <v>1.631559589901175</v>
      </c>
    </row>
    <row r="48" spans="1:8" x14ac:dyDescent="0.25">
      <c r="A48" t="s">
        <v>203</v>
      </c>
      <c r="B48">
        <v>4</v>
      </c>
      <c r="C48">
        <v>7028</v>
      </c>
      <c r="D48">
        <v>3984</v>
      </c>
      <c r="E48">
        <v>56.7</v>
      </c>
      <c r="F48">
        <v>0.85</v>
      </c>
      <c r="G48">
        <v>467642</v>
      </c>
      <c r="H48">
        <f>Table6[[#This Row],[Visits]]/Table6[[#This Row],[OccupiedDwellings]]*100</f>
        <v>1.5028590246385054</v>
      </c>
    </row>
    <row r="49" spans="1:8" x14ac:dyDescent="0.25">
      <c r="A49" t="s">
        <v>203</v>
      </c>
      <c r="B49">
        <v>5</v>
      </c>
      <c r="C49">
        <v>6863</v>
      </c>
      <c r="D49">
        <v>3917</v>
      </c>
      <c r="E49">
        <v>57.1</v>
      </c>
      <c r="F49">
        <v>0.87</v>
      </c>
      <c r="G49">
        <v>449892</v>
      </c>
      <c r="H49">
        <f>Table6[[#This Row],[Visits]]/Table6[[#This Row],[OccupiedDwellings]]*100</f>
        <v>1.525477225645266</v>
      </c>
    </row>
    <row r="50" spans="1:8" x14ac:dyDescent="0.25">
      <c r="A50" t="s">
        <v>273</v>
      </c>
      <c r="B50">
        <v>1</v>
      </c>
      <c r="C50">
        <v>5988</v>
      </c>
      <c r="D50">
        <v>3276</v>
      </c>
      <c r="E50">
        <v>54.7</v>
      </c>
      <c r="F50">
        <v>0.62</v>
      </c>
      <c r="G50">
        <v>530637</v>
      </c>
      <c r="H50">
        <f>Table6[[#This Row],[Visits]]/Table6[[#This Row],[OccupiedDwellings]]*100</f>
        <v>1.1284550455396063</v>
      </c>
    </row>
    <row r="51" spans="1:8" x14ac:dyDescent="0.25">
      <c r="A51" t="s">
        <v>851</v>
      </c>
      <c r="B51">
        <v>2</v>
      </c>
      <c r="C51">
        <v>7149</v>
      </c>
      <c r="D51">
        <v>3748</v>
      </c>
      <c r="E51">
        <v>52.4</v>
      </c>
      <c r="F51">
        <v>0.72</v>
      </c>
      <c r="G51">
        <v>518089</v>
      </c>
      <c r="H51">
        <f>Table6[[#This Row],[Visits]]/Table6[[#This Row],[OccupiedDwellings]]*100</f>
        <v>1.3798787467018216</v>
      </c>
    </row>
    <row r="52" spans="1:8" x14ac:dyDescent="0.25">
      <c r="A52" t="s">
        <v>851</v>
      </c>
      <c r="B52">
        <v>3</v>
      </c>
      <c r="C52">
        <v>7302</v>
      </c>
      <c r="D52">
        <v>3556</v>
      </c>
      <c r="E52">
        <v>48.7</v>
      </c>
      <c r="F52">
        <v>0.7</v>
      </c>
      <c r="G52">
        <v>505001</v>
      </c>
      <c r="H52">
        <f>Table6[[#This Row],[Visits]]/Table6[[#This Row],[OccupiedDwellings]]*100</f>
        <v>1.4459377308163748</v>
      </c>
    </row>
    <row r="53" spans="1:8" x14ac:dyDescent="0.25">
      <c r="A53" t="s">
        <v>203</v>
      </c>
      <c r="B53">
        <v>2</v>
      </c>
      <c r="C53">
        <v>7233</v>
      </c>
      <c r="D53">
        <v>4167</v>
      </c>
      <c r="E53">
        <v>57.6</v>
      </c>
      <c r="F53">
        <v>0.83</v>
      </c>
      <c r="G53">
        <v>504692</v>
      </c>
      <c r="H53">
        <f>Table6[[#This Row],[Visits]]/Table6[[#This Row],[OccupiedDwellings]]*100</f>
        <v>1.433151308124559</v>
      </c>
    </row>
    <row r="54" spans="1:8" x14ac:dyDescent="0.25">
      <c r="A54" t="s">
        <v>255</v>
      </c>
      <c r="B54">
        <v>2</v>
      </c>
      <c r="C54">
        <v>8142</v>
      </c>
      <c r="D54">
        <v>4633</v>
      </c>
      <c r="E54">
        <v>56.9</v>
      </c>
      <c r="F54">
        <v>0.9</v>
      </c>
      <c r="G54">
        <v>512529</v>
      </c>
      <c r="H54">
        <f>Table6[[#This Row],[Visits]]/Table6[[#This Row],[OccupiedDwellings]]*100</f>
        <v>1.58859303571115</v>
      </c>
    </row>
    <row r="55" spans="1:8" x14ac:dyDescent="0.25">
      <c r="A55" t="s">
        <v>255</v>
      </c>
      <c r="B55">
        <v>3</v>
      </c>
      <c r="C55">
        <v>8218</v>
      </c>
      <c r="D55">
        <v>4493</v>
      </c>
      <c r="E55">
        <v>54.7</v>
      </c>
      <c r="F55">
        <v>0.9</v>
      </c>
      <c r="G55">
        <v>498164</v>
      </c>
      <c r="H55">
        <f>Table6[[#This Row],[Visits]]/Table6[[#This Row],[OccupiedDwellings]]*100</f>
        <v>1.6496575424960456</v>
      </c>
    </row>
    <row r="56" spans="1:8" x14ac:dyDescent="0.25">
      <c r="A56" t="s">
        <v>254</v>
      </c>
      <c r="B56">
        <v>1</v>
      </c>
      <c r="C56">
        <v>5681</v>
      </c>
      <c r="D56">
        <v>2968</v>
      </c>
      <c r="E56">
        <v>52.2</v>
      </c>
      <c r="F56">
        <v>0.56000000000000005</v>
      </c>
      <c r="G56">
        <v>534275</v>
      </c>
      <c r="H56">
        <f>Table6[[#This Row],[Visits]]/Table6[[#This Row],[OccupiedDwellings]]*100</f>
        <v>1.0633100931168407</v>
      </c>
    </row>
    <row r="57" spans="1:8" x14ac:dyDescent="0.25">
      <c r="A57" t="s">
        <v>202</v>
      </c>
      <c r="B57">
        <v>1</v>
      </c>
      <c r="C57">
        <v>5853</v>
      </c>
      <c r="D57">
        <v>3157</v>
      </c>
      <c r="E57">
        <v>53.9</v>
      </c>
      <c r="F57">
        <v>0.6</v>
      </c>
      <c r="G57">
        <v>528323</v>
      </c>
      <c r="H57">
        <f>Table6[[#This Row],[Visits]]/Table6[[#This Row],[OccupiedDwellings]]*100</f>
        <v>1.1078450114797198</v>
      </c>
    </row>
    <row r="58" spans="1:8" x14ac:dyDescent="0.25">
      <c r="A58" t="s">
        <v>202</v>
      </c>
      <c r="B58">
        <v>4</v>
      </c>
      <c r="C58">
        <v>8176</v>
      </c>
      <c r="D58">
        <v>4368</v>
      </c>
      <c r="E58">
        <v>53.4</v>
      </c>
      <c r="F58">
        <v>0.92</v>
      </c>
      <c r="G58">
        <v>472964</v>
      </c>
      <c r="H58">
        <f>Table6[[#This Row],[Visits]]/Table6[[#This Row],[OccupiedDwellings]]*100</f>
        <v>1.7286727953924612</v>
      </c>
    </row>
    <row r="59" spans="1:8" x14ac:dyDescent="0.25">
      <c r="A59" t="s">
        <v>202</v>
      </c>
      <c r="B59">
        <v>5</v>
      </c>
      <c r="C59">
        <v>7333</v>
      </c>
      <c r="D59">
        <v>4100</v>
      </c>
      <c r="E59">
        <v>55.9</v>
      </c>
      <c r="F59">
        <v>0.9</v>
      </c>
      <c r="G59">
        <v>453045</v>
      </c>
      <c r="H59">
        <f>Table6[[#This Row],[Visits]]/Table6[[#This Row],[OccupiedDwellings]]*100</f>
        <v>1.6186030085311613</v>
      </c>
    </row>
    <row r="60" spans="1:8" x14ac:dyDescent="0.25">
      <c r="A60" t="s">
        <v>202</v>
      </c>
      <c r="B60">
        <v>2</v>
      </c>
      <c r="C60">
        <v>8111</v>
      </c>
      <c r="D60">
        <v>4507</v>
      </c>
      <c r="E60">
        <v>55.6</v>
      </c>
      <c r="F60">
        <v>0.89</v>
      </c>
      <c r="G60">
        <v>506910</v>
      </c>
      <c r="H60">
        <f>Table6[[#This Row],[Visits]]/Table6[[#This Row],[OccupiedDwellings]]*100</f>
        <v>1.60008680041822</v>
      </c>
    </row>
    <row r="61" spans="1:8" x14ac:dyDescent="0.25">
      <c r="A61" t="s">
        <v>255</v>
      </c>
      <c r="B61">
        <v>1</v>
      </c>
      <c r="C61">
        <v>6011</v>
      </c>
      <c r="D61">
        <v>3170</v>
      </c>
      <c r="E61">
        <v>52.7</v>
      </c>
      <c r="F61">
        <v>0.6</v>
      </c>
      <c r="G61">
        <v>532256</v>
      </c>
      <c r="H61">
        <f>Table6[[#This Row],[Visits]]/Table6[[#This Row],[OccupiedDwellings]]*100</f>
        <v>1.1293437744243371</v>
      </c>
    </row>
    <row r="62" spans="1:8" x14ac:dyDescent="0.25">
      <c r="A62" t="s">
        <v>254</v>
      </c>
      <c r="B62">
        <v>2</v>
      </c>
      <c r="C62">
        <v>7502</v>
      </c>
      <c r="D62">
        <v>4073</v>
      </c>
      <c r="E62">
        <v>54.3</v>
      </c>
      <c r="F62">
        <v>0.79</v>
      </c>
      <c r="G62">
        <v>514316</v>
      </c>
      <c r="H62">
        <f>Table6[[#This Row],[Visits]]/Table6[[#This Row],[OccupiedDwellings]]*100</f>
        <v>1.4586363247497647</v>
      </c>
    </row>
    <row r="63" spans="1:8" x14ac:dyDescent="0.25">
      <c r="A63" t="s">
        <v>254</v>
      </c>
      <c r="B63">
        <v>3</v>
      </c>
      <c r="C63">
        <v>7665</v>
      </c>
      <c r="D63">
        <v>3983</v>
      </c>
      <c r="E63">
        <v>52</v>
      </c>
      <c r="F63">
        <v>0.8</v>
      </c>
      <c r="G63">
        <v>500858</v>
      </c>
      <c r="H63">
        <f>Table6[[#This Row],[Visits]]/Table6[[#This Row],[OccupiedDwellings]]*100</f>
        <v>1.5303738784246232</v>
      </c>
    </row>
    <row r="64" spans="1:8" x14ac:dyDescent="0.25">
      <c r="A64" t="s">
        <v>202</v>
      </c>
      <c r="B64">
        <v>3</v>
      </c>
      <c r="C64">
        <v>7988</v>
      </c>
      <c r="D64">
        <v>4450</v>
      </c>
      <c r="E64">
        <v>55.7</v>
      </c>
      <c r="F64">
        <v>0.91</v>
      </c>
      <c r="G64">
        <v>490270</v>
      </c>
      <c r="H64">
        <f>Table6[[#This Row],[Visits]]/Table6[[#This Row],[OccupiedDwellings]]*100</f>
        <v>1.629306300609868</v>
      </c>
    </row>
    <row r="65" spans="1:8" x14ac:dyDescent="0.25">
      <c r="A65" t="s">
        <v>254</v>
      </c>
      <c r="B65">
        <v>4</v>
      </c>
      <c r="C65">
        <v>7416</v>
      </c>
      <c r="D65">
        <v>3798</v>
      </c>
      <c r="E65">
        <v>51.2</v>
      </c>
      <c r="F65">
        <v>0.77</v>
      </c>
      <c r="G65">
        <v>493970</v>
      </c>
      <c r="H65">
        <f>Table6[[#This Row],[Visits]]/Table6[[#This Row],[OccupiedDwellings]]*100</f>
        <v>1.5013057473125897</v>
      </c>
    </row>
    <row r="66" spans="1:8" x14ac:dyDescent="0.25">
      <c r="A66" t="s">
        <v>254</v>
      </c>
      <c r="B66">
        <v>5</v>
      </c>
      <c r="C66">
        <v>7075</v>
      </c>
      <c r="D66">
        <v>3690</v>
      </c>
      <c r="E66">
        <v>52.2</v>
      </c>
      <c r="F66">
        <v>0.8</v>
      </c>
      <c r="G66">
        <v>463248</v>
      </c>
      <c r="H66">
        <f>Table6[[#This Row],[Visits]]/Table6[[#This Row],[OccupiedDwellings]]*100</f>
        <v>1.527259696749905</v>
      </c>
    </row>
  </sheetData>
  <sheetProtection algorithmName="SHA-512" hashValue="PJoNIYCPy0mx6ah1FM0KLYpmClSDPm4WGhvqHHJFikQP/LobeKwhxfi4T4UMM+s5qjusDqJXykDx/r66WX7/2w==" saltValue="R0wtV8USKZxDgolyFgOpug==" spinCount="100000" sheet="1" scenarios="1" formatCells="0" formatColumns="0" formatRows="0" sort="0" autoFilter="0" pivotTables="0"/>
  <pageMargins left="0.7" right="0.7" top="0.75" bottom="0.75" header="0.3" footer="0.3"/>
  <tableParts count="2">
    <tablePart r:id="rId5"/>
    <tablePart r:id="rId6"/>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0"/>
  <sheetViews>
    <sheetView showGridLines="0" workbookViewId="0">
      <pane ySplit="2" topLeftCell="A3" activePane="bottomLeft" state="frozen"/>
      <selection pane="bottomLeft"/>
    </sheetView>
  </sheetViews>
  <sheetFormatPr defaultRowHeight="15" x14ac:dyDescent="0.25"/>
  <cols>
    <col min="1" max="1" width="19.7109375" customWidth="1"/>
    <col min="2" max="8" width="25.28515625" customWidth="1"/>
  </cols>
  <sheetData>
    <row r="1" spans="1:11" ht="15.75" x14ac:dyDescent="0.25">
      <c r="A1" s="802" t="s">
        <v>605</v>
      </c>
    </row>
    <row r="2" spans="1:11" x14ac:dyDescent="0.25">
      <c r="A2" s="772" t="s">
        <v>578</v>
      </c>
    </row>
    <row r="3" spans="1:11" x14ac:dyDescent="0.25">
      <c r="A3" s="31"/>
    </row>
    <row r="4" spans="1:11" ht="15.75" customHeight="1" x14ac:dyDescent="0.25">
      <c r="A4" s="850" t="s">
        <v>620</v>
      </c>
      <c r="B4" s="850"/>
      <c r="C4" s="850"/>
      <c r="D4" s="850"/>
      <c r="E4" s="850"/>
      <c r="F4" s="850"/>
      <c r="G4" s="850"/>
      <c r="H4" s="850"/>
      <c r="I4" s="850"/>
      <c r="J4" s="850"/>
      <c r="K4" s="850"/>
    </row>
    <row r="5" spans="1:11" ht="15.75" x14ac:dyDescent="0.25">
      <c r="A5" t="s">
        <v>511</v>
      </c>
      <c r="B5" s="784"/>
      <c r="C5" s="784"/>
      <c r="D5" s="784"/>
      <c r="E5" s="784"/>
      <c r="F5" s="784"/>
      <c r="G5" s="784"/>
      <c r="H5" s="784"/>
      <c r="I5" s="784"/>
      <c r="J5" s="784"/>
      <c r="K5" s="784"/>
    </row>
    <row r="6" spans="1:11" ht="15.75" x14ac:dyDescent="0.25">
      <c r="A6" t="s">
        <v>363</v>
      </c>
      <c r="B6" t="s">
        <v>782</v>
      </c>
      <c r="C6" s="784"/>
      <c r="D6" s="784"/>
      <c r="E6" s="784"/>
      <c r="F6" s="784"/>
      <c r="G6" s="784"/>
      <c r="H6" s="784"/>
      <c r="I6" s="784"/>
      <c r="J6" s="784"/>
      <c r="K6" s="784"/>
    </row>
    <row r="7" spans="1:11" ht="15.75" x14ac:dyDescent="0.25">
      <c r="A7" t="s">
        <v>364</v>
      </c>
      <c r="B7" t="s">
        <v>366</v>
      </c>
      <c r="C7" s="784"/>
      <c r="D7" s="784"/>
      <c r="E7" s="784"/>
      <c r="F7" s="784"/>
      <c r="G7" s="784"/>
      <c r="H7" s="784"/>
      <c r="I7" s="784"/>
      <c r="J7" s="784"/>
      <c r="K7" s="784"/>
    </row>
    <row r="8" spans="1:11" ht="15.75" x14ac:dyDescent="0.25">
      <c r="A8" t="s">
        <v>365</v>
      </c>
      <c r="B8" t="s">
        <v>836</v>
      </c>
      <c r="C8" s="784"/>
      <c r="D8" s="784"/>
      <c r="E8" s="784"/>
      <c r="F8" s="784"/>
      <c r="G8" s="784"/>
      <c r="H8" s="784"/>
      <c r="I8" s="784"/>
      <c r="J8" s="784"/>
      <c r="K8" s="784"/>
    </row>
    <row r="9" spans="1:11" x14ac:dyDescent="0.25">
      <c r="D9" s="856" t="s">
        <v>619</v>
      </c>
    </row>
    <row r="10" spans="1:11" x14ac:dyDescent="0.25">
      <c r="A10" s="854" t="s">
        <v>1</v>
      </c>
      <c r="B10" s="854" t="s">
        <v>409</v>
      </c>
      <c r="C10" s="854" t="s">
        <v>410</v>
      </c>
      <c r="D10" s="854" t="s">
        <v>411</v>
      </c>
      <c r="E10" s="854" t="s">
        <v>412</v>
      </c>
      <c r="F10" s="854" t="s">
        <v>413</v>
      </c>
      <c r="G10" s="854" t="s">
        <v>414</v>
      </c>
      <c r="H10" s="854" t="s">
        <v>466</v>
      </c>
      <c r="I10" s="855"/>
    </row>
    <row r="11" spans="1:11" x14ac:dyDescent="0.25">
      <c r="A11" t="str">
        <f>T19dz!A37</f>
        <v>2014-15</v>
      </c>
      <c r="B11" s="156">
        <f>T19dz!C37</f>
        <v>22832</v>
      </c>
      <c r="C11" s="156">
        <f>T19dz!D37</f>
        <v>26356</v>
      </c>
      <c r="D11" s="156">
        <f>T19dz!E37</f>
        <v>5123</v>
      </c>
      <c r="E11" s="156">
        <f>T19dz!F37</f>
        <v>2287</v>
      </c>
      <c r="F11" s="156">
        <f>T19dz!G37</f>
        <v>5570</v>
      </c>
      <c r="G11" s="156">
        <f>T19dz!H37</f>
        <v>3547</v>
      </c>
      <c r="H11" s="156">
        <f>T19dz!I37</f>
        <v>65715</v>
      </c>
    </row>
    <row r="12" spans="1:11" x14ac:dyDescent="0.25">
      <c r="A12" t="str">
        <f>T19dz!A38</f>
        <v>2015-16</v>
      </c>
      <c r="B12" s="156">
        <f>T19dz!C38</f>
        <v>24059</v>
      </c>
      <c r="C12" s="156">
        <f>T19dz!D38</f>
        <v>30013</v>
      </c>
      <c r="D12" s="156">
        <f>T19dz!E38</f>
        <v>5434</v>
      </c>
      <c r="E12" s="156">
        <f>T19dz!F38</f>
        <v>2463</v>
      </c>
      <c r="F12" s="156">
        <f>T19dz!G38</f>
        <v>5747</v>
      </c>
      <c r="G12" s="156">
        <f>T19dz!H38</f>
        <v>4001</v>
      </c>
      <c r="H12" s="156">
        <f>T19dz!I38</f>
        <v>71717</v>
      </c>
    </row>
    <row r="13" spans="1:11" x14ac:dyDescent="0.25">
      <c r="A13" t="str">
        <f>T19dz!A39</f>
        <v>2016-17</v>
      </c>
      <c r="B13" s="156">
        <f>T19dz!C39</f>
        <v>22380</v>
      </c>
      <c r="C13" s="156">
        <f>T19dz!D39</f>
        <v>29336</v>
      </c>
      <c r="D13" s="156">
        <f>T19dz!E39</f>
        <v>5378</v>
      </c>
      <c r="E13" s="156">
        <f>T19dz!F39</f>
        <v>3000</v>
      </c>
      <c r="F13" s="156">
        <f>T19dz!G39</f>
        <v>6153</v>
      </c>
      <c r="G13" s="156">
        <f>T19dz!H39</f>
        <v>4554</v>
      </c>
      <c r="H13" s="156">
        <f>T19dz!I39</f>
        <v>70801</v>
      </c>
    </row>
    <row r="14" spans="1:11" x14ac:dyDescent="0.25">
      <c r="A14" t="str">
        <f>T19dz!A40</f>
        <v>2017-18</v>
      </c>
      <c r="B14" s="156">
        <f>T19dz!C40</f>
        <v>23396</v>
      </c>
      <c r="C14" s="156">
        <f>T19dz!D40</f>
        <v>27662</v>
      </c>
      <c r="D14" s="156">
        <f>T19dz!E40</f>
        <v>5101</v>
      </c>
      <c r="E14" s="156">
        <f>T19dz!F40</f>
        <v>3090</v>
      </c>
      <c r="F14" s="156">
        <f>T19dz!G40</f>
        <v>5853</v>
      </c>
      <c r="G14" s="156">
        <f>T19dz!H40</f>
        <v>4729</v>
      </c>
      <c r="H14" s="156">
        <f>T19dz!I40</f>
        <v>69831</v>
      </c>
    </row>
    <row r="15" spans="1:11" x14ac:dyDescent="0.25">
      <c r="A15" t="str">
        <f>T19dz!A41</f>
        <v>2018-19</v>
      </c>
      <c r="B15" s="156">
        <f>T19dz!C41</f>
        <v>25614</v>
      </c>
      <c r="C15" s="156">
        <f>T19dz!D41</f>
        <v>26967</v>
      </c>
      <c r="D15" s="156">
        <f>T19dz!E41</f>
        <v>4968</v>
      </c>
      <c r="E15" s="156">
        <f>T19dz!F41</f>
        <v>2685</v>
      </c>
      <c r="F15" s="156">
        <f>T19dz!G41</f>
        <v>5307</v>
      </c>
      <c r="G15" s="156">
        <f>T19dz!H41</f>
        <v>3661</v>
      </c>
      <c r="H15" s="156">
        <f>T19dz!I41</f>
        <v>69202</v>
      </c>
    </row>
    <row r="16" spans="1:11" ht="15.75" thickBot="1" x14ac:dyDescent="0.3">
      <c r="A16" s="480" t="str">
        <f>T19dz!A42</f>
        <v>2019-20</v>
      </c>
      <c r="B16" s="837">
        <f>T19dz!C42</f>
        <v>25046</v>
      </c>
      <c r="C16" s="837">
        <f>T19dz!D42</f>
        <v>26688</v>
      </c>
      <c r="D16" s="837">
        <f>T19dz!E42</f>
        <v>5211</v>
      </c>
      <c r="E16" s="837">
        <f>T19dz!F42</f>
        <v>2581</v>
      </c>
      <c r="F16" s="837">
        <f>T19dz!G42</f>
        <v>5941</v>
      </c>
      <c r="G16" s="837">
        <f>T19dz!H42</f>
        <v>3760</v>
      </c>
      <c r="H16" s="837">
        <f>T19dz!I42</f>
        <v>69227</v>
      </c>
    </row>
    <row r="18" spans="1:11" x14ac:dyDescent="0.25">
      <c r="A18" s="437" t="s">
        <v>8</v>
      </c>
    </row>
    <row r="19" spans="1:11" x14ac:dyDescent="0.25">
      <c r="A19" s="483" t="s">
        <v>837</v>
      </c>
    </row>
    <row r="20" spans="1:11" x14ac:dyDescent="0.25">
      <c r="A20" s="951" t="s">
        <v>840</v>
      </c>
    </row>
    <row r="21" spans="1:11" x14ac:dyDescent="0.25">
      <c r="A21" s="952"/>
    </row>
    <row r="22" spans="1:11" ht="15.75" x14ac:dyDescent="0.25">
      <c r="A22" s="850" t="s">
        <v>672</v>
      </c>
      <c r="B22" s="850"/>
      <c r="C22" s="850"/>
      <c r="D22" s="850"/>
      <c r="E22" s="850"/>
      <c r="F22" s="850"/>
      <c r="G22" s="850"/>
      <c r="H22" s="850"/>
      <c r="I22" s="850"/>
      <c r="J22" s="850"/>
      <c r="K22" s="850"/>
    </row>
    <row r="23" spans="1:11" ht="15.75" x14ac:dyDescent="0.25">
      <c r="A23" t="s">
        <v>511</v>
      </c>
      <c r="B23" s="784"/>
      <c r="C23" s="784"/>
      <c r="D23" s="784"/>
      <c r="E23" s="784"/>
      <c r="F23" s="784"/>
      <c r="G23" s="784"/>
      <c r="H23" s="784"/>
      <c r="I23" s="784"/>
      <c r="J23" s="784"/>
      <c r="K23" s="784"/>
    </row>
    <row r="24" spans="1:11" ht="15.75" x14ac:dyDescent="0.25">
      <c r="A24" t="s">
        <v>363</v>
      </c>
      <c r="B24" t="s">
        <v>783</v>
      </c>
      <c r="C24" s="784"/>
      <c r="D24" s="784"/>
      <c r="E24" s="784"/>
      <c r="F24" s="784"/>
      <c r="G24" s="784"/>
      <c r="H24" s="784"/>
      <c r="I24" s="784"/>
      <c r="J24" s="784"/>
      <c r="K24" s="784"/>
    </row>
    <row r="25" spans="1:11" ht="15.75" x14ac:dyDescent="0.25">
      <c r="A25" t="s">
        <v>364</v>
      </c>
      <c r="B25" t="s">
        <v>366</v>
      </c>
      <c r="C25" s="784"/>
      <c r="D25" s="784"/>
      <c r="E25" s="784"/>
      <c r="F25" s="784"/>
      <c r="G25" s="784"/>
      <c r="H25" s="784"/>
      <c r="I25" s="784"/>
      <c r="J25" s="784"/>
      <c r="K25" s="784"/>
    </row>
    <row r="26" spans="1:11" ht="15.75" x14ac:dyDescent="0.25">
      <c r="A26" t="s">
        <v>365</v>
      </c>
      <c r="B26" t="s">
        <v>836</v>
      </c>
      <c r="C26" s="784"/>
      <c r="D26" s="784"/>
      <c r="E26" s="784"/>
      <c r="F26" s="784"/>
      <c r="G26" s="784"/>
      <c r="H26" s="784"/>
      <c r="I26" s="784"/>
      <c r="J26" s="784"/>
      <c r="K26" s="784"/>
    </row>
    <row r="28" spans="1:11" x14ac:dyDescent="0.25">
      <c r="D28" s="856" t="s">
        <v>621</v>
      </c>
    </row>
    <row r="29" spans="1:11" x14ac:dyDescent="0.25">
      <c r="A29" s="854" t="s">
        <v>1</v>
      </c>
      <c r="B29" s="854" t="s">
        <v>409</v>
      </c>
      <c r="C29" s="854" t="s">
        <v>410</v>
      </c>
      <c r="D29" s="854" t="s">
        <v>411</v>
      </c>
      <c r="E29" s="854" t="s">
        <v>412</v>
      </c>
      <c r="F29" s="854" t="s">
        <v>413</v>
      </c>
      <c r="G29" s="854" t="s">
        <v>414</v>
      </c>
      <c r="H29" s="854" t="s">
        <v>466</v>
      </c>
    </row>
    <row r="30" spans="1:11" x14ac:dyDescent="0.25">
      <c r="A30" t="str">
        <f>T19dz!$A31</f>
        <v>2014-15</v>
      </c>
      <c r="B30" s="618">
        <f>T19dz!C31/100</f>
        <v>2.63E-2</v>
      </c>
      <c r="C30" s="618">
        <f>T19dz!D31/100</f>
        <v>0.03</v>
      </c>
      <c r="D30" s="618">
        <f>T19dz!E31/100</f>
        <v>2.52E-2</v>
      </c>
      <c r="E30" s="618">
        <f>T19dz!F31/100</f>
        <v>2.53E-2</v>
      </c>
      <c r="F30" s="618">
        <f>T19dz!G31/100</f>
        <v>2.23E-2</v>
      </c>
      <c r="G30" s="618">
        <f>T19dz!H31/100</f>
        <v>2.4500000000000001E-2</v>
      </c>
      <c r="H30" s="618">
        <f>T19dz!I31/100</f>
        <v>2.7000000000000003E-2</v>
      </c>
    </row>
    <row r="31" spans="1:11" x14ac:dyDescent="0.25">
      <c r="A31" t="str">
        <f>T19dz!$A32</f>
        <v>2015-16</v>
      </c>
      <c r="B31" s="618">
        <f>T19dz!C32/100</f>
        <v>2.75E-2</v>
      </c>
      <c r="C31" s="618">
        <f>T19dz!D32/100</f>
        <v>3.4000000000000002E-2</v>
      </c>
      <c r="D31" s="618">
        <f>T19dz!E32/100</f>
        <v>2.6600000000000002E-2</v>
      </c>
      <c r="E31" s="618">
        <f>T19dz!F32/100</f>
        <v>2.7099999999999999E-2</v>
      </c>
      <c r="F31" s="618">
        <f>T19dz!G32/100</f>
        <v>2.2799999999999997E-2</v>
      </c>
      <c r="G31" s="618">
        <f>T19dz!H32/100</f>
        <v>2.75E-2</v>
      </c>
      <c r="H31" s="618">
        <f>T19dz!I32/100</f>
        <v>2.9300000000000003E-2</v>
      </c>
    </row>
    <row r="32" spans="1:11" x14ac:dyDescent="0.25">
      <c r="A32" t="str">
        <f>T19dz!$A33</f>
        <v>2016-17</v>
      </c>
      <c r="B32" s="618">
        <f>T19dz!C33/100</f>
        <v>2.5399999999999999E-2</v>
      </c>
      <c r="C32" s="618">
        <f>T19dz!D33/100</f>
        <v>3.3000000000000002E-2</v>
      </c>
      <c r="D32" s="618">
        <f>T19dz!E33/100</f>
        <v>2.6099999999999998E-2</v>
      </c>
      <c r="E32" s="618">
        <f>T19dz!F33/100</f>
        <v>3.3000000000000002E-2</v>
      </c>
      <c r="F32" s="618">
        <f>T19dz!G33/100</f>
        <v>2.4E-2</v>
      </c>
      <c r="G32" s="618">
        <f>T19dz!H33/100</f>
        <v>3.1099999999999999E-2</v>
      </c>
      <c r="H32" s="618">
        <f>T19dz!I33/100</f>
        <v>2.87E-2</v>
      </c>
    </row>
    <row r="33" spans="1:8" x14ac:dyDescent="0.25">
      <c r="A33" t="str">
        <f>T19dz!$A34</f>
        <v>2017-18</v>
      </c>
      <c r="B33" s="618">
        <f>T19dz!C34/100</f>
        <v>2.63E-2</v>
      </c>
      <c r="C33" s="618">
        <f>T19dz!D34/100</f>
        <v>3.1E-2</v>
      </c>
      <c r="D33" s="618">
        <f>T19dz!E34/100</f>
        <v>2.46E-2</v>
      </c>
      <c r="E33" s="618">
        <f>T19dz!F34/100</f>
        <v>3.3799999999999997E-2</v>
      </c>
      <c r="F33" s="618">
        <f>T19dz!G34/100</f>
        <v>2.2599999999999999E-2</v>
      </c>
      <c r="G33" s="618">
        <f>T19dz!H34/100</f>
        <v>3.2000000000000001E-2</v>
      </c>
      <c r="H33" s="618">
        <f>T19dz!I34/100</f>
        <v>2.7999999999999997E-2</v>
      </c>
    </row>
    <row r="34" spans="1:8" x14ac:dyDescent="0.25">
      <c r="A34" t="str">
        <f>T19dz!$A35</f>
        <v>2018-19</v>
      </c>
      <c r="B34" s="618">
        <f>T19dz!C35/100</f>
        <v>2.8500000000000001E-2</v>
      </c>
      <c r="C34" s="618">
        <f>T19dz!D35/100</f>
        <v>3.0099999999999998E-2</v>
      </c>
      <c r="D34" s="618">
        <f>T19dz!E35/100</f>
        <v>2.3900000000000001E-2</v>
      </c>
      <c r="E34" s="618">
        <f>T19dz!F35/100</f>
        <v>2.9300000000000003E-2</v>
      </c>
      <c r="F34" s="618">
        <f>T19dz!G35/100</f>
        <v>2.0199999999999999E-2</v>
      </c>
      <c r="G34" s="618">
        <f>T19dz!H35/100</f>
        <v>2.4700000000000003E-2</v>
      </c>
      <c r="H34" s="618">
        <f>T19dz!I35/100</f>
        <v>2.76E-2</v>
      </c>
    </row>
    <row r="35" spans="1:8" ht="15.75" thickBot="1" x14ac:dyDescent="0.3">
      <c r="A35" s="480" t="str">
        <f>T19dz!$A36</f>
        <v>2019-20</v>
      </c>
      <c r="B35" s="836">
        <f>T19dz!C36/100</f>
        <v>2.76E-2</v>
      </c>
      <c r="C35" s="836">
        <f>T19dz!D36/100</f>
        <v>2.9600000000000001E-2</v>
      </c>
      <c r="D35" s="836">
        <f>T19dz!E36/100</f>
        <v>2.4799999999999999E-2</v>
      </c>
      <c r="E35" s="836">
        <f>T19dz!F36/100</f>
        <v>2.7999999999999997E-2</v>
      </c>
      <c r="F35" s="836">
        <f>T19dz!G36/100</f>
        <v>2.2200000000000001E-2</v>
      </c>
      <c r="G35" s="836">
        <f>T19dz!H36/100</f>
        <v>2.52E-2</v>
      </c>
      <c r="H35" s="836">
        <f>T19dz!I36/100</f>
        <v>2.7400000000000001E-2</v>
      </c>
    </row>
    <row r="37" spans="1:8" x14ac:dyDescent="0.25">
      <c r="A37" s="437" t="s">
        <v>8</v>
      </c>
    </row>
    <row r="38" spans="1:8" x14ac:dyDescent="0.25">
      <c r="A38" s="483" t="s">
        <v>841</v>
      </c>
    </row>
    <row r="39" spans="1:8" x14ac:dyDescent="0.25">
      <c r="A39" s="951" t="s">
        <v>840</v>
      </c>
    </row>
    <row r="40" spans="1:8" x14ac:dyDescent="0.25">
      <c r="A40" s="772" t="s">
        <v>839</v>
      </c>
    </row>
  </sheetData>
  <sheetProtection algorithmName="SHA-512" hashValue="1/f8QXC11rXDTysCZu5l4YU1V1MAH0POI0MuKCfiYnSurEAMvAmRvft4V1GOzxU74U4nslD+mgF/t+xSNRsWTg==" saltValue="Nl6XDCrem0HK2x6mUluIIw==" spinCount="100000" sheet="1" scenarios="1" formatCells="0" formatColumns="0" formatRows="0" sort="0" autoFilter="0" pivotTables="0"/>
  <hyperlinks>
    <hyperlink ref="A2" location="'Table of Contents'!A1" display="Back to Table of Contents"/>
    <hyperlink ref="A20" r:id="rId1"/>
    <hyperlink ref="A39" r:id="rId2"/>
    <hyperlink ref="A40" r:id="rId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249977111117893"/>
    <pageSetUpPr fitToPage="1"/>
  </sheetPr>
  <dimension ref="A1:K46"/>
  <sheetViews>
    <sheetView showGridLines="0" workbookViewId="0">
      <pane ySplit="2" topLeftCell="A3" activePane="bottomLeft" state="frozen"/>
      <selection pane="bottomLeft"/>
    </sheetView>
  </sheetViews>
  <sheetFormatPr defaultRowHeight="15" x14ac:dyDescent="0.25"/>
  <cols>
    <col min="1" max="1" width="18.42578125" customWidth="1"/>
    <col min="2" max="2" width="26.42578125" customWidth="1"/>
    <col min="3" max="3" width="15.5703125" customWidth="1"/>
    <col min="4" max="4" width="11.5703125" customWidth="1"/>
    <col min="5" max="5" width="7.42578125" customWidth="1"/>
    <col min="6" max="6" width="10.140625" customWidth="1"/>
    <col min="7" max="7" width="11" customWidth="1"/>
    <col min="8" max="8" width="13.7109375" customWidth="1"/>
  </cols>
  <sheetData>
    <row r="1" spans="1:11" ht="15.75" x14ac:dyDescent="0.25">
      <c r="A1" s="802" t="s">
        <v>605</v>
      </c>
    </row>
    <row r="2" spans="1:11" x14ac:dyDescent="0.25">
      <c r="A2" s="772" t="s">
        <v>578</v>
      </c>
    </row>
    <row r="3" spans="1:11" x14ac:dyDescent="0.25">
      <c r="A3" s="31"/>
    </row>
    <row r="4" spans="1:11" ht="15.75" customHeight="1" x14ac:dyDescent="0.25">
      <c r="A4" s="658" t="s">
        <v>671</v>
      </c>
      <c r="B4" s="784"/>
      <c r="C4" s="784"/>
      <c r="D4" s="784"/>
      <c r="E4" s="784"/>
      <c r="F4" s="784"/>
      <c r="G4" s="784"/>
      <c r="H4" s="784"/>
      <c r="I4" s="784"/>
      <c r="J4" s="784"/>
      <c r="K4" s="784"/>
    </row>
    <row r="5" spans="1:11" ht="15.75" x14ac:dyDescent="0.25">
      <c r="A5" t="s">
        <v>363</v>
      </c>
      <c r="B5" t="s">
        <v>784</v>
      </c>
      <c r="C5" s="784"/>
      <c r="D5" s="784"/>
      <c r="E5" s="784"/>
      <c r="F5" s="784"/>
      <c r="G5" s="784"/>
      <c r="H5" s="784"/>
      <c r="I5" s="784"/>
      <c r="J5" s="784"/>
      <c r="K5" s="784"/>
    </row>
    <row r="6" spans="1:11" ht="15.75" x14ac:dyDescent="0.25">
      <c r="A6" t="s">
        <v>364</v>
      </c>
      <c r="B6" t="s">
        <v>366</v>
      </c>
      <c r="C6" s="784"/>
      <c r="D6" s="784"/>
      <c r="E6" s="784"/>
      <c r="F6" s="784"/>
      <c r="G6" s="784"/>
      <c r="H6" s="784"/>
      <c r="I6" s="784"/>
      <c r="J6" s="784"/>
      <c r="K6" s="784"/>
    </row>
    <row r="7" spans="1:11" ht="15.75" x14ac:dyDescent="0.25">
      <c r="A7" t="s">
        <v>365</v>
      </c>
      <c r="B7" t="s">
        <v>606</v>
      </c>
      <c r="C7" s="784"/>
      <c r="D7" s="784"/>
      <c r="E7" s="784"/>
      <c r="F7" s="784"/>
      <c r="G7" s="784"/>
      <c r="H7" s="784"/>
      <c r="I7" s="784"/>
      <c r="J7" s="784"/>
      <c r="K7" s="784"/>
    </row>
    <row r="9" spans="1:11" ht="51.75" x14ac:dyDescent="0.25">
      <c r="A9" s="96" t="s">
        <v>515</v>
      </c>
      <c r="B9" s="96" t="s">
        <v>120</v>
      </c>
      <c r="C9" s="302" t="s">
        <v>135</v>
      </c>
      <c r="D9" s="302" t="s">
        <v>136</v>
      </c>
      <c r="E9" s="603" t="s">
        <v>133</v>
      </c>
      <c r="F9" s="302" t="s">
        <v>487</v>
      </c>
      <c r="G9" s="302" t="s">
        <v>488</v>
      </c>
      <c r="H9" s="603" t="s">
        <v>137</v>
      </c>
    </row>
    <row r="10" spans="1:11" ht="19.5" customHeight="1" x14ac:dyDescent="0.25">
      <c r="A10" t="s">
        <v>301</v>
      </c>
      <c r="B10" s="577" t="s">
        <v>31</v>
      </c>
      <c r="C10" s="91">
        <f>'h19'!B4</f>
        <v>392</v>
      </c>
      <c r="D10" s="91">
        <f>'h19'!C4</f>
        <v>2272</v>
      </c>
      <c r="E10" s="604">
        <f>'h19'!D4</f>
        <v>2664</v>
      </c>
      <c r="F10" s="91">
        <f>'h19'!F4</f>
        <v>391</v>
      </c>
      <c r="G10" s="91">
        <f>'h19'!G4</f>
        <v>199</v>
      </c>
      <c r="H10" s="604">
        <f>'h19'!E4</f>
        <v>590</v>
      </c>
    </row>
    <row r="11" spans="1:11" x14ac:dyDescent="0.25">
      <c r="A11" t="s">
        <v>302</v>
      </c>
      <c r="B11" s="64" t="s">
        <v>32</v>
      </c>
      <c r="C11" s="91">
        <f>'h19'!B5</f>
        <v>699</v>
      </c>
      <c r="D11" s="91">
        <f>'h19'!C5</f>
        <v>1579</v>
      </c>
      <c r="E11" s="604">
        <f>'h19'!D5</f>
        <v>2278</v>
      </c>
      <c r="F11" s="91">
        <f>'h19'!F5</f>
        <v>731</v>
      </c>
      <c r="G11" s="91">
        <f>'h19'!G5</f>
        <v>413</v>
      </c>
      <c r="H11" s="604">
        <f>'h19'!E5</f>
        <v>1144</v>
      </c>
    </row>
    <row r="12" spans="1:11" x14ac:dyDescent="0.25">
      <c r="A12" t="s">
        <v>308</v>
      </c>
      <c r="B12" s="64" t="s">
        <v>33</v>
      </c>
      <c r="C12" s="91">
        <f>'h19'!B6</f>
        <v>440</v>
      </c>
      <c r="D12" s="91">
        <f>'h19'!C6</f>
        <v>1358</v>
      </c>
      <c r="E12" s="604">
        <f>'h19'!D6</f>
        <v>1798</v>
      </c>
      <c r="F12" s="91">
        <f>'h19'!F6</f>
        <v>474</v>
      </c>
      <c r="G12" s="91">
        <f>'h19'!G6</f>
        <v>203</v>
      </c>
      <c r="H12" s="604">
        <f>'h19'!E6</f>
        <v>677</v>
      </c>
    </row>
    <row r="13" spans="1:11" x14ac:dyDescent="0.25">
      <c r="A13" t="s">
        <v>303</v>
      </c>
      <c r="B13" s="64" t="s">
        <v>34</v>
      </c>
      <c r="C13" s="91">
        <f>'h19'!B7</f>
        <v>451</v>
      </c>
      <c r="D13" s="91">
        <f>'h19'!C7</f>
        <v>1072</v>
      </c>
      <c r="E13" s="604">
        <f>'h19'!D7</f>
        <v>1523</v>
      </c>
      <c r="F13" s="91">
        <f>'h19'!F7</f>
        <v>389</v>
      </c>
      <c r="G13" s="91">
        <f>'h19'!G7</f>
        <v>332</v>
      </c>
      <c r="H13" s="604">
        <f>'h19'!E7</f>
        <v>721</v>
      </c>
    </row>
    <row r="14" spans="1:11" x14ac:dyDescent="0.25">
      <c r="A14" t="s">
        <v>304</v>
      </c>
      <c r="B14" s="64" t="s">
        <v>258</v>
      </c>
      <c r="C14" s="91">
        <f>'h19'!B8</f>
        <v>1501</v>
      </c>
      <c r="D14" s="91">
        <f>'h19'!C8</f>
        <v>3440</v>
      </c>
      <c r="E14" s="604">
        <f>'h19'!D8</f>
        <v>4941</v>
      </c>
      <c r="F14" s="91">
        <f>'h19'!F8</f>
        <v>1591</v>
      </c>
      <c r="G14" s="91">
        <f>'h19'!G8</f>
        <v>578</v>
      </c>
      <c r="H14" s="604">
        <f>'h19'!E8</f>
        <v>2169</v>
      </c>
    </row>
    <row r="15" spans="1:11" x14ac:dyDescent="0.25">
      <c r="A15" t="s">
        <v>282</v>
      </c>
      <c r="B15" s="64" t="s">
        <v>35</v>
      </c>
      <c r="C15" s="91">
        <f>'h19'!B9</f>
        <v>292</v>
      </c>
      <c r="D15" s="91">
        <f>'h19'!C9</f>
        <v>379</v>
      </c>
      <c r="E15" s="604">
        <f>'h19'!D9</f>
        <v>671</v>
      </c>
      <c r="F15" s="91">
        <f>'h19'!F9</f>
        <v>445</v>
      </c>
      <c r="G15" s="91">
        <f>'h19'!G9</f>
        <v>50</v>
      </c>
      <c r="H15" s="604">
        <f>'h19'!E9</f>
        <v>495</v>
      </c>
    </row>
    <row r="16" spans="1:11" x14ac:dyDescent="0.25">
      <c r="A16" t="s">
        <v>283</v>
      </c>
      <c r="B16" s="64" t="s">
        <v>36</v>
      </c>
      <c r="C16" s="91">
        <f>'h19'!B10</f>
        <v>870</v>
      </c>
      <c r="D16" s="91">
        <f>'h19'!C10</f>
        <v>839</v>
      </c>
      <c r="E16" s="604">
        <f>'h19'!D10</f>
        <v>1709</v>
      </c>
      <c r="F16" s="91">
        <f>'h19'!F10</f>
        <v>824</v>
      </c>
      <c r="G16" s="91">
        <f>'h19'!G10</f>
        <v>438</v>
      </c>
      <c r="H16" s="604">
        <f>'h19'!E10</f>
        <v>1262</v>
      </c>
    </row>
    <row r="17" spans="1:8" x14ac:dyDescent="0.25">
      <c r="A17" t="s">
        <v>309</v>
      </c>
      <c r="B17" s="64" t="s">
        <v>37</v>
      </c>
      <c r="C17" s="91">
        <f>'h19'!B11</f>
        <v>577</v>
      </c>
      <c r="D17" s="91">
        <f>'h19'!C11</f>
        <v>2144</v>
      </c>
      <c r="E17" s="604">
        <f>'h19'!D11</f>
        <v>2721</v>
      </c>
      <c r="F17" s="91">
        <f>'h19'!F11</f>
        <v>510</v>
      </c>
      <c r="G17" s="91">
        <f>'h19'!G11</f>
        <v>327</v>
      </c>
      <c r="H17" s="604">
        <f>'h19'!E11</f>
        <v>837</v>
      </c>
    </row>
    <row r="18" spans="1:8" x14ac:dyDescent="0.25">
      <c r="A18" t="s">
        <v>284</v>
      </c>
      <c r="B18" s="64" t="s">
        <v>38</v>
      </c>
      <c r="C18" s="91">
        <f>'h19'!B12</f>
        <v>423</v>
      </c>
      <c r="D18" s="91">
        <f>'h19'!C12</f>
        <v>680</v>
      </c>
      <c r="E18" s="604">
        <f>'h19'!D12</f>
        <v>1103</v>
      </c>
      <c r="F18" s="91">
        <f>'h19'!F12</f>
        <v>487</v>
      </c>
      <c r="G18" s="91">
        <f>'h19'!G12</f>
        <v>216</v>
      </c>
      <c r="H18" s="604">
        <f>'h19'!E12</f>
        <v>703</v>
      </c>
    </row>
    <row r="19" spans="1:8" x14ac:dyDescent="0.25">
      <c r="A19" t="s">
        <v>311</v>
      </c>
      <c r="B19" s="64" t="s">
        <v>39</v>
      </c>
      <c r="C19" s="91">
        <f>'h19'!B13</f>
        <v>656</v>
      </c>
      <c r="D19" s="91">
        <f>'h19'!C13</f>
        <v>662</v>
      </c>
      <c r="E19" s="604">
        <f>'h19'!D13</f>
        <v>1318</v>
      </c>
      <c r="F19" s="91">
        <f>'h19'!F13</f>
        <v>758</v>
      </c>
      <c r="G19" s="91">
        <f>'h19'!G13</f>
        <v>299</v>
      </c>
      <c r="H19" s="604">
        <f>'h19'!E13</f>
        <v>1057</v>
      </c>
    </row>
    <row r="20" spans="1:8" x14ac:dyDescent="0.25">
      <c r="A20" t="s">
        <v>285</v>
      </c>
      <c r="B20" s="64" t="s">
        <v>40</v>
      </c>
      <c r="C20" s="91">
        <f>'h19'!B14</f>
        <v>372</v>
      </c>
      <c r="D20" s="91">
        <f>'h19'!C14</f>
        <v>530</v>
      </c>
      <c r="E20" s="604">
        <f>'h19'!D14</f>
        <v>902</v>
      </c>
      <c r="F20" s="91">
        <f>'h19'!F14</f>
        <v>448</v>
      </c>
      <c r="G20" s="91">
        <f>'h19'!G14</f>
        <v>151</v>
      </c>
      <c r="H20" s="604">
        <f>'h19'!E14</f>
        <v>599</v>
      </c>
    </row>
    <row r="21" spans="1:8" x14ac:dyDescent="0.25">
      <c r="A21" t="s">
        <v>286</v>
      </c>
      <c r="B21" s="64" t="s">
        <v>41</v>
      </c>
      <c r="C21" s="91">
        <f>'h19'!B15</f>
        <v>366</v>
      </c>
      <c r="D21" s="91">
        <f>'h19'!C15</f>
        <v>587</v>
      </c>
      <c r="E21" s="604">
        <f>'h19'!D15</f>
        <v>953</v>
      </c>
      <c r="F21" s="91">
        <f>'h19'!F15</f>
        <v>397</v>
      </c>
      <c r="G21" s="91">
        <f>'h19'!G15</f>
        <v>172</v>
      </c>
      <c r="H21" s="604">
        <f>'h19'!E15</f>
        <v>569</v>
      </c>
    </row>
    <row r="22" spans="1:8" x14ac:dyDescent="0.25">
      <c r="A22" t="s">
        <v>288</v>
      </c>
      <c r="B22" s="64" t="s">
        <v>42</v>
      </c>
      <c r="C22" s="91">
        <f>'h19'!B16</f>
        <v>511</v>
      </c>
      <c r="D22" s="91">
        <f>'h19'!C16</f>
        <v>1174</v>
      </c>
      <c r="E22" s="604">
        <f>'h19'!D16</f>
        <v>1685</v>
      </c>
      <c r="F22" s="91">
        <f>'h19'!F16</f>
        <v>590</v>
      </c>
      <c r="G22" s="91">
        <f>'h19'!G16</f>
        <v>172</v>
      </c>
      <c r="H22" s="604">
        <f>'h19'!E16</f>
        <v>762</v>
      </c>
    </row>
    <row r="23" spans="1:8" x14ac:dyDescent="0.25">
      <c r="A23" t="s">
        <v>430</v>
      </c>
      <c r="B23" s="64" t="s">
        <v>43</v>
      </c>
      <c r="C23" s="91">
        <f>'h19'!B17</f>
        <v>2532</v>
      </c>
      <c r="D23" s="91">
        <f>'h19'!C17</f>
        <v>3908</v>
      </c>
      <c r="E23" s="604">
        <f>'h19'!D17</f>
        <v>6440</v>
      </c>
      <c r="F23" s="91">
        <f>'h19'!F17</f>
        <v>2724</v>
      </c>
      <c r="G23" s="91">
        <f>'h19'!G17</f>
        <v>1258</v>
      </c>
      <c r="H23" s="604">
        <f>'h19'!E17</f>
        <v>3982</v>
      </c>
    </row>
    <row r="24" spans="1:8" x14ac:dyDescent="0.25">
      <c r="A24" t="s">
        <v>312</v>
      </c>
      <c r="B24" s="64" t="s">
        <v>121</v>
      </c>
      <c r="C24" s="91">
        <f>'h19'!B18</f>
        <v>2529</v>
      </c>
      <c r="D24" s="91">
        <f>'h19'!C18</f>
        <v>7409</v>
      </c>
      <c r="E24" s="604">
        <f>'h19'!D18</f>
        <v>9938</v>
      </c>
      <c r="F24" s="91">
        <f>'h19'!F18</f>
        <v>2783</v>
      </c>
      <c r="G24" s="91">
        <f>'h19'!G18</f>
        <v>753</v>
      </c>
      <c r="H24" s="604">
        <f>'h19'!E18</f>
        <v>3536</v>
      </c>
    </row>
    <row r="25" spans="1:8" x14ac:dyDescent="0.25">
      <c r="A25" t="s">
        <v>289</v>
      </c>
      <c r="B25" s="64" t="s">
        <v>44</v>
      </c>
      <c r="C25" s="91">
        <f>'h19'!B19</f>
        <v>591</v>
      </c>
      <c r="D25" s="91">
        <f>'h19'!C19</f>
        <v>2275</v>
      </c>
      <c r="E25" s="604">
        <f>'h19'!D19</f>
        <v>2866</v>
      </c>
      <c r="F25" s="91">
        <f>'h19'!F19</f>
        <v>522</v>
      </c>
      <c r="G25" s="91">
        <f>'h19'!G19</f>
        <v>463</v>
      </c>
      <c r="H25" s="604">
        <f>'h19'!E19</f>
        <v>985</v>
      </c>
    </row>
    <row r="26" spans="1:8" x14ac:dyDescent="0.25">
      <c r="A26" t="s">
        <v>290</v>
      </c>
      <c r="B26" s="64" t="s">
        <v>45</v>
      </c>
      <c r="C26" s="91">
        <f>'h19'!B20</f>
        <v>631</v>
      </c>
      <c r="D26" s="91">
        <f>'h19'!C20</f>
        <v>772</v>
      </c>
      <c r="E26" s="604">
        <f>'h19'!D20</f>
        <v>1403</v>
      </c>
      <c r="F26" s="91">
        <f>'h19'!F20</f>
        <v>603</v>
      </c>
      <c r="G26" s="91">
        <f>'h19'!G20</f>
        <v>338</v>
      </c>
      <c r="H26" s="604">
        <f>'h19'!E20</f>
        <v>941</v>
      </c>
    </row>
    <row r="27" spans="1:8" x14ac:dyDescent="0.25">
      <c r="A27" t="s">
        <v>291</v>
      </c>
      <c r="B27" s="64" t="s">
        <v>46</v>
      </c>
      <c r="C27" s="91">
        <f>'h19'!B21</f>
        <v>338</v>
      </c>
      <c r="D27" s="91">
        <f>'h19'!C21</f>
        <v>669</v>
      </c>
      <c r="E27" s="604">
        <f>'h19'!D21</f>
        <v>1007</v>
      </c>
      <c r="F27" s="91">
        <f>'h19'!F21</f>
        <v>303</v>
      </c>
      <c r="G27" s="91">
        <f>'h19'!G21</f>
        <v>225</v>
      </c>
      <c r="H27" s="604">
        <f>'h19'!E21</f>
        <v>528</v>
      </c>
    </row>
    <row r="28" spans="1:8" x14ac:dyDescent="0.25">
      <c r="A28" t="s">
        <v>292</v>
      </c>
      <c r="B28" s="64" t="s">
        <v>47</v>
      </c>
      <c r="C28" s="91">
        <f>'h19'!B22</f>
        <v>483</v>
      </c>
      <c r="D28" s="91">
        <f>'h19'!C22</f>
        <v>1205</v>
      </c>
      <c r="E28" s="604">
        <f>'h19'!D22</f>
        <v>1688</v>
      </c>
      <c r="F28" s="91">
        <f>'h19'!F22</f>
        <v>500</v>
      </c>
      <c r="G28" s="91">
        <f>'h19'!G22</f>
        <v>377</v>
      </c>
      <c r="H28" s="604">
        <f>'h19'!E22</f>
        <v>877</v>
      </c>
    </row>
    <row r="29" spans="1:8" x14ac:dyDescent="0.25">
      <c r="A29" t="s">
        <v>287</v>
      </c>
      <c r="B29" s="64" t="s">
        <v>48</v>
      </c>
      <c r="C29" s="91">
        <f>'h19'!B23</f>
        <v>67</v>
      </c>
      <c r="D29" s="91">
        <f>'h19'!C23</f>
        <v>235</v>
      </c>
      <c r="E29" s="604">
        <f>'h19'!D23</f>
        <v>302</v>
      </c>
      <c r="F29" s="91">
        <f>'h19'!F23</f>
        <v>69</v>
      </c>
      <c r="G29" s="91">
        <f>'h19'!G23</f>
        <v>42</v>
      </c>
      <c r="H29" s="604">
        <f>'h19'!E23</f>
        <v>111</v>
      </c>
    </row>
    <row r="30" spans="1:8" x14ac:dyDescent="0.25">
      <c r="A30" t="s">
        <v>293</v>
      </c>
      <c r="B30" s="64" t="s">
        <v>49</v>
      </c>
      <c r="C30" s="91">
        <f>'h19'!B24</f>
        <v>716</v>
      </c>
      <c r="D30" s="91">
        <f>'h19'!C24</f>
        <v>969</v>
      </c>
      <c r="E30" s="604">
        <f>'h19'!D24</f>
        <v>1685</v>
      </c>
      <c r="F30" s="91">
        <f>'h19'!F24</f>
        <v>784</v>
      </c>
      <c r="G30" s="91">
        <f>'h19'!G24</f>
        <v>366</v>
      </c>
      <c r="H30" s="604">
        <f>'h19'!E24</f>
        <v>1150</v>
      </c>
    </row>
    <row r="31" spans="1:8" x14ac:dyDescent="0.25">
      <c r="A31" t="s">
        <v>310</v>
      </c>
      <c r="B31" s="64" t="s">
        <v>50</v>
      </c>
      <c r="C31" s="91">
        <f>'h19'!B25</f>
        <v>1327</v>
      </c>
      <c r="D31" s="91">
        <f>'h19'!C25</f>
        <v>2916</v>
      </c>
      <c r="E31" s="604">
        <f>'h19'!D25</f>
        <v>4243</v>
      </c>
      <c r="F31" s="91">
        <f>'h19'!F25</f>
        <v>1741</v>
      </c>
      <c r="G31" s="91">
        <f>'h19'!G25</f>
        <v>411</v>
      </c>
      <c r="H31" s="604">
        <f>'h19'!E25</f>
        <v>2152</v>
      </c>
    </row>
    <row r="32" spans="1:8" x14ac:dyDescent="0.25">
      <c r="A32" t="s">
        <v>294</v>
      </c>
      <c r="B32" s="64" t="s">
        <v>51</v>
      </c>
      <c r="C32" s="91">
        <f>'h19'!B26</f>
        <v>122</v>
      </c>
      <c r="D32" s="91">
        <f>'h19'!C26</f>
        <v>237</v>
      </c>
      <c r="E32" s="604">
        <f>'h19'!D26</f>
        <v>359</v>
      </c>
      <c r="F32" s="91">
        <f>'h19'!F26</f>
        <v>127</v>
      </c>
      <c r="G32" s="91">
        <f>'h19'!G26</f>
        <v>84</v>
      </c>
      <c r="H32" s="604">
        <f>'h19'!E26</f>
        <v>211</v>
      </c>
    </row>
    <row r="33" spans="1:8" x14ac:dyDescent="0.25">
      <c r="A33" t="s">
        <v>295</v>
      </c>
      <c r="B33" s="64" t="s">
        <v>52</v>
      </c>
      <c r="C33" s="91">
        <f>'h19'!B27</f>
        <v>389</v>
      </c>
      <c r="D33" s="91">
        <f>'h19'!C27</f>
        <v>1165</v>
      </c>
      <c r="E33" s="604">
        <f>'h19'!D27</f>
        <v>1554</v>
      </c>
      <c r="F33" s="91">
        <f>'h19'!F27</f>
        <v>403</v>
      </c>
      <c r="G33" s="91">
        <f>'h19'!G27</f>
        <v>198</v>
      </c>
      <c r="H33" s="604">
        <f>'h19'!E27</f>
        <v>601</v>
      </c>
    </row>
    <row r="34" spans="1:8" x14ac:dyDescent="0.25">
      <c r="A34" t="s">
        <v>305</v>
      </c>
      <c r="B34" s="64" t="s">
        <v>53</v>
      </c>
      <c r="C34" s="91">
        <f>'h19'!B28</f>
        <v>774</v>
      </c>
      <c r="D34" s="91">
        <f>'h19'!C28</f>
        <v>1023</v>
      </c>
      <c r="E34" s="604">
        <f>'h19'!D28</f>
        <v>1797</v>
      </c>
      <c r="F34" s="91">
        <f>'h19'!F28</f>
        <v>786</v>
      </c>
      <c r="G34" s="91">
        <f>'h19'!G28</f>
        <v>396</v>
      </c>
      <c r="H34" s="604">
        <f>'h19'!E28</f>
        <v>1182</v>
      </c>
    </row>
    <row r="35" spans="1:8" x14ac:dyDescent="0.25">
      <c r="A35" t="s">
        <v>296</v>
      </c>
      <c r="B35" s="64" t="s">
        <v>54</v>
      </c>
      <c r="C35" s="91">
        <f>'h19'!B29</f>
        <v>869</v>
      </c>
      <c r="D35" s="91">
        <f>'h19'!C29</f>
        <v>1387</v>
      </c>
      <c r="E35" s="604">
        <f>'h19'!D29</f>
        <v>2256</v>
      </c>
      <c r="F35" s="91">
        <f>'h19'!F29</f>
        <v>798</v>
      </c>
      <c r="G35" s="91">
        <f>'h19'!G29</f>
        <v>632</v>
      </c>
      <c r="H35" s="604">
        <f>'h19'!E29</f>
        <v>1430</v>
      </c>
    </row>
    <row r="36" spans="1:8" x14ac:dyDescent="0.25">
      <c r="A36" t="s">
        <v>297</v>
      </c>
      <c r="B36" s="64" t="s">
        <v>55</v>
      </c>
      <c r="C36" s="91">
        <f>'h19'!B30</f>
        <v>156</v>
      </c>
      <c r="D36" s="91">
        <f>'h19'!C30</f>
        <v>407</v>
      </c>
      <c r="E36" s="604">
        <f>'h19'!D30</f>
        <v>563</v>
      </c>
      <c r="F36" s="91">
        <f>'h19'!F30</f>
        <v>141</v>
      </c>
      <c r="G36" s="91">
        <f>'h19'!G30</f>
        <v>112</v>
      </c>
      <c r="H36" s="604">
        <f>'h19'!E30</f>
        <v>253</v>
      </c>
    </row>
    <row r="37" spans="1:8" x14ac:dyDescent="0.25">
      <c r="A37" t="s">
        <v>298</v>
      </c>
      <c r="B37" s="64" t="s">
        <v>56</v>
      </c>
      <c r="C37" s="91">
        <f>'h19'!B31</f>
        <v>413</v>
      </c>
      <c r="D37" s="91">
        <f>'h19'!C31</f>
        <v>588</v>
      </c>
      <c r="E37" s="604">
        <f>'h19'!D31</f>
        <v>1001</v>
      </c>
      <c r="F37" s="91">
        <f>'h19'!F31</f>
        <v>525</v>
      </c>
      <c r="G37" s="91">
        <f>'h19'!G31</f>
        <v>185</v>
      </c>
      <c r="H37" s="604">
        <f>'h19'!E31</f>
        <v>710</v>
      </c>
    </row>
    <row r="38" spans="1:8" x14ac:dyDescent="0.25">
      <c r="A38" t="s">
        <v>299</v>
      </c>
      <c r="B38" s="64" t="s">
        <v>57</v>
      </c>
      <c r="C38" s="91">
        <f>'h19'!B32</f>
        <v>1364</v>
      </c>
      <c r="D38" s="91">
        <f>'h19'!C32</f>
        <v>2345</v>
      </c>
      <c r="E38" s="604">
        <f>'h19'!D32</f>
        <v>3709</v>
      </c>
      <c r="F38" s="91">
        <f>'h19'!F32</f>
        <v>1628</v>
      </c>
      <c r="G38" s="91">
        <f>'h19'!G32</f>
        <v>551</v>
      </c>
      <c r="H38" s="604">
        <f>'h19'!E32</f>
        <v>2179</v>
      </c>
    </row>
    <row r="39" spans="1:8" x14ac:dyDescent="0.25">
      <c r="A39" t="s">
        <v>300</v>
      </c>
      <c r="B39" s="64" t="s">
        <v>58</v>
      </c>
      <c r="C39" s="91">
        <f>'h19'!B33</f>
        <v>310</v>
      </c>
      <c r="D39" s="91">
        <f>'h19'!C33</f>
        <v>590</v>
      </c>
      <c r="E39" s="604">
        <f>'h19'!D33</f>
        <v>900</v>
      </c>
      <c r="F39" s="91">
        <f>'h19'!F33</f>
        <v>360</v>
      </c>
      <c r="G39" s="91">
        <f>'h19'!G33</f>
        <v>152</v>
      </c>
      <c r="H39" s="604">
        <f>'h19'!E33</f>
        <v>512</v>
      </c>
    </row>
    <row r="40" spans="1:8" x14ac:dyDescent="0.25">
      <c r="A40" t="s">
        <v>306</v>
      </c>
      <c r="B40" s="64" t="s">
        <v>59</v>
      </c>
      <c r="C40" s="91">
        <f>'h19'!B34</f>
        <v>468</v>
      </c>
      <c r="D40" s="91">
        <f>'h19'!C34</f>
        <v>931</v>
      </c>
      <c r="E40" s="604">
        <f>'h19'!D34</f>
        <v>1399</v>
      </c>
      <c r="F40" s="91">
        <f>'h19'!F34</f>
        <v>550</v>
      </c>
      <c r="G40" s="91">
        <f>'h19'!G34</f>
        <v>172</v>
      </c>
      <c r="H40" s="604">
        <f>'h19'!E34</f>
        <v>722</v>
      </c>
    </row>
    <row r="41" spans="1:8" x14ac:dyDescent="0.25">
      <c r="A41" t="s">
        <v>307</v>
      </c>
      <c r="B41" s="64" t="s">
        <v>60</v>
      </c>
      <c r="C41" s="91">
        <f>'h19'!B35</f>
        <v>658</v>
      </c>
      <c r="D41" s="91">
        <f>'h19'!C35</f>
        <v>1193</v>
      </c>
      <c r="E41" s="604">
        <f>'h19'!D35</f>
        <v>1851</v>
      </c>
      <c r="F41" s="91">
        <f>'h19'!F35</f>
        <v>631</v>
      </c>
      <c r="G41" s="91">
        <f>'h19'!G35</f>
        <v>327</v>
      </c>
      <c r="H41" s="604">
        <f>'h19'!E35</f>
        <v>958</v>
      </c>
    </row>
    <row r="42" spans="1:8" ht="18.75" customHeight="1" thickBot="1" x14ac:dyDescent="0.3">
      <c r="A42" s="41"/>
      <c r="B42" s="41" t="s">
        <v>810</v>
      </c>
      <c r="C42" s="199">
        <f>SUM(C10:C41)</f>
        <v>22287</v>
      </c>
      <c r="D42" s="199">
        <f t="shared" ref="D42:H42" si="0">SUM(D10:D41)</f>
        <v>46940</v>
      </c>
      <c r="E42" s="199">
        <f t="shared" si="0"/>
        <v>69227</v>
      </c>
      <c r="F42" s="199">
        <f t="shared" si="0"/>
        <v>24013</v>
      </c>
      <c r="G42" s="199">
        <f t="shared" si="0"/>
        <v>10592</v>
      </c>
      <c r="H42" s="199">
        <f t="shared" si="0"/>
        <v>34605</v>
      </c>
    </row>
    <row r="43" spans="1:8" x14ac:dyDescent="0.25">
      <c r="B43" s="13"/>
      <c r="C43" s="57"/>
      <c r="D43" s="57"/>
      <c r="E43" s="76"/>
    </row>
    <row r="44" spans="1:8" x14ac:dyDescent="0.25">
      <c r="A44" s="437" t="s">
        <v>8</v>
      </c>
    </row>
    <row r="45" spans="1:8" ht="30.75" customHeight="1" x14ac:dyDescent="0.25">
      <c r="A45" s="1076" t="s">
        <v>820</v>
      </c>
      <c r="B45" s="1076"/>
      <c r="C45" s="1076"/>
      <c r="D45" s="1076"/>
      <c r="E45" s="1076"/>
      <c r="F45" s="1076"/>
      <c r="G45" s="1076"/>
      <c r="H45" s="1076"/>
    </row>
    <row r="46" spans="1:8" x14ac:dyDescent="0.25">
      <c r="A46" t="s">
        <v>1067</v>
      </c>
    </row>
  </sheetData>
  <sheetProtection algorithmName="SHA-512" hashValue="FWZl+6uu3apagxhS7IzLJF1wmniYPiiT+B7kDz/1BNXHPsFi+d5Xrg+OqvWJPZlzWQqN2lkudMPaMlh2IxJ/CA==" saltValue="NYkl/cN1bM9If3vwqG4rww==" spinCount="100000" sheet="1" scenarios="1" formatCells="0" formatColumns="0" formatRows="0" sort="0" autoFilter="0" pivotTables="0"/>
  <mergeCells count="1">
    <mergeCell ref="A45:H4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249977111117893"/>
  </sheetPr>
  <dimension ref="A1:H47"/>
  <sheetViews>
    <sheetView showGridLines="0" workbookViewId="0">
      <pane ySplit="2" topLeftCell="A29" activePane="bottomLeft" state="frozen"/>
      <selection pane="bottomLeft"/>
    </sheetView>
  </sheetViews>
  <sheetFormatPr defaultRowHeight="15" x14ac:dyDescent="0.25"/>
  <cols>
    <col min="1" max="1" width="17.28515625" customWidth="1"/>
    <col min="2" max="2" width="22.5703125" bestFit="1" customWidth="1"/>
    <col min="3" max="6" width="14.140625" customWidth="1"/>
  </cols>
  <sheetData>
    <row r="1" spans="1:6" ht="15.75" x14ac:dyDescent="0.25">
      <c r="A1" s="802" t="s">
        <v>605</v>
      </c>
    </row>
    <row r="2" spans="1:6" x14ac:dyDescent="0.25">
      <c r="A2" s="772" t="s">
        <v>578</v>
      </c>
    </row>
    <row r="4" spans="1:6" ht="15.75" x14ac:dyDescent="0.25">
      <c r="A4" s="658" t="s">
        <v>696</v>
      </c>
      <c r="B4" s="784"/>
    </row>
    <row r="5" spans="1:6" x14ac:dyDescent="0.25">
      <c r="A5" t="s">
        <v>363</v>
      </c>
      <c r="B5" t="s">
        <v>785</v>
      </c>
    </row>
    <row r="6" spans="1:6" x14ac:dyDescent="0.25">
      <c r="A6" t="s">
        <v>364</v>
      </c>
      <c r="B6" t="s">
        <v>366</v>
      </c>
    </row>
    <row r="7" spans="1:6" x14ac:dyDescent="0.25">
      <c r="A7" t="s">
        <v>365</v>
      </c>
      <c r="B7" t="s">
        <v>606</v>
      </c>
    </row>
    <row r="9" spans="1:6" ht="15" customHeight="1" x14ac:dyDescent="0.25">
      <c r="B9" s="303"/>
      <c r="C9" s="419"/>
      <c r="D9" s="470" t="s">
        <v>7</v>
      </c>
      <c r="E9" s="1131" t="s">
        <v>138</v>
      </c>
      <c r="F9" s="1131"/>
    </row>
    <row r="10" spans="1:6" ht="39" x14ac:dyDescent="0.25">
      <c r="A10" s="96" t="s">
        <v>515</v>
      </c>
      <c r="B10" s="96" t="s">
        <v>120</v>
      </c>
      <c r="C10" s="302" t="s">
        <v>139</v>
      </c>
      <c r="D10" s="302" t="s">
        <v>140</v>
      </c>
      <c r="E10" s="860" t="s">
        <v>139</v>
      </c>
      <c r="F10" s="861" t="s">
        <v>141</v>
      </c>
    </row>
    <row r="11" spans="1:6" ht="20.25" customHeight="1" x14ac:dyDescent="0.25">
      <c r="A11" t="s">
        <v>301</v>
      </c>
      <c r="B11" s="64" t="s">
        <v>31</v>
      </c>
      <c r="C11" s="605">
        <f>'HFSVs LA'!C10/'HFSVs LA'!E10*100</f>
        <v>14.714714714714713</v>
      </c>
      <c r="D11" s="605">
        <f>100-C11</f>
        <v>85.285285285285283</v>
      </c>
      <c r="E11" s="859">
        <f>'HFSVs LA'!H10/'HFSVs LA'!C10</f>
        <v>1.5051020408163265</v>
      </c>
      <c r="F11" s="557">
        <f>'HFSVs LA'!H10/'HFSVs LA'!E10</f>
        <v>0.22147147147147148</v>
      </c>
    </row>
    <row r="12" spans="1:6" x14ac:dyDescent="0.25">
      <c r="A12" t="s">
        <v>302</v>
      </c>
      <c r="B12" s="64" t="s">
        <v>32</v>
      </c>
      <c r="C12" s="605">
        <f>'HFSVs LA'!C11/'HFSVs LA'!E11*100</f>
        <v>30.684811237928006</v>
      </c>
      <c r="D12" s="605">
        <f t="shared" ref="D12:D42" si="0">100-C12</f>
        <v>69.315188762071998</v>
      </c>
      <c r="E12" s="859">
        <f>'HFSVs LA'!H11/'HFSVs LA'!C11</f>
        <v>1.636623748211731</v>
      </c>
      <c r="F12" s="557">
        <f>'HFSVs LA'!H11/'HFSVs LA'!E11</f>
        <v>0.50219490781387177</v>
      </c>
    </row>
    <row r="13" spans="1:6" x14ac:dyDescent="0.25">
      <c r="A13" t="s">
        <v>308</v>
      </c>
      <c r="B13" s="64" t="s">
        <v>33</v>
      </c>
      <c r="C13" s="605">
        <f>'HFSVs LA'!C12/'HFSVs LA'!E12*100</f>
        <v>24.471635150166851</v>
      </c>
      <c r="D13" s="605">
        <f t="shared" si="0"/>
        <v>75.528364849833153</v>
      </c>
      <c r="E13" s="859">
        <f>'HFSVs LA'!H12/'HFSVs LA'!C12</f>
        <v>1.5386363636363636</v>
      </c>
      <c r="F13" s="557">
        <f>'HFSVs LA'!H12/'HFSVs LA'!E12</f>
        <v>0.37652947719688545</v>
      </c>
    </row>
    <row r="14" spans="1:6" x14ac:dyDescent="0.25">
      <c r="A14" t="s">
        <v>303</v>
      </c>
      <c r="B14" s="64" t="s">
        <v>34</v>
      </c>
      <c r="C14" s="605">
        <f>'HFSVs LA'!C13/'HFSVs LA'!E13*100</f>
        <v>29.612606697307946</v>
      </c>
      <c r="D14" s="605">
        <f t="shared" si="0"/>
        <v>70.387393302692061</v>
      </c>
      <c r="E14" s="859">
        <f>'HFSVs LA'!H13/'HFSVs LA'!C13</f>
        <v>1.5986696230598669</v>
      </c>
      <c r="F14" s="557">
        <f>'HFSVs LA'!H13/'HFSVs LA'!E13</f>
        <v>0.47340774786605383</v>
      </c>
    </row>
    <row r="15" spans="1:6" x14ac:dyDescent="0.25">
      <c r="A15" t="s">
        <v>304</v>
      </c>
      <c r="B15" s="64" t="s">
        <v>258</v>
      </c>
      <c r="C15" s="605">
        <f>'HFSVs LA'!C14/'HFSVs LA'!E14*100</f>
        <v>30.378465897591582</v>
      </c>
      <c r="D15" s="605">
        <f t="shared" si="0"/>
        <v>69.621534102408418</v>
      </c>
      <c r="E15" s="859">
        <f>'HFSVs LA'!H14/'HFSVs LA'!C14</f>
        <v>1.4450366422385077</v>
      </c>
      <c r="F15" s="557">
        <f>'HFSVs LA'!H14/'HFSVs LA'!E14</f>
        <v>0.43897996357012753</v>
      </c>
    </row>
    <row r="16" spans="1:6" x14ac:dyDescent="0.25">
      <c r="A16" t="s">
        <v>282</v>
      </c>
      <c r="B16" s="64" t="s">
        <v>35</v>
      </c>
      <c r="C16" s="605">
        <f>'HFSVs LA'!C15/'HFSVs LA'!E15*100</f>
        <v>43.517138599105813</v>
      </c>
      <c r="D16" s="605">
        <f t="shared" si="0"/>
        <v>56.482861400894187</v>
      </c>
      <c r="E16" s="859">
        <f>'HFSVs LA'!H15/'HFSVs LA'!C15</f>
        <v>1.6952054794520548</v>
      </c>
      <c r="F16" s="557">
        <f>'HFSVs LA'!H15/'HFSVs LA'!E15</f>
        <v>0.73770491803278693</v>
      </c>
    </row>
    <row r="17" spans="1:6" x14ac:dyDescent="0.25">
      <c r="A17" t="s">
        <v>283</v>
      </c>
      <c r="B17" s="64" t="s">
        <v>36</v>
      </c>
      <c r="C17" s="605">
        <f>'HFSVs LA'!C16/'HFSVs LA'!E16*100</f>
        <v>50.906963136337033</v>
      </c>
      <c r="D17" s="605">
        <f t="shared" si="0"/>
        <v>49.093036863662967</v>
      </c>
      <c r="E17" s="859">
        <f>'HFSVs LA'!H16/'HFSVs LA'!C16</f>
        <v>1.4505747126436781</v>
      </c>
      <c r="F17" s="557">
        <f>'HFSVs LA'!H16/'HFSVs LA'!E16</f>
        <v>0.73844353423054421</v>
      </c>
    </row>
    <row r="18" spans="1:6" x14ac:dyDescent="0.25">
      <c r="A18" t="s">
        <v>309</v>
      </c>
      <c r="B18" s="64" t="s">
        <v>37</v>
      </c>
      <c r="C18" s="605">
        <f>'HFSVs LA'!C17/'HFSVs LA'!E17*100</f>
        <v>21.205439176773243</v>
      </c>
      <c r="D18" s="605">
        <f t="shared" si="0"/>
        <v>78.79456082322676</v>
      </c>
      <c r="E18" s="859">
        <f>'HFSVs LA'!H17/'HFSVs LA'!C17</f>
        <v>1.4506065857885615</v>
      </c>
      <c r="F18" s="557">
        <f>'HFSVs LA'!H17/'HFSVs LA'!E17</f>
        <v>0.30760749724366043</v>
      </c>
    </row>
    <row r="19" spans="1:6" x14ac:dyDescent="0.25">
      <c r="A19" t="s">
        <v>284</v>
      </c>
      <c r="B19" s="64" t="s">
        <v>38</v>
      </c>
      <c r="C19" s="605">
        <f>'HFSVs LA'!C18/'HFSVs LA'!E18*100</f>
        <v>38.349954669084312</v>
      </c>
      <c r="D19" s="605">
        <f t="shared" si="0"/>
        <v>61.650045330915688</v>
      </c>
      <c r="E19" s="859">
        <f>'HFSVs LA'!H18/'HFSVs LA'!C18</f>
        <v>1.6619385342789599</v>
      </c>
      <c r="F19" s="557">
        <f>'HFSVs LA'!H18/'HFSVs LA'!E18</f>
        <v>0.63735267452402533</v>
      </c>
    </row>
    <row r="20" spans="1:6" x14ac:dyDescent="0.25">
      <c r="A20" t="s">
        <v>311</v>
      </c>
      <c r="B20" s="64" t="s">
        <v>39</v>
      </c>
      <c r="C20" s="605">
        <f>'HFSVs LA'!C19/'HFSVs LA'!E19*100</f>
        <v>49.77238239757208</v>
      </c>
      <c r="D20" s="605">
        <f t="shared" si="0"/>
        <v>50.22761760242792</v>
      </c>
      <c r="E20" s="859">
        <f>'HFSVs LA'!H19/'HFSVs LA'!C19</f>
        <v>1.6112804878048781</v>
      </c>
      <c r="F20" s="557">
        <f>'HFSVs LA'!H19/'HFSVs LA'!E19</f>
        <v>0.80197268588770865</v>
      </c>
    </row>
    <row r="21" spans="1:6" x14ac:dyDescent="0.25">
      <c r="A21" t="s">
        <v>285</v>
      </c>
      <c r="B21" s="64" t="s">
        <v>40</v>
      </c>
      <c r="C21" s="605">
        <f>'HFSVs LA'!C20/'HFSVs LA'!E20*100</f>
        <v>41.241685144124169</v>
      </c>
      <c r="D21" s="605">
        <f t="shared" si="0"/>
        <v>58.758314855875831</v>
      </c>
      <c r="E21" s="859">
        <f>'HFSVs LA'!H20/'HFSVs LA'!C20</f>
        <v>1.6102150537634408</v>
      </c>
      <c r="F21" s="557">
        <f>'HFSVs LA'!H20/'HFSVs LA'!E20</f>
        <v>0.66407982261640797</v>
      </c>
    </row>
    <row r="22" spans="1:6" x14ac:dyDescent="0.25">
      <c r="A22" t="s">
        <v>286</v>
      </c>
      <c r="B22" s="64" t="s">
        <v>41</v>
      </c>
      <c r="C22" s="605">
        <f>'HFSVs LA'!C21/'HFSVs LA'!E21*100</f>
        <v>38.405036726128017</v>
      </c>
      <c r="D22" s="605">
        <f t="shared" si="0"/>
        <v>61.594963273871983</v>
      </c>
      <c r="E22" s="859">
        <f>'HFSVs LA'!H21/'HFSVs LA'!C21</f>
        <v>1.5546448087431695</v>
      </c>
      <c r="F22" s="557">
        <f>'HFSVs LA'!H21/'HFSVs LA'!E21</f>
        <v>0.59706190975865692</v>
      </c>
    </row>
    <row r="23" spans="1:6" x14ac:dyDescent="0.25">
      <c r="A23" t="s">
        <v>288</v>
      </c>
      <c r="B23" s="64" t="s">
        <v>42</v>
      </c>
      <c r="C23" s="605">
        <f>'HFSVs LA'!C22/'HFSVs LA'!E22*100</f>
        <v>30.326409495548962</v>
      </c>
      <c r="D23" s="605">
        <f t="shared" si="0"/>
        <v>69.673590504451042</v>
      </c>
      <c r="E23" s="859">
        <f>'HFSVs LA'!H22/'HFSVs LA'!C22</f>
        <v>1.4911937377690803</v>
      </c>
      <c r="F23" s="557">
        <f>'HFSVs LA'!H22/'HFSVs LA'!E22</f>
        <v>0.45222551928783383</v>
      </c>
    </row>
    <row r="24" spans="1:6" x14ac:dyDescent="0.25">
      <c r="A24" t="s">
        <v>430</v>
      </c>
      <c r="B24" s="64" t="s">
        <v>43</v>
      </c>
      <c r="C24" s="605">
        <f>'HFSVs LA'!C23/'HFSVs LA'!E23*100</f>
        <v>39.316770186335404</v>
      </c>
      <c r="D24" s="605">
        <f t="shared" si="0"/>
        <v>60.683229813664596</v>
      </c>
      <c r="E24" s="859">
        <f>'HFSVs LA'!H23/'HFSVs LA'!C23</f>
        <v>1.5726698262243286</v>
      </c>
      <c r="F24" s="557">
        <f>'HFSVs LA'!H23/'HFSVs LA'!E23</f>
        <v>0.61832298136645958</v>
      </c>
    </row>
    <row r="25" spans="1:6" x14ac:dyDescent="0.25">
      <c r="A25" t="s">
        <v>312</v>
      </c>
      <c r="B25" s="64" t="s">
        <v>121</v>
      </c>
      <c r="C25" s="605">
        <f>'HFSVs LA'!C24/'HFSVs LA'!E24*100</f>
        <v>25.44777621251761</v>
      </c>
      <c r="D25" s="605">
        <f t="shared" si="0"/>
        <v>74.55222378748239</v>
      </c>
      <c r="E25" s="859">
        <f>'HFSVs LA'!H24/'HFSVs LA'!C24</f>
        <v>1.3981810992487149</v>
      </c>
      <c r="F25" s="557">
        <f>'HFSVs LA'!H24/'HFSVs LA'!E24</f>
        <v>0.3558059971825317</v>
      </c>
    </row>
    <row r="26" spans="1:6" x14ac:dyDescent="0.25">
      <c r="A26" t="s">
        <v>289</v>
      </c>
      <c r="B26" s="64" t="s">
        <v>44</v>
      </c>
      <c r="C26" s="605">
        <f>'HFSVs LA'!C25/'HFSVs LA'!E25*100</f>
        <v>20.621074668527566</v>
      </c>
      <c r="D26" s="605">
        <f t="shared" si="0"/>
        <v>79.378925331472431</v>
      </c>
      <c r="E26" s="859">
        <f>'HFSVs LA'!H25/'HFSVs LA'!C25</f>
        <v>1.6666666666666667</v>
      </c>
      <c r="F26" s="557">
        <f>'HFSVs LA'!H25/'HFSVs LA'!E25</f>
        <v>0.34368457780879275</v>
      </c>
    </row>
    <row r="27" spans="1:6" x14ac:dyDescent="0.25">
      <c r="A27" t="s">
        <v>290</v>
      </c>
      <c r="B27" s="64" t="s">
        <v>45</v>
      </c>
      <c r="C27" s="605">
        <f>'HFSVs LA'!C26/'HFSVs LA'!E26*100</f>
        <v>44.975053456878115</v>
      </c>
      <c r="D27" s="605">
        <f t="shared" si="0"/>
        <v>55.024946543121885</v>
      </c>
      <c r="E27" s="859">
        <f>'HFSVs LA'!H26/'HFSVs LA'!C26</f>
        <v>1.491283676703645</v>
      </c>
      <c r="F27" s="557">
        <f>'HFSVs LA'!H26/'HFSVs LA'!E26</f>
        <v>0.67070563079116174</v>
      </c>
    </row>
    <row r="28" spans="1:6" x14ac:dyDescent="0.25">
      <c r="A28" t="s">
        <v>291</v>
      </c>
      <c r="B28" s="64" t="s">
        <v>46</v>
      </c>
      <c r="C28" s="605">
        <f>'HFSVs LA'!C27/'HFSVs LA'!E27*100</f>
        <v>33.565044687189669</v>
      </c>
      <c r="D28" s="605">
        <f t="shared" si="0"/>
        <v>66.434955312810331</v>
      </c>
      <c r="E28" s="859">
        <f>'HFSVs LA'!H27/'HFSVs LA'!C27</f>
        <v>1.5621301775147929</v>
      </c>
      <c r="F28" s="557">
        <f>'HFSVs LA'!H27/'HFSVs LA'!E27</f>
        <v>0.52432969215491554</v>
      </c>
    </row>
    <row r="29" spans="1:6" x14ac:dyDescent="0.25">
      <c r="A29" t="s">
        <v>292</v>
      </c>
      <c r="B29" s="64" t="s">
        <v>47</v>
      </c>
      <c r="C29" s="605">
        <f>'HFSVs LA'!C28/'HFSVs LA'!E28*100</f>
        <v>28.613744075829384</v>
      </c>
      <c r="D29" s="605">
        <f t="shared" si="0"/>
        <v>71.386255924170612</v>
      </c>
      <c r="E29" s="859">
        <f>'HFSVs LA'!H28/'HFSVs LA'!C28</f>
        <v>1.815734989648033</v>
      </c>
      <c r="F29" s="557">
        <f>'HFSVs LA'!H28/'HFSVs LA'!E28</f>
        <v>0.51954976303317535</v>
      </c>
    </row>
    <row r="30" spans="1:6" x14ac:dyDescent="0.25">
      <c r="A30" t="s">
        <v>287</v>
      </c>
      <c r="B30" s="64" t="s">
        <v>48</v>
      </c>
      <c r="C30" s="605">
        <f>'HFSVs LA'!C29/'HFSVs LA'!E29*100</f>
        <v>22.185430463576157</v>
      </c>
      <c r="D30" s="605">
        <f t="shared" si="0"/>
        <v>77.814569536423846</v>
      </c>
      <c r="E30" s="859">
        <f>'HFSVs LA'!H29/'HFSVs LA'!C29</f>
        <v>1.6567164179104477</v>
      </c>
      <c r="F30" s="557">
        <f>'HFSVs LA'!H29/'HFSVs LA'!E29</f>
        <v>0.36754966887417218</v>
      </c>
    </row>
    <row r="31" spans="1:6" x14ac:dyDescent="0.25">
      <c r="A31" t="s">
        <v>293</v>
      </c>
      <c r="B31" s="64" t="s">
        <v>49</v>
      </c>
      <c r="C31" s="605">
        <f>'HFSVs LA'!C30/'HFSVs LA'!E30*100</f>
        <v>42.492581602373889</v>
      </c>
      <c r="D31" s="605">
        <f t="shared" si="0"/>
        <v>57.507418397626111</v>
      </c>
      <c r="E31" s="859">
        <f>'HFSVs LA'!H30/'HFSVs LA'!C30</f>
        <v>1.6061452513966481</v>
      </c>
      <c r="F31" s="557">
        <f>'HFSVs LA'!H30/'HFSVs LA'!E30</f>
        <v>0.68249258160237392</v>
      </c>
    </row>
    <row r="32" spans="1:6" x14ac:dyDescent="0.25">
      <c r="A32" t="s">
        <v>310</v>
      </c>
      <c r="B32" s="64" t="s">
        <v>50</v>
      </c>
      <c r="C32" s="605">
        <f>'HFSVs LA'!C31/'HFSVs LA'!E31*100</f>
        <v>31.275041244402544</v>
      </c>
      <c r="D32" s="605">
        <f t="shared" si="0"/>
        <v>68.724958755597456</v>
      </c>
      <c r="E32" s="859">
        <f>'HFSVs LA'!H31/'HFSVs LA'!C31</f>
        <v>1.6217030896759608</v>
      </c>
      <c r="F32" s="557">
        <f>'HFSVs LA'!H31/'HFSVs LA'!E31</f>
        <v>0.50718831015790711</v>
      </c>
    </row>
    <row r="33" spans="1:8" x14ac:dyDescent="0.25">
      <c r="A33" t="s">
        <v>294</v>
      </c>
      <c r="B33" s="64" t="s">
        <v>51</v>
      </c>
      <c r="C33" s="605">
        <f>'HFSVs LA'!C32/'HFSVs LA'!E32*100</f>
        <v>33.983286908077993</v>
      </c>
      <c r="D33" s="605">
        <f t="shared" si="0"/>
        <v>66.016713091922014</v>
      </c>
      <c r="E33" s="859">
        <f>'HFSVs LA'!H32/'HFSVs LA'!C32</f>
        <v>1.7295081967213115</v>
      </c>
      <c r="F33" s="557">
        <f>'HFSVs LA'!H32/'HFSVs LA'!E32</f>
        <v>0.58774373259052926</v>
      </c>
    </row>
    <row r="34" spans="1:8" x14ac:dyDescent="0.25">
      <c r="A34" t="s">
        <v>295</v>
      </c>
      <c r="B34" s="64" t="s">
        <v>52</v>
      </c>
      <c r="C34" s="605">
        <f>'HFSVs LA'!C33/'HFSVs LA'!E33*100</f>
        <v>25.032175032175029</v>
      </c>
      <c r="D34" s="605">
        <f t="shared" si="0"/>
        <v>74.967824967824967</v>
      </c>
      <c r="E34" s="859">
        <f>'HFSVs LA'!H33/'HFSVs LA'!C33</f>
        <v>1.544987146529563</v>
      </c>
      <c r="F34" s="557">
        <f>'HFSVs LA'!H33/'HFSVs LA'!E33</f>
        <v>0.38674388674388677</v>
      </c>
    </row>
    <row r="35" spans="1:8" x14ac:dyDescent="0.25">
      <c r="A35" t="s">
        <v>305</v>
      </c>
      <c r="B35" s="64" t="s">
        <v>53</v>
      </c>
      <c r="C35" s="605">
        <f>'HFSVs LA'!C34/'HFSVs LA'!E34*100</f>
        <v>43.071786310517531</v>
      </c>
      <c r="D35" s="605">
        <f t="shared" si="0"/>
        <v>56.928213689482469</v>
      </c>
      <c r="E35" s="859">
        <f>'HFSVs LA'!H34/'HFSVs LA'!C34</f>
        <v>1.5271317829457365</v>
      </c>
      <c r="F35" s="557">
        <f>'HFSVs LA'!H34/'HFSVs LA'!E34</f>
        <v>0.65776293823038401</v>
      </c>
    </row>
    <row r="36" spans="1:8" x14ac:dyDescent="0.25">
      <c r="A36" t="s">
        <v>296</v>
      </c>
      <c r="B36" s="64" t="s">
        <v>54</v>
      </c>
      <c r="C36" s="605">
        <f>'HFSVs LA'!C35/'HFSVs LA'!E35*100</f>
        <v>38.519503546099294</v>
      </c>
      <c r="D36" s="605">
        <f t="shared" si="0"/>
        <v>61.480496453900706</v>
      </c>
      <c r="E36" s="859">
        <f>'HFSVs LA'!H35/'HFSVs LA'!C35</f>
        <v>1.6455696202531647</v>
      </c>
      <c r="F36" s="557">
        <f>'HFSVs LA'!H35/'HFSVs LA'!E35</f>
        <v>0.63386524822695034</v>
      </c>
    </row>
    <row r="37" spans="1:8" x14ac:dyDescent="0.25">
      <c r="A37" t="s">
        <v>297</v>
      </c>
      <c r="B37" s="64" t="s">
        <v>55</v>
      </c>
      <c r="C37" s="605">
        <f>'HFSVs LA'!C36/'HFSVs LA'!E36*100</f>
        <v>27.708703374777976</v>
      </c>
      <c r="D37" s="605">
        <f t="shared" si="0"/>
        <v>72.291296625222031</v>
      </c>
      <c r="E37" s="859">
        <f>'HFSVs LA'!H36/'HFSVs LA'!C36</f>
        <v>1.6217948717948718</v>
      </c>
      <c r="F37" s="557">
        <f>'HFSVs LA'!H36/'HFSVs LA'!E36</f>
        <v>0.44937833037300179</v>
      </c>
    </row>
    <row r="38" spans="1:8" x14ac:dyDescent="0.25">
      <c r="A38" t="s">
        <v>298</v>
      </c>
      <c r="B38" s="64" t="s">
        <v>56</v>
      </c>
      <c r="C38" s="605">
        <f>'HFSVs LA'!C37/'HFSVs LA'!E37*100</f>
        <v>41.25874125874126</v>
      </c>
      <c r="D38" s="605">
        <f t="shared" si="0"/>
        <v>58.74125874125874</v>
      </c>
      <c r="E38" s="859">
        <f>'HFSVs LA'!H37/'HFSVs LA'!C37</f>
        <v>1.7191283292978208</v>
      </c>
      <c r="F38" s="557">
        <f>'HFSVs LA'!H37/'HFSVs LA'!E37</f>
        <v>0.70929070929070925</v>
      </c>
    </row>
    <row r="39" spans="1:8" x14ac:dyDescent="0.25">
      <c r="A39" t="s">
        <v>299</v>
      </c>
      <c r="B39" s="64" t="s">
        <v>57</v>
      </c>
      <c r="C39" s="605">
        <f>'HFSVs LA'!C38/'HFSVs LA'!E38*100</f>
        <v>36.775411162038282</v>
      </c>
      <c r="D39" s="605">
        <f t="shared" si="0"/>
        <v>63.224588837961718</v>
      </c>
      <c r="E39" s="859">
        <f>'HFSVs LA'!H38/'HFSVs LA'!C38</f>
        <v>1.597507331378299</v>
      </c>
      <c r="F39" s="557">
        <f>'HFSVs LA'!H38/'HFSVs LA'!E38</f>
        <v>0.5874898894580749</v>
      </c>
    </row>
    <row r="40" spans="1:8" x14ac:dyDescent="0.25">
      <c r="A40" t="s">
        <v>300</v>
      </c>
      <c r="B40" s="64" t="s">
        <v>58</v>
      </c>
      <c r="C40" s="605">
        <f>'HFSVs LA'!C39/'HFSVs LA'!E39*100</f>
        <v>34.444444444444443</v>
      </c>
      <c r="D40" s="605">
        <f t="shared" si="0"/>
        <v>65.555555555555557</v>
      </c>
      <c r="E40" s="859">
        <f>'HFSVs LA'!H39/'HFSVs LA'!C39</f>
        <v>1.6516129032258065</v>
      </c>
      <c r="F40" s="557">
        <f>'HFSVs LA'!H39/'HFSVs LA'!E39</f>
        <v>0.56888888888888889</v>
      </c>
    </row>
    <row r="41" spans="1:8" x14ac:dyDescent="0.25">
      <c r="A41" t="s">
        <v>306</v>
      </c>
      <c r="B41" s="64" t="s">
        <v>59</v>
      </c>
      <c r="C41" s="605">
        <f>'HFSVs LA'!C40/'HFSVs LA'!E40*100</f>
        <v>33.452466047176557</v>
      </c>
      <c r="D41" s="605">
        <f t="shared" si="0"/>
        <v>66.547533952823443</v>
      </c>
      <c r="E41" s="859">
        <f>'HFSVs LA'!H40/'HFSVs LA'!C40</f>
        <v>1.5427350427350428</v>
      </c>
      <c r="F41" s="557">
        <f>'HFSVs LA'!H40/'HFSVs LA'!E40</f>
        <v>0.51608291636883485</v>
      </c>
    </row>
    <row r="42" spans="1:8" x14ac:dyDescent="0.25">
      <c r="A42" t="s">
        <v>307</v>
      </c>
      <c r="B42" s="64" t="s">
        <v>60</v>
      </c>
      <c r="C42" s="605">
        <f>'HFSVs LA'!C41/'HFSVs LA'!E41*100</f>
        <v>35.548352242031335</v>
      </c>
      <c r="D42" s="605">
        <f t="shared" si="0"/>
        <v>64.451647757968658</v>
      </c>
      <c r="E42" s="859">
        <f>'HFSVs LA'!H41/'HFSVs LA'!C41</f>
        <v>1.4559270516717324</v>
      </c>
      <c r="F42" s="557">
        <f>'HFSVs LA'!H41/'HFSVs LA'!E41</f>
        <v>0.51755807671528908</v>
      </c>
    </row>
    <row r="43" spans="1:8" ht="20.25" customHeight="1" thickBot="1" x14ac:dyDescent="0.3">
      <c r="A43" s="41"/>
      <c r="B43" s="41" t="s">
        <v>810</v>
      </c>
      <c r="C43" s="389">
        <f>'HFSVs LA'!C42/'HFSVs LA'!E42*100</f>
        <v>32.194086122466672</v>
      </c>
      <c r="D43" s="389">
        <f t="shared" ref="D43" si="1">100-C43</f>
        <v>67.805913877533328</v>
      </c>
      <c r="E43" s="862">
        <f>'HFSVs LA'!H42/'HFSVs LA'!C42</f>
        <v>1.552698882756764</v>
      </c>
      <c r="F43" s="307">
        <f>'HFSVs LA'!H42/'HFSVs LA'!E42</f>
        <v>0.49987721553729036</v>
      </c>
    </row>
    <row r="44" spans="1:8" x14ac:dyDescent="0.25">
      <c r="B44" s="13"/>
      <c r="C44" s="387"/>
      <c r="D44" s="387"/>
      <c r="E44" s="308"/>
      <c r="F44" s="16"/>
    </row>
    <row r="45" spans="1:8" x14ac:dyDescent="0.25">
      <c r="A45" s="437" t="s">
        <v>8</v>
      </c>
      <c r="B45" s="512"/>
    </row>
    <row r="46" spans="1:8" x14ac:dyDescent="0.25">
      <c r="A46" t="s">
        <v>822</v>
      </c>
      <c r="B46" s="288"/>
      <c r="C46" s="288"/>
      <c r="D46" s="831"/>
      <c r="E46" s="832"/>
      <c r="F46" s="832"/>
      <c r="G46" s="31"/>
      <c r="H46" s="545"/>
    </row>
    <row r="47" spans="1:8" x14ac:dyDescent="0.25">
      <c r="B47" s="483"/>
    </row>
  </sheetData>
  <sheetProtection algorithmName="SHA-512" hashValue="G93A85hLdCWx6lImUQtEM2UTmBxaSrgGWBkyTkLNkG0gn+p416sjN94x64F+sogJFqil+Npirf4zDMxiXwEOTw==" saltValue="ToyN3n3SWHCiBeaqwWHAIA==" spinCount="100000" sheet="1" scenarios="1" formatCells="0" formatColumns="0" formatRows="0" sort="0" autoFilter="0" pivotTables="0"/>
  <mergeCells count="1">
    <mergeCell ref="E9:F9"/>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59999389629810485"/>
    <pageSetUpPr fitToPage="1"/>
  </sheetPr>
  <dimension ref="A1:I36"/>
  <sheetViews>
    <sheetView showGridLines="0" zoomScaleNormal="100" zoomScaleSheetLayoutView="100" workbookViewId="0">
      <pane ySplit="2" topLeftCell="A3" activePane="bottomLeft" state="frozen"/>
      <selection pane="bottomLeft" sqref="A1:C1"/>
    </sheetView>
  </sheetViews>
  <sheetFormatPr defaultRowHeight="15" x14ac:dyDescent="0.25"/>
  <cols>
    <col min="1" max="1" width="17.7109375" customWidth="1"/>
    <col min="2" max="2" width="21.5703125" bestFit="1" customWidth="1"/>
    <col min="3" max="3" width="19.140625" bestFit="1" customWidth="1"/>
    <col min="4" max="4" width="24" bestFit="1" customWidth="1"/>
    <col min="5" max="5" width="17.85546875" customWidth="1"/>
    <col min="6" max="6" width="15.7109375" customWidth="1"/>
    <col min="7" max="7" width="11.7109375" customWidth="1"/>
    <col min="8" max="8" width="7.5703125" bestFit="1" customWidth="1"/>
    <col min="9" max="9" width="21.5703125" bestFit="1" customWidth="1"/>
    <col min="10" max="10" width="19.140625" bestFit="1" customWidth="1"/>
    <col min="11" max="11" width="24" bestFit="1" customWidth="1"/>
    <col min="12" max="12" width="9.5703125" bestFit="1" customWidth="1"/>
    <col min="13" max="13" width="9.85546875" bestFit="1" customWidth="1"/>
    <col min="14" max="14" width="5.5703125" bestFit="1" customWidth="1"/>
  </cols>
  <sheetData>
    <row r="1" spans="1:6" ht="15.75" x14ac:dyDescent="0.25">
      <c r="A1" s="1077" t="s">
        <v>590</v>
      </c>
      <c r="B1" s="1077"/>
      <c r="C1" s="1077"/>
    </row>
    <row r="2" spans="1:6" ht="15.75" x14ac:dyDescent="0.25">
      <c r="A2" s="772" t="s">
        <v>578</v>
      </c>
      <c r="B2" s="774"/>
      <c r="C2" s="774"/>
    </row>
    <row r="3" spans="1:6" ht="15.75" x14ac:dyDescent="0.25">
      <c r="D3" s="242"/>
      <c r="E3" s="242"/>
      <c r="F3" s="242"/>
    </row>
    <row r="4" spans="1:6" ht="15.75" customHeight="1" x14ac:dyDescent="0.25">
      <c r="A4" s="1078" t="s">
        <v>587</v>
      </c>
      <c r="B4" s="1078"/>
      <c r="C4" s="1078"/>
      <c r="D4" s="1078"/>
      <c r="E4" s="1078"/>
      <c r="F4" s="1078"/>
    </row>
    <row r="5" spans="1:6" ht="15.75" customHeight="1" x14ac:dyDescent="0.25">
      <c r="A5" t="s">
        <v>363</v>
      </c>
      <c r="B5" t="s">
        <v>713</v>
      </c>
      <c r="C5" s="777"/>
      <c r="D5" s="777"/>
      <c r="E5" s="777"/>
      <c r="F5" s="777"/>
    </row>
    <row r="6" spans="1:6" ht="15.75" customHeight="1" x14ac:dyDescent="0.25">
      <c r="A6" t="s">
        <v>364</v>
      </c>
      <c r="B6" t="s">
        <v>366</v>
      </c>
      <c r="C6" s="777"/>
      <c r="D6" s="777"/>
      <c r="E6" s="777"/>
      <c r="F6" s="777"/>
    </row>
    <row r="7" spans="1:6" ht="15.75" customHeight="1" x14ac:dyDescent="0.25">
      <c r="A7" t="s">
        <v>365</v>
      </c>
      <c r="B7" t="s">
        <v>367</v>
      </c>
      <c r="C7" s="777"/>
      <c r="D7" s="777"/>
      <c r="E7" s="777"/>
      <c r="F7" s="777"/>
    </row>
    <row r="8" spans="1:6" ht="15.75" customHeight="1" x14ac:dyDescent="0.25">
      <c r="A8" s="777"/>
      <c r="B8" s="777"/>
      <c r="C8" s="777"/>
      <c r="D8" s="777"/>
      <c r="E8" s="777"/>
      <c r="F8" s="777"/>
    </row>
    <row r="9" spans="1:6" x14ac:dyDescent="0.25">
      <c r="A9" s="78"/>
      <c r="B9" s="143"/>
      <c r="C9" s="291"/>
      <c r="D9" s="419"/>
      <c r="E9" s="142" t="s">
        <v>6</v>
      </c>
      <c r="F9" s="142"/>
    </row>
    <row r="10" spans="1:6" x14ac:dyDescent="0.25">
      <c r="A10" s="235" t="s">
        <v>1</v>
      </c>
      <c r="B10" s="142" t="s">
        <v>119</v>
      </c>
      <c r="C10" s="142" t="s">
        <v>588</v>
      </c>
      <c r="D10" s="142" t="s">
        <v>28</v>
      </c>
      <c r="E10" s="243" t="s">
        <v>29</v>
      </c>
      <c r="F10" s="569" t="s">
        <v>26</v>
      </c>
    </row>
    <row r="11" spans="1:6" x14ac:dyDescent="0.25">
      <c r="A11" s="223" t="str">
        <f>'T13'!$A5</f>
        <v>2011-12</v>
      </c>
      <c r="B11" s="244">
        <f>'T13'!B5</f>
        <v>74</v>
      </c>
      <c r="C11" s="244">
        <f>'T13'!D5</f>
        <v>4</v>
      </c>
      <c r="D11" s="244">
        <f>'T13'!C5</f>
        <v>241</v>
      </c>
      <c r="E11" s="244">
        <f>'T13'!E5</f>
        <v>53</v>
      </c>
      <c r="F11" s="570">
        <f t="shared" ref="F11:F17" si="0">SUM(B11:E11)</f>
        <v>372</v>
      </c>
    </row>
    <row r="12" spans="1:6" x14ac:dyDescent="0.25">
      <c r="A12" s="223" t="str">
        <f>'T13'!$A6</f>
        <v>2012-13</v>
      </c>
      <c r="B12" s="244">
        <f>'T13'!B6</f>
        <v>74</v>
      </c>
      <c r="C12" s="244">
        <f>'T13'!D6</f>
        <v>4</v>
      </c>
      <c r="D12" s="244">
        <f>'T13'!C6</f>
        <v>236</v>
      </c>
      <c r="E12" s="244">
        <f>'T13'!E6</f>
        <v>43</v>
      </c>
      <c r="F12" s="570">
        <f t="shared" si="0"/>
        <v>357</v>
      </c>
    </row>
    <row r="13" spans="1:6" x14ac:dyDescent="0.25">
      <c r="A13" s="223" t="str">
        <f>'T13'!$A7</f>
        <v>2013-14</v>
      </c>
      <c r="B13" s="244">
        <f>'T13'!B7</f>
        <v>74</v>
      </c>
      <c r="C13" s="244">
        <f>'T13'!D7</f>
        <v>3</v>
      </c>
      <c r="D13" s="244">
        <f>'T13'!C7</f>
        <v>237</v>
      </c>
      <c r="E13" s="244">
        <f>'T13'!E7</f>
        <v>43</v>
      </c>
      <c r="F13" s="570">
        <f t="shared" si="0"/>
        <v>357</v>
      </c>
    </row>
    <row r="14" spans="1:6" x14ac:dyDescent="0.25">
      <c r="A14" s="223" t="str">
        <f>'T13'!$A8</f>
        <v>2014-15</v>
      </c>
      <c r="B14" s="244">
        <f>'T13'!B8</f>
        <v>74</v>
      </c>
      <c r="C14" s="244">
        <f>'T13'!D8</f>
        <v>0</v>
      </c>
      <c r="D14" s="244">
        <f>'T13'!C8</f>
        <v>240</v>
      </c>
      <c r="E14" s="244">
        <f>'T13'!E8</f>
        <v>43</v>
      </c>
      <c r="F14" s="992">
        <f t="shared" si="0"/>
        <v>357</v>
      </c>
    </row>
    <row r="15" spans="1:6" x14ac:dyDescent="0.25">
      <c r="A15" s="223" t="str">
        <f>'T13'!$A9</f>
        <v>2015-16</v>
      </c>
      <c r="B15" s="244">
        <f>'T13'!B9</f>
        <v>74</v>
      </c>
      <c r="C15" s="244">
        <f>'T13'!D9</f>
        <v>0</v>
      </c>
      <c r="D15" s="244">
        <f>'T13'!C9</f>
        <v>240</v>
      </c>
      <c r="E15" s="244">
        <f>'T13'!E9</f>
        <v>43</v>
      </c>
      <c r="F15" s="992">
        <f t="shared" si="0"/>
        <v>357</v>
      </c>
    </row>
    <row r="16" spans="1:6" x14ac:dyDescent="0.25">
      <c r="A16" s="223" t="str">
        <f>'T13'!$A10</f>
        <v>2016-17</v>
      </c>
      <c r="B16" s="244">
        <f>'T13'!B10</f>
        <v>74</v>
      </c>
      <c r="C16" s="244">
        <f>'T13'!D10</f>
        <v>0</v>
      </c>
      <c r="D16" s="244">
        <f>'T13'!C10</f>
        <v>240</v>
      </c>
      <c r="E16" s="244">
        <f>'T13'!E10</f>
        <v>43</v>
      </c>
      <c r="F16" s="992">
        <f t="shared" si="0"/>
        <v>357</v>
      </c>
    </row>
    <row r="17" spans="1:6" x14ac:dyDescent="0.25">
      <c r="A17" s="223" t="str">
        <f>'T13'!$A11</f>
        <v>2017-18</v>
      </c>
      <c r="B17" s="244">
        <f>'T13'!B11</f>
        <v>74</v>
      </c>
      <c r="C17" s="244">
        <f>'T13'!D11</f>
        <v>0</v>
      </c>
      <c r="D17" s="244">
        <f>'T13'!C11</f>
        <v>240</v>
      </c>
      <c r="E17" s="244">
        <f>'T13'!E11</f>
        <v>43</v>
      </c>
      <c r="F17" s="992">
        <f t="shared" si="0"/>
        <v>357</v>
      </c>
    </row>
    <row r="18" spans="1:6" x14ac:dyDescent="0.25">
      <c r="A18" s="223" t="str">
        <f>'T13'!$A12</f>
        <v>2018-19</v>
      </c>
      <c r="B18" s="244">
        <f>'T13'!B12</f>
        <v>74</v>
      </c>
      <c r="C18" s="244">
        <f>'T13'!D12</f>
        <v>0</v>
      </c>
      <c r="D18" s="244">
        <f>'T13'!C12</f>
        <v>240</v>
      </c>
      <c r="E18" s="244">
        <f>'T13'!E12</f>
        <v>43</v>
      </c>
      <c r="F18" s="992">
        <f t="shared" ref="F18" si="1">SUM(B18:E18)</f>
        <v>357</v>
      </c>
    </row>
    <row r="19" spans="1:6" ht="15.75" thickBot="1" x14ac:dyDescent="0.3">
      <c r="A19" s="237" t="str">
        <f>'T13'!$A13</f>
        <v>2019-20</v>
      </c>
      <c r="B19" s="991">
        <f>'T13'!B13</f>
        <v>74</v>
      </c>
      <c r="C19" s="246">
        <f>'T13'!D13</f>
        <v>0</v>
      </c>
      <c r="D19" s="246">
        <f>'T13'!C13</f>
        <v>240</v>
      </c>
      <c r="E19" s="246">
        <f>'T13'!E13</f>
        <v>43</v>
      </c>
      <c r="F19" s="993">
        <f>SUM(B19:E19)</f>
        <v>357</v>
      </c>
    </row>
    <row r="20" spans="1:6" x14ac:dyDescent="0.25">
      <c r="A20" s="78"/>
      <c r="B20" s="78"/>
      <c r="C20" s="78"/>
      <c r="D20" s="78"/>
      <c r="E20" s="78"/>
      <c r="F20" s="28"/>
    </row>
    <row r="21" spans="1:6" x14ac:dyDescent="0.25">
      <c r="A21" s="78"/>
      <c r="B21" s="143"/>
      <c r="C21" s="143"/>
      <c r="D21" s="419"/>
      <c r="E21" s="161" t="s">
        <v>7</v>
      </c>
      <c r="F21" s="994"/>
    </row>
    <row r="22" spans="1:6" x14ac:dyDescent="0.25">
      <c r="A22" s="235" t="s">
        <v>1</v>
      </c>
      <c r="B22" s="142" t="s">
        <v>119</v>
      </c>
      <c r="C22" s="142" t="s">
        <v>588</v>
      </c>
      <c r="D22" s="142" t="s">
        <v>28</v>
      </c>
      <c r="E22" s="243" t="s">
        <v>29</v>
      </c>
      <c r="F22" s="569" t="s">
        <v>26</v>
      </c>
    </row>
    <row r="23" spans="1:6" x14ac:dyDescent="0.25">
      <c r="A23" s="223" t="str">
        <f t="shared" ref="A23:A29" si="2">A11</f>
        <v>2011-12</v>
      </c>
      <c r="B23" s="226">
        <f t="shared" ref="B23:E29" si="3">B11/$F11%</f>
        <v>19.892473118279568</v>
      </c>
      <c r="C23" s="226">
        <f t="shared" si="3"/>
        <v>1.075268817204301</v>
      </c>
      <c r="D23" s="226">
        <f t="shared" si="3"/>
        <v>64.784946236559136</v>
      </c>
      <c r="E23" s="226">
        <f t="shared" si="3"/>
        <v>14.247311827956988</v>
      </c>
      <c r="F23" s="584">
        <f t="shared" ref="F23:F29" si="4">SUM(B23:E23)</f>
        <v>100</v>
      </c>
    </row>
    <row r="24" spans="1:6" x14ac:dyDescent="0.25">
      <c r="A24" s="223" t="str">
        <f t="shared" si="2"/>
        <v>2012-13</v>
      </c>
      <c r="B24" s="226">
        <f t="shared" si="3"/>
        <v>20.728291316526612</v>
      </c>
      <c r="C24" s="226">
        <f t="shared" si="3"/>
        <v>1.1204481792717087</v>
      </c>
      <c r="D24" s="226">
        <f t="shared" si="3"/>
        <v>66.106442577030819</v>
      </c>
      <c r="E24" s="226">
        <f t="shared" si="3"/>
        <v>12.044817927170868</v>
      </c>
      <c r="F24" s="584">
        <f t="shared" si="4"/>
        <v>100</v>
      </c>
    </row>
    <row r="25" spans="1:6" x14ac:dyDescent="0.25">
      <c r="A25" s="223" t="str">
        <f t="shared" si="2"/>
        <v>2013-14</v>
      </c>
      <c r="B25" s="226">
        <f t="shared" si="3"/>
        <v>20.728291316526612</v>
      </c>
      <c r="C25" s="226">
        <f t="shared" si="3"/>
        <v>0.84033613445378152</v>
      </c>
      <c r="D25" s="226">
        <f t="shared" si="3"/>
        <v>66.386554621848745</v>
      </c>
      <c r="E25" s="226">
        <f t="shared" si="3"/>
        <v>12.044817927170868</v>
      </c>
      <c r="F25" s="584">
        <f t="shared" si="4"/>
        <v>100</v>
      </c>
    </row>
    <row r="26" spans="1:6" x14ac:dyDescent="0.25">
      <c r="A26" s="223" t="str">
        <f t="shared" si="2"/>
        <v>2014-15</v>
      </c>
      <c r="B26" s="226">
        <f t="shared" si="3"/>
        <v>20.728291316526612</v>
      </c>
      <c r="C26" s="226">
        <f t="shared" si="3"/>
        <v>0</v>
      </c>
      <c r="D26" s="226">
        <f t="shared" si="3"/>
        <v>67.226890756302524</v>
      </c>
      <c r="E26" s="226">
        <f t="shared" si="3"/>
        <v>12.044817927170868</v>
      </c>
      <c r="F26" s="584">
        <f t="shared" si="4"/>
        <v>100</v>
      </c>
    </row>
    <row r="27" spans="1:6" x14ac:dyDescent="0.25">
      <c r="A27" s="223" t="str">
        <f t="shared" si="2"/>
        <v>2015-16</v>
      </c>
      <c r="B27" s="226">
        <f t="shared" si="3"/>
        <v>20.728291316526612</v>
      </c>
      <c r="C27" s="226">
        <f t="shared" si="3"/>
        <v>0</v>
      </c>
      <c r="D27" s="226">
        <f t="shared" si="3"/>
        <v>67.226890756302524</v>
      </c>
      <c r="E27" s="226">
        <f t="shared" si="3"/>
        <v>12.044817927170868</v>
      </c>
      <c r="F27" s="584">
        <f t="shared" si="4"/>
        <v>100</v>
      </c>
    </row>
    <row r="28" spans="1:6" x14ac:dyDescent="0.25">
      <c r="A28" s="223" t="str">
        <f t="shared" si="2"/>
        <v>2016-17</v>
      </c>
      <c r="B28" s="226">
        <f t="shared" si="3"/>
        <v>20.728291316526612</v>
      </c>
      <c r="C28" s="226">
        <f t="shared" si="3"/>
        <v>0</v>
      </c>
      <c r="D28" s="226">
        <f t="shared" si="3"/>
        <v>67.226890756302524</v>
      </c>
      <c r="E28" s="226">
        <f t="shared" si="3"/>
        <v>12.044817927170868</v>
      </c>
      <c r="F28" s="584">
        <f t="shared" si="4"/>
        <v>100</v>
      </c>
    </row>
    <row r="29" spans="1:6" x14ac:dyDescent="0.25">
      <c r="A29" s="223" t="str">
        <f t="shared" si="2"/>
        <v>2017-18</v>
      </c>
      <c r="B29" s="226">
        <f t="shared" si="3"/>
        <v>20.728291316526612</v>
      </c>
      <c r="C29" s="226">
        <f t="shared" si="3"/>
        <v>0</v>
      </c>
      <c r="D29" s="226">
        <f t="shared" si="3"/>
        <v>67.226890756302524</v>
      </c>
      <c r="E29" s="226">
        <f t="shared" si="3"/>
        <v>12.044817927170868</v>
      </c>
      <c r="F29" s="584">
        <f t="shared" si="4"/>
        <v>100</v>
      </c>
    </row>
    <row r="30" spans="1:6" x14ac:dyDescent="0.25">
      <c r="A30" s="223" t="str">
        <f t="shared" ref="A30:A31" si="5">A18</f>
        <v>2018-19</v>
      </c>
      <c r="B30" s="226">
        <f t="shared" ref="B30:E30" si="6">B18/$F18%</f>
        <v>20.728291316526612</v>
      </c>
      <c r="C30" s="226">
        <f t="shared" si="6"/>
        <v>0</v>
      </c>
      <c r="D30" s="226">
        <f t="shared" si="6"/>
        <v>67.226890756302524</v>
      </c>
      <c r="E30" s="226">
        <f t="shared" si="6"/>
        <v>12.044817927170868</v>
      </c>
      <c r="F30" s="584">
        <f t="shared" ref="F30:F31" si="7">SUM(B30:E30)</f>
        <v>100</v>
      </c>
    </row>
    <row r="31" spans="1:6" ht="15.75" thickBot="1" x14ac:dyDescent="0.3">
      <c r="A31" s="237" t="str">
        <f t="shared" si="5"/>
        <v>2019-20</v>
      </c>
      <c r="B31" s="247">
        <f t="shared" ref="B31:E31" si="8">B19/$F19%</f>
        <v>20.728291316526612</v>
      </c>
      <c r="C31" s="247">
        <f>C19/$F19%</f>
        <v>0</v>
      </c>
      <c r="D31" s="247">
        <f t="shared" si="8"/>
        <v>67.226890756302524</v>
      </c>
      <c r="E31" s="247">
        <f t="shared" si="8"/>
        <v>12.044817927170868</v>
      </c>
      <c r="F31" s="585">
        <f t="shared" si="7"/>
        <v>100</v>
      </c>
    </row>
    <row r="32" spans="1:6" x14ac:dyDescent="0.25">
      <c r="A32" s="223"/>
      <c r="B32" s="378"/>
      <c r="C32" s="378"/>
      <c r="D32" s="378"/>
      <c r="E32" s="378"/>
      <c r="F32" s="379"/>
    </row>
    <row r="33" spans="1:9" x14ac:dyDescent="0.25">
      <c r="A33" s="499" t="s">
        <v>8</v>
      </c>
      <c r="B33" s="498"/>
      <c r="C33" s="498"/>
      <c r="D33" s="498"/>
      <c r="E33" s="498"/>
      <c r="F33" s="498"/>
    </row>
    <row r="34" spans="1:9" ht="30" customHeight="1" x14ac:dyDescent="0.25">
      <c r="A34" s="1079" t="s">
        <v>797</v>
      </c>
      <c r="B34" s="1079"/>
      <c r="C34" s="1079"/>
      <c r="D34" s="1079"/>
      <c r="E34" s="1079"/>
      <c r="F34" s="1079"/>
    </row>
    <row r="35" spans="1:9" ht="30" customHeight="1" x14ac:dyDescent="0.25">
      <c r="A35" s="1080" t="s">
        <v>936</v>
      </c>
      <c r="B35" s="1080"/>
      <c r="C35" s="1080"/>
      <c r="D35" s="1080"/>
      <c r="E35" s="1080"/>
      <c r="F35" s="1080"/>
      <c r="G35" s="1080"/>
      <c r="H35" s="1080"/>
    </row>
    <row r="36" spans="1:9" x14ac:dyDescent="0.25">
      <c r="A36" t="s">
        <v>935</v>
      </c>
      <c r="B36" s="972"/>
      <c r="C36" s="972"/>
      <c r="D36" s="972"/>
      <c r="E36" s="972"/>
      <c r="F36" s="972"/>
      <c r="G36" s="972"/>
      <c r="H36" s="972"/>
      <c r="I36" s="972"/>
    </row>
  </sheetData>
  <sheetProtection algorithmName="SHA-512" hashValue="0gTNi8Snv+tSYs9fKLc/ZUPqPfR9t/KbiJNJCiP7PMbbGLmx1MAPw9bsOZzzkOyjRKMflF5T9J9Sq2h9uaokBg==" saltValue="D+1aNcVRwUaNJf/hUj325w==" spinCount="100000" sheet="1" scenarios="1" formatCells="0" formatColumns="0" formatRows="0" sort="0" autoFilter="0" pivotTables="0"/>
  <mergeCells count="4">
    <mergeCell ref="A35:H35"/>
    <mergeCell ref="A4:F4"/>
    <mergeCell ref="A34:F34"/>
    <mergeCell ref="A1:C1"/>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76"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M36"/>
  <sheetViews>
    <sheetView workbookViewId="0">
      <selection activeCell="D6" sqref="D6"/>
    </sheetView>
  </sheetViews>
  <sheetFormatPr defaultRowHeight="15" x14ac:dyDescent="0.25"/>
  <cols>
    <col min="1" max="1" width="21.85546875" bestFit="1" customWidth="1"/>
    <col min="2" max="2" width="25" bestFit="1" customWidth="1"/>
    <col min="3" max="3" width="22.140625" bestFit="1" customWidth="1"/>
    <col min="4" max="4" width="17" bestFit="1" customWidth="1"/>
    <col min="5" max="5" width="18.42578125" bestFit="1" customWidth="1"/>
    <col min="6" max="6" width="22.7109375" bestFit="1" customWidth="1"/>
    <col min="7" max="7" width="26.85546875" bestFit="1" customWidth="1"/>
    <col min="8" max="8" width="16.42578125" bestFit="1" customWidth="1"/>
    <col min="9" max="9" width="26.85546875" bestFit="1" customWidth="1"/>
    <col min="10" max="10" width="28.140625" bestFit="1" customWidth="1"/>
    <col min="11" max="11" width="18.28515625" bestFit="1" customWidth="1"/>
    <col min="12" max="12" width="28.5703125" bestFit="1" customWidth="1"/>
    <col min="13" max="13" width="30" bestFit="1" customWidth="1"/>
  </cols>
  <sheetData>
    <row r="1" spans="1:13" x14ac:dyDescent="0.25">
      <c r="A1" s="565" t="s">
        <v>329</v>
      </c>
      <c r="B1" t="s">
        <v>851</v>
      </c>
    </row>
    <row r="3" spans="1:13" x14ac:dyDescent="0.25">
      <c r="A3" s="565" t="s">
        <v>246</v>
      </c>
      <c r="B3" t="s">
        <v>467</v>
      </c>
      <c r="C3" t="s">
        <v>468</v>
      </c>
      <c r="D3" t="s">
        <v>469</v>
      </c>
      <c r="E3" t="s">
        <v>470</v>
      </c>
      <c r="F3" t="s">
        <v>471</v>
      </c>
      <c r="G3" t="s">
        <v>472</v>
      </c>
      <c r="H3" t="s">
        <v>473</v>
      </c>
      <c r="I3" t="s">
        <v>474</v>
      </c>
      <c r="J3" t="s">
        <v>475</v>
      </c>
      <c r="K3" t="s">
        <v>476</v>
      </c>
      <c r="L3" t="s">
        <v>477</v>
      </c>
      <c r="M3" t="s">
        <v>478</v>
      </c>
    </row>
    <row r="4" spans="1:13" x14ac:dyDescent="0.25">
      <c r="A4" s="1068" t="s">
        <v>31</v>
      </c>
      <c r="B4" s="567">
        <v>392</v>
      </c>
      <c r="C4" s="567">
        <v>2272</v>
      </c>
      <c r="D4" s="567">
        <v>2664</v>
      </c>
      <c r="E4" s="567">
        <v>590</v>
      </c>
      <c r="F4" s="567">
        <v>391</v>
      </c>
      <c r="G4" s="567">
        <v>199</v>
      </c>
      <c r="H4" s="567">
        <v>119523</v>
      </c>
      <c r="I4" s="567">
        <v>2.2290000000000001</v>
      </c>
      <c r="J4" s="567">
        <v>0.49399999999999999</v>
      </c>
      <c r="K4" s="567">
        <v>108381</v>
      </c>
      <c r="L4" s="567">
        <v>2.4580000000000002</v>
      </c>
      <c r="M4" s="567">
        <v>0.54400000000000004</v>
      </c>
    </row>
    <row r="5" spans="1:13" x14ac:dyDescent="0.25">
      <c r="A5" s="1068" t="s">
        <v>32</v>
      </c>
      <c r="B5" s="567">
        <v>699</v>
      </c>
      <c r="C5" s="567">
        <v>1579</v>
      </c>
      <c r="D5" s="567">
        <v>2278</v>
      </c>
      <c r="E5" s="567">
        <v>1144</v>
      </c>
      <c r="F5" s="567">
        <v>731</v>
      </c>
      <c r="G5" s="567">
        <v>413</v>
      </c>
      <c r="H5" s="567">
        <v>119196</v>
      </c>
      <c r="I5" s="567">
        <v>1.911</v>
      </c>
      <c r="J5" s="567">
        <v>0.96</v>
      </c>
      <c r="K5" s="567">
        <v>112114</v>
      </c>
      <c r="L5" s="567">
        <v>2.032</v>
      </c>
      <c r="M5" s="567">
        <v>1.02</v>
      </c>
    </row>
    <row r="6" spans="1:13" x14ac:dyDescent="0.25">
      <c r="A6" s="1068" t="s">
        <v>33</v>
      </c>
      <c r="B6" s="567">
        <v>440</v>
      </c>
      <c r="C6" s="567">
        <v>1358</v>
      </c>
      <c r="D6" s="567">
        <v>1798</v>
      </c>
      <c r="E6" s="567">
        <v>677</v>
      </c>
      <c r="F6" s="567">
        <v>474</v>
      </c>
      <c r="G6" s="567">
        <v>203</v>
      </c>
      <c r="H6" s="567">
        <v>56928</v>
      </c>
      <c r="I6" s="567">
        <v>3.1579999999999999</v>
      </c>
      <c r="J6" s="567">
        <v>1.1890000000000001</v>
      </c>
      <c r="K6" s="567">
        <v>54221</v>
      </c>
      <c r="L6" s="567">
        <v>3.3159999999999998</v>
      </c>
      <c r="M6" s="567">
        <v>1.2490000000000001</v>
      </c>
    </row>
    <row r="7" spans="1:13" x14ac:dyDescent="0.25">
      <c r="A7" s="1068" t="s">
        <v>34</v>
      </c>
      <c r="B7" s="567">
        <v>451</v>
      </c>
      <c r="C7" s="567">
        <v>1072</v>
      </c>
      <c r="D7" s="567">
        <v>1523</v>
      </c>
      <c r="E7" s="567">
        <v>721</v>
      </c>
      <c r="F7" s="567">
        <v>389</v>
      </c>
      <c r="G7" s="567">
        <v>332</v>
      </c>
      <c r="H7" s="567">
        <v>48134</v>
      </c>
      <c r="I7" s="567">
        <v>3.1640000000000001</v>
      </c>
      <c r="J7" s="567">
        <v>1.498</v>
      </c>
      <c r="K7" s="567">
        <v>41789</v>
      </c>
      <c r="L7" s="567">
        <v>3.6440000000000001</v>
      </c>
      <c r="M7" s="567">
        <v>1.7250000000000001</v>
      </c>
    </row>
    <row r="8" spans="1:13" x14ac:dyDescent="0.25">
      <c r="A8" s="1068" t="s">
        <v>258</v>
      </c>
      <c r="B8" s="567">
        <v>1501</v>
      </c>
      <c r="C8" s="567">
        <v>3440</v>
      </c>
      <c r="D8" s="567">
        <v>4941</v>
      </c>
      <c r="E8" s="567">
        <v>2169</v>
      </c>
      <c r="F8" s="567">
        <v>1591</v>
      </c>
      <c r="G8" s="567">
        <v>578</v>
      </c>
      <c r="H8" s="567">
        <v>252731</v>
      </c>
      <c r="I8" s="567">
        <v>1.9550000000000001</v>
      </c>
      <c r="J8" s="567">
        <v>0.85799999999999998</v>
      </c>
      <c r="K8" s="567">
        <v>238269</v>
      </c>
      <c r="L8" s="567">
        <v>2.0739999999999998</v>
      </c>
      <c r="M8" s="567">
        <v>0.91</v>
      </c>
    </row>
    <row r="9" spans="1:13" x14ac:dyDescent="0.25">
      <c r="A9" s="1068" t="s">
        <v>35</v>
      </c>
      <c r="B9" s="567">
        <v>292</v>
      </c>
      <c r="C9" s="567">
        <v>379</v>
      </c>
      <c r="D9" s="567">
        <v>671</v>
      </c>
      <c r="E9" s="567">
        <v>495</v>
      </c>
      <c r="F9" s="567">
        <v>445</v>
      </c>
      <c r="G9" s="567">
        <v>50</v>
      </c>
      <c r="H9" s="567">
        <v>24716</v>
      </c>
      <c r="I9" s="567">
        <v>2.7149999999999999</v>
      </c>
      <c r="J9" s="567">
        <v>2.0030000000000001</v>
      </c>
      <c r="K9" s="567">
        <v>23890</v>
      </c>
      <c r="L9" s="567">
        <v>2.8090000000000002</v>
      </c>
      <c r="M9" s="567">
        <v>2.0720000000000001</v>
      </c>
    </row>
    <row r="10" spans="1:13" x14ac:dyDescent="0.25">
      <c r="A10" s="1068" t="s">
        <v>36</v>
      </c>
      <c r="B10" s="567">
        <v>870</v>
      </c>
      <c r="C10" s="567">
        <v>839</v>
      </c>
      <c r="D10" s="567">
        <v>1709</v>
      </c>
      <c r="E10" s="567">
        <v>1262</v>
      </c>
      <c r="F10" s="567">
        <v>824</v>
      </c>
      <c r="G10" s="567">
        <v>438</v>
      </c>
      <c r="H10" s="567">
        <v>75089</v>
      </c>
      <c r="I10" s="567">
        <v>2.2759999999999998</v>
      </c>
      <c r="J10" s="567">
        <v>1.681</v>
      </c>
      <c r="K10" s="567">
        <v>69699</v>
      </c>
      <c r="L10" s="567">
        <v>2.452</v>
      </c>
      <c r="M10" s="567">
        <v>1.8109999999999999</v>
      </c>
    </row>
    <row r="11" spans="1:13" x14ac:dyDescent="0.25">
      <c r="A11" s="1068" t="s">
        <v>37</v>
      </c>
      <c r="B11" s="567">
        <v>577</v>
      </c>
      <c r="C11" s="567">
        <v>2144</v>
      </c>
      <c r="D11" s="567">
        <v>2721</v>
      </c>
      <c r="E11" s="567">
        <v>837</v>
      </c>
      <c r="F11" s="567">
        <v>510</v>
      </c>
      <c r="G11" s="567">
        <v>327</v>
      </c>
      <c r="H11" s="567">
        <v>74891</v>
      </c>
      <c r="I11" s="567">
        <v>3.633</v>
      </c>
      <c r="J11" s="567">
        <v>1.1180000000000001</v>
      </c>
      <c r="K11" s="567">
        <v>70685</v>
      </c>
      <c r="L11" s="567">
        <v>3.8490000000000002</v>
      </c>
      <c r="M11" s="567">
        <v>1.1839999999999999</v>
      </c>
    </row>
    <row r="12" spans="1:13" x14ac:dyDescent="0.25">
      <c r="A12" s="1068" t="s">
        <v>38</v>
      </c>
      <c r="B12" s="567">
        <v>423</v>
      </c>
      <c r="C12" s="567">
        <v>680</v>
      </c>
      <c r="D12" s="567">
        <v>1103</v>
      </c>
      <c r="E12" s="567">
        <v>703</v>
      </c>
      <c r="F12" s="567">
        <v>487</v>
      </c>
      <c r="G12" s="567">
        <v>216</v>
      </c>
      <c r="H12" s="567">
        <v>58628</v>
      </c>
      <c r="I12" s="567">
        <v>1.881</v>
      </c>
      <c r="J12" s="567">
        <v>1.1990000000000001</v>
      </c>
      <c r="K12" s="567">
        <v>55387</v>
      </c>
      <c r="L12" s="567">
        <v>1.9910000000000001</v>
      </c>
      <c r="M12" s="567">
        <v>1.2689999999999999</v>
      </c>
    </row>
    <row r="13" spans="1:13" x14ac:dyDescent="0.25">
      <c r="A13" s="1068" t="s">
        <v>39</v>
      </c>
      <c r="B13" s="567">
        <v>656</v>
      </c>
      <c r="C13" s="567">
        <v>662</v>
      </c>
      <c r="D13" s="567">
        <v>1318</v>
      </c>
      <c r="E13" s="567">
        <v>1057</v>
      </c>
      <c r="F13" s="567">
        <v>758</v>
      </c>
      <c r="G13" s="567">
        <v>299</v>
      </c>
      <c r="H13" s="567">
        <v>46986</v>
      </c>
      <c r="I13" s="567">
        <v>2.8050000000000002</v>
      </c>
      <c r="J13" s="567">
        <v>2.25</v>
      </c>
      <c r="K13" s="567">
        <v>46228</v>
      </c>
      <c r="L13" s="567">
        <v>2.851</v>
      </c>
      <c r="M13" s="567">
        <v>2.286</v>
      </c>
    </row>
    <row r="14" spans="1:13" x14ac:dyDescent="0.25">
      <c r="A14" s="1068" t="s">
        <v>40</v>
      </c>
      <c r="B14" s="567">
        <v>372</v>
      </c>
      <c r="C14" s="567">
        <v>530</v>
      </c>
      <c r="D14" s="567">
        <v>902</v>
      </c>
      <c r="E14" s="567">
        <v>599</v>
      </c>
      <c r="F14" s="567">
        <v>448</v>
      </c>
      <c r="G14" s="567">
        <v>151</v>
      </c>
      <c r="H14" s="567">
        <v>48851</v>
      </c>
      <c r="I14" s="567">
        <v>1.8460000000000001</v>
      </c>
      <c r="J14" s="567">
        <v>1.226</v>
      </c>
      <c r="K14" s="567">
        <v>46771</v>
      </c>
      <c r="L14" s="567">
        <v>1.929</v>
      </c>
      <c r="M14" s="567">
        <v>1.2809999999999999</v>
      </c>
    </row>
    <row r="15" spans="1:13" x14ac:dyDescent="0.25">
      <c r="A15" s="1068" t="s">
        <v>41</v>
      </c>
      <c r="B15" s="567">
        <v>366</v>
      </c>
      <c r="C15" s="567">
        <v>587</v>
      </c>
      <c r="D15" s="567">
        <v>953</v>
      </c>
      <c r="E15" s="567">
        <v>569</v>
      </c>
      <c r="F15" s="567">
        <v>397</v>
      </c>
      <c r="G15" s="567">
        <v>172</v>
      </c>
      <c r="H15" s="567">
        <v>39144</v>
      </c>
      <c r="I15" s="567">
        <v>2.4350000000000001</v>
      </c>
      <c r="J15" s="567">
        <v>1.454</v>
      </c>
      <c r="K15" s="567">
        <v>39345</v>
      </c>
      <c r="L15" s="567">
        <v>2.4220000000000002</v>
      </c>
      <c r="M15" s="567">
        <v>1.446</v>
      </c>
    </row>
    <row r="16" spans="1:13" x14ac:dyDescent="0.25">
      <c r="A16" s="1068" t="s">
        <v>42</v>
      </c>
      <c r="B16" s="567">
        <v>511</v>
      </c>
      <c r="C16" s="567">
        <v>1174</v>
      </c>
      <c r="D16" s="567">
        <v>1685</v>
      </c>
      <c r="E16" s="567">
        <v>762</v>
      </c>
      <c r="F16" s="567">
        <v>590</v>
      </c>
      <c r="G16" s="567">
        <v>172</v>
      </c>
      <c r="H16" s="567">
        <v>75226</v>
      </c>
      <c r="I16" s="567">
        <v>2.2400000000000002</v>
      </c>
      <c r="J16" s="567">
        <v>1.0129999999999999</v>
      </c>
      <c r="K16" s="567">
        <v>72672</v>
      </c>
      <c r="L16" s="567">
        <v>2.319</v>
      </c>
      <c r="M16" s="567">
        <v>1.0489999999999999</v>
      </c>
    </row>
    <row r="17" spans="1:13" x14ac:dyDescent="0.25">
      <c r="A17" s="1068" t="s">
        <v>43</v>
      </c>
      <c r="B17" s="567">
        <v>2532</v>
      </c>
      <c r="C17" s="567">
        <v>3908</v>
      </c>
      <c r="D17" s="567">
        <v>6440</v>
      </c>
      <c r="E17" s="567">
        <v>3982</v>
      </c>
      <c r="F17" s="567">
        <v>2724</v>
      </c>
      <c r="G17" s="567">
        <v>1258</v>
      </c>
      <c r="H17" s="567">
        <v>178183</v>
      </c>
      <c r="I17" s="567">
        <v>3.6139999999999999</v>
      </c>
      <c r="J17" s="567">
        <v>2.2349999999999999</v>
      </c>
      <c r="K17" s="567">
        <v>169239</v>
      </c>
      <c r="L17" s="567">
        <v>3.8050000000000002</v>
      </c>
      <c r="M17" s="567">
        <v>2.3530000000000002</v>
      </c>
    </row>
    <row r="18" spans="1:13" x14ac:dyDescent="0.25">
      <c r="A18" s="1068" t="s">
        <v>121</v>
      </c>
      <c r="B18" s="567">
        <v>2529</v>
      </c>
      <c r="C18" s="567">
        <v>7409</v>
      </c>
      <c r="D18" s="567">
        <v>9938</v>
      </c>
      <c r="E18" s="567">
        <v>3536</v>
      </c>
      <c r="F18" s="567">
        <v>2783</v>
      </c>
      <c r="G18" s="567">
        <v>753</v>
      </c>
      <c r="H18" s="567">
        <v>314604</v>
      </c>
      <c r="I18" s="567">
        <v>3.1589999999999998</v>
      </c>
      <c r="J18" s="567">
        <v>1.1240000000000001</v>
      </c>
      <c r="K18" s="567">
        <v>294622</v>
      </c>
      <c r="L18" s="567">
        <v>3.3730000000000002</v>
      </c>
      <c r="M18" s="567">
        <v>1.2</v>
      </c>
    </row>
    <row r="19" spans="1:13" x14ac:dyDescent="0.25">
      <c r="A19" s="1068" t="s">
        <v>44</v>
      </c>
      <c r="B19" s="567">
        <v>591</v>
      </c>
      <c r="C19" s="567">
        <v>2275</v>
      </c>
      <c r="D19" s="567">
        <v>2866</v>
      </c>
      <c r="E19" s="567">
        <v>985</v>
      </c>
      <c r="F19" s="567">
        <v>522</v>
      </c>
      <c r="G19" s="567">
        <v>463</v>
      </c>
      <c r="H19" s="567">
        <v>119061</v>
      </c>
      <c r="I19" s="567">
        <v>2.407</v>
      </c>
      <c r="J19" s="567">
        <v>0.82699999999999996</v>
      </c>
      <c r="K19" s="567">
        <v>109514</v>
      </c>
      <c r="L19" s="567">
        <v>2.617</v>
      </c>
      <c r="M19" s="567">
        <v>0.89900000000000002</v>
      </c>
    </row>
    <row r="20" spans="1:13" x14ac:dyDescent="0.25">
      <c r="A20" s="1068" t="s">
        <v>45</v>
      </c>
      <c r="B20" s="567">
        <v>631</v>
      </c>
      <c r="C20" s="567">
        <v>772</v>
      </c>
      <c r="D20" s="567">
        <v>1403</v>
      </c>
      <c r="E20" s="567">
        <v>941</v>
      </c>
      <c r="F20" s="567">
        <v>603</v>
      </c>
      <c r="G20" s="567">
        <v>338</v>
      </c>
      <c r="H20" s="567">
        <v>38977</v>
      </c>
      <c r="I20" s="567">
        <v>3.6</v>
      </c>
      <c r="J20" s="567">
        <v>2.4140000000000001</v>
      </c>
      <c r="K20" s="567">
        <v>37614</v>
      </c>
      <c r="L20" s="567">
        <v>3.73</v>
      </c>
      <c r="M20" s="567">
        <v>2.5019999999999998</v>
      </c>
    </row>
    <row r="21" spans="1:13" x14ac:dyDescent="0.25">
      <c r="A21" s="1068" t="s">
        <v>46</v>
      </c>
      <c r="B21" s="567">
        <v>338</v>
      </c>
      <c r="C21" s="567">
        <v>669</v>
      </c>
      <c r="D21" s="567">
        <v>1007</v>
      </c>
      <c r="E21" s="567">
        <v>528</v>
      </c>
      <c r="F21" s="567">
        <v>303</v>
      </c>
      <c r="G21" s="567">
        <v>225</v>
      </c>
      <c r="H21" s="567">
        <v>41226</v>
      </c>
      <c r="I21" s="567">
        <v>2.4430000000000001</v>
      </c>
      <c r="J21" s="567">
        <v>1.2809999999999999</v>
      </c>
      <c r="K21" s="567">
        <v>39733</v>
      </c>
      <c r="L21" s="567">
        <v>2.5339999999999998</v>
      </c>
      <c r="M21" s="567">
        <v>1.329</v>
      </c>
    </row>
    <row r="22" spans="1:13" x14ac:dyDescent="0.25">
      <c r="A22" s="1068" t="s">
        <v>47</v>
      </c>
      <c r="B22" s="567">
        <v>483</v>
      </c>
      <c r="C22" s="567">
        <v>1205</v>
      </c>
      <c r="D22" s="567">
        <v>1688</v>
      </c>
      <c r="E22" s="567">
        <v>877</v>
      </c>
      <c r="F22" s="567">
        <v>500</v>
      </c>
      <c r="G22" s="567">
        <v>377</v>
      </c>
      <c r="H22" s="567">
        <v>45630</v>
      </c>
      <c r="I22" s="567">
        <v>3.6989999999999998</v>
      </c>
      <c r="J22" s="567">
        <v>1.9219999999999999</v>
      </c>
      <c r="K22" s="567">
        <v>42932</v>
      </c>
      <c r="L22" s="567">
        <v>3.9319999999999999</v>
      </c>
      <c r="M22" s="567">
        <v>2.0430000000000001</v>
      </c>
    </row>
    <row r="23" spans="1:13" x14ac:dyDescent="0.25">
      <c r="A23" s="1068" t="s">
        <v>48</v>
      </c>
      <c r="B23" s="567">
        <v>67</v>
      </c>
      <c r="C23" s="567">
        <v>235</v>
      </c>
      <c r="D23" s="567">
        <v>302</v>
      </c>
      <c r="E23" s="567">
        <v>111</v>
      </c>
      <c r="F23" s="567">
        <v>69</v>
      </c>
      <c r="G23" s="567">
        <v>42</v>
      </c>
      <c r="H23" s="567">
        <v>14734</v>
      </c>
      <c r="I23" s="567">
        <v>2.0499999999999998</v>
      </c>
      <c r="J23" s="567">
        <v>0.753</v>
      </c>
      <c r="K23" s="567">
        <v>12833</v>
      </c>
      <c r="L23" s="567">
        <v>2.3530000000000002</v>
      </c>
      <c r="M23" s="567">
        <v>0.86499999999999999</v>
      </c>
    </row>
    <row r="24" spans="1:13" x14ac:dyDescent="0.25">
      <c r="A24" s="1068" t="s">
        <v>49</v>
      </c>
      <c r="B24" s="567">
        <v>716</v>
      </c>
      <c r="C24" s="567">
        <v>969</v>
      </c>
      <c r="D24" s="567">
        <v>1685</v>
      </c>
      <c r="E24" s="567">
        <v>1150</v>
      </c>
      <c r="F24" s="567">
        <v>784</v>
      </c>
      <c r="G24" s="567">
        <v>366</v>
      </c>
      <c r="H24" s="567">
        <v>68496</v>
      </c>
      <c r="I24" s="567">
        <v>2.46</v>
      </c>
      <c r="J24" s="567">
        <v>1.679</v>
      </c>
      <c r="K24" s="567">
        <v>64140</v>
      </c>
      <c r="L24" s="567">
        <v>2.6269999999999998</v>
      </c>
      <c r="M24" s="567">
        <v>1.7929999999999999</v>
      </c>
    </row>
    <row r="25" spans="1:13" x14ac:dyDescent="0.25">
      <c r="A25" s="1068" t="s">
        <v>50</v>
      </c>
      <c r="B25" s="567">
        <v>1327</v>
      </c>
      <c r="C25" s="567">
        <v>2916</v>
      </c>
      <c r="D25" s="567">
        <v>4243</v>
      </c>
      <c r="E25" s="567">
        <v>2152</v>
      </c>
      <c r="F25" s="567">
        <v>1741</v>
      </c>
      <c r="G25" s="567">
        <v>411</v>
      </c>
      <c r="H25" s="567">
        <v>156694</v>
      </c>
      <c r="I25" s="567">
        <v>2.7080000000000002</v>
      </c>
      <c r="J25" s="567">
        <v>1.373</v>
      </c>
      <c r="K25" s="567">
        <v>152443</v>
      </c>
      <c r="L25" s="567">
        <v>2.7829999999999999</v>
      </c>
      <c r="M25" s="567">
        <v>1.4119999999999999</v>
      </c>
    </row>
    <row r="26" spans="1:13" x14ac:dyDescent="0.25">
      <c r="A26" s="1068" t="s">
        <v>51</v>
      </c>
      <c r="B26" s="567">
        <v>122</v>
      </c>
      <c r="C26" s="567">
        <v>237</v>
      </c>
      <c r="D26" s="567">
        <v>359</v>
      </c>
      <c r="E26" s="567">
        <v>211</v>
      </c>
      <c r="F26" s="567">
        <v>127</v>
      </c>
      <c r="G26" s="567">
        <v>84</v>
      </c>
      <c r="H26" s="567">
        <v>11322</v>
      </c>
      <c r="I26" s="567">
        <v>3.1709999999999998</v>
      </c>
      <c r="J26" s="567">
        <v>1.8640000000000001</v>
      </c>
      <c r="K26" s="567">
        <v>10589</v>
      </c>
      <c r="L26" s="567">
        <v>3.39</v>
      </c>
      <c r="M26" s="567">
        <v>1.9930000000000001</v>
      </c>
    </row>
    <row r="27" spans="1:13" x14ac:dyDescent="0.25">
      <c r="A27" s="1068" t="s">
        <v>52</v>
      </c>
      <c r="B27" s="567">
        <v>389</v>
      </c>
      <c r="C27" s="567">
        <v>1165</v>
      </c>
      <c r="D27" s="567">
        <v>1554</v>
      </c>
      <c r="E27" s="567">
        <v>601</v>
      </c>
      <c r="F27" s="567">
        <v>403</v>
      </c>
      <c r="G27" s="567">
        <v>198</v>
      </c>
      <c r="H27" s="567">
        <v>73267</v>
      </c>
      <c r="I27" s="567">
        <v>2.121</v>
      </c>
      <c r="J27" s="567">
        <v>0.82</v>
      </c>
      <c r="K27" s="567">
        <v>69003</v>
      </c>
      <c r="L27" s="567">
        <v>2.2519999999999998</v>
      </c>
      <c r="M27" s="567">
        <v>0.871</v>
      </c>
    </row>
    <row r="28" spans="1:13" x14ac:dyDescent="0.25">
      <c r="A28" s="1068" t="s">
        <v>53</v>
      </c>
      <c r="B28" s="567">
        <v>774</v>
      </c>
      <c r="C28" s="567">
        <v>1023</v>
      </c>
      <c r="D28" s="567">
        <v>1797</v>
      </c>
      <c r="E28" s="567">
        <v>1182</v>
      </c>
      <c r="F28" s="567">
        <v>786</v>
      </c>
      <c r="G28" s="567">
        <v>396</v>
      </c>
      <c r="H28" s="567">
        <v>88086</v>
      </c>
      <c r="I28" s="567">
        <v>2.04</v>
      </c>
      <c r="J28" s="567">
        <v>1.3420000000000001</v>
      </c>
      <c r="K28" s="567">
        <v>86683</v>
      </c>
      <c r="L28" s="567">
        <v>2.073</v>
      </c>
      <c r="M28" s="567">
        <v>1.3640000000000001</v>
      </c>
    </row>
    <row r="29" spans="1:13" x14ac:dyDescent="0.25">
      <c r="A29" s="1068" t="s">
        <v>54</v>
      </c>
      <c r="B29" s="567">
        <v>869</v>
      </c>
      <c r="C29" s="567">
        <v>1387</v>
      </c>
      <c r="D29" s="567">
        <v>2256</v>
      </c>
      <c r="E29" s="567">
        <v>1430</v>
      </c>
      <c r="F29" s="567">
        <v>798</v>
      </c>
      <c r="G29" s="567">
        <v>632</v>
      </c>
      <c r="H29" s="567">
        <v>58671</v>
      </c>
      <c r="I29" s="567">
        <v>3.8450000000000002</v>
      </c>
      <c r="J29" s="567">
        <v>2.4369999999999998</v>
      </c>
      <c r="K29" s="567">
        <v>54715</v>
      </c>
      <c r="L29" s="567">
        <v>4.1230000000000002</v>
      </c>
      <c r="M29" s="567">
        <v>2.6139999999999999</v>
      </c>
    </row>
    <row r="30" spans="1:13" x14ac:dyDescent="0.25">
      <c r="A30" s="1068" t="s">
        <v>55</v>
      </c>
      <c r="B30" s="567">
        <v>156</v>
      </c>
      <c r="C30" s="567">
        <v>407</v>
      </c>
      <c r="D30" s="567">
        <v>563</v>
      </c>
      <c r="E30" s="567">
        <v>253</v>
      </c>
      <c r="F30" s="567">
        <v>141</v>
      </c>
      <c r="G30" s="567">
        <v>112</v>
      </c>
      <c r="H30" s="567">
        <v>11305</v>
      </c>
      <c r="I30" s="567">
        <v>4.9800000000000004</v>
      </c>
      <c r="J30" s="567">
        <v>2.238</v>
      </c>
      <c r="K30" s="567">
        <v>10439</v>
      </c>
      <c r="L30" s="567">
        <v>5.3929999999999998</v>
      </c>
      <c r="M30" s="567">
        <v>2.4239999999999999</v>
      </c>
    </row>
    <row r="31" spans="1:13" x14ac:dyDescent="0.25">
      <c r="A31" s="1068" t="s">
        <v>56</v>
      </c>
      <c r="B31" s="567">
        <v>413</v>
      </c>
      <c r="C31" s="567">
        <v>588</v>
      </c>
      <c r="D31" s="567">
        <v>1001</v>
      </c>
      <c r="E31" s="567">
        <v>710</v>
      </c>
      <c r="F31" s="567">
        <v>525</v>
      </c>
      <c r="G31" s="567">
        <v>185</v>
      </c>
      <c r="H31" s="567">
        <v>55668</v>
      </c>
      <c r="I31" s="567">
        <v>1.798</v>
      </c>
      <c r="J31" s="567">
        <v>1.2749999999999999</v>
      </c>
      <c r="K31" s="567">
        <v>52588</v>
      </c>
      <c r="L31" s="567">
        <v>1.903</v>
      </c>
      <c r="M31" s="567">
        <v>1.35</v>
      </c>
    </row>
    <row r="32" spans="1:13" x14ac:dyDescent="0.25">
      <c r="A32" s="1068" t="s">
        <v>57</v>
      </c>
      <c r="B32" s="567">
        <v>1364</v>
      </c>
      <c r="C32" s="567">
        <v>2345</v>
      </c>
      <c r="D32" s="567">
        <v>3709</v>
      </c>
      <c r="E32" s="567">
        <v>2179</v>
      </c>
      <c r="F32" s="567">
        <v>1628</v>
      </c>
      <c r="G32" s="567">
        <v>551</v>
      </c>
      <c r="H32" s="567">
        <v>152998</v>
      </c>
      <c r="I32" s="567">
        <v>2.4239999999999999</v>
      </c>
      <c r="J32" s="567">
        <v>1.4239999999999999</v>
      </c>
      <c r="K32" s="567">
        <v>147434</v>
      </c>
      <c r="L32" s="567">
        <v>2.516</v>
      </c>
      <c r="M32" s="567">
        <v>1.478</v>
      </c>
    </row>
    <row r="33" spans="1:13" x14ac:dyDescent="0.25">
      <c r="A33" s="1068" t="s">
        <v>58</v>
      </c>
      <c r="B33" s="567">
        <v>310</v>
      </c>
      <c r="C33" s="567">
        <v>590</v>
      </c>
      <c r="D33" s="567">
        <v>900</v>
      </c>
      <c r="E33" s="567">
        <v>512</v>
      </c>
      <c r="F33" s="567">
        <v>360</v>
      </c>
      <c r="G33" s="567">
        <v>152</v>
      </c>
      <c r="H33" s="567">
        <v>41638</v>
      </c>
      <c r="I33" s="567">
        <v>2.161</v>
      </c>
      <c r="J33" s="567">
        <v>1.23</v>
      </c>
      <c r="K33" s="567">
        <v>39654</v>
      </c>
      <c r="L33" s="567">
        <v>2.27</v>
      </c>
      <c r="M33" s="567">
        <v>1.2909999999999999</v>
      </c>
    </row>
    <row r="34" spans="1:13" x14ac:dyDescent="0.25">
      <c r="A34" s="1068" t="s">
        <v>59</v>
      </c>
      <c r="B34" s="567">
        <v>468</v>
      </c>
      <c r="C34" s="567">
        <v>931</v>
      </c>
      <c r="D34" s="567">
        <v>1399</v>
      </c>
      <c r="E34" s="567">
        <v>722</v>
      </c>
      <c r="F34" s="567">
        <v>550</v>
      </c>
      <c r="G34" s="567">
        <v>172</v>
      </c>
      <c r="H34" s="567">
        <v>45357</v>
      </c>
      <c r="I34" s="567">
        <v>3.0840000000000001</v>
      </c>
      <c r="J34" s="567">
        <v>1.5920000000000001</v>
      </c>
      <c r="K34" s="567">
        <v>43030</v>
      </c>
      <c r="L34" s="567">
        <v>3.2509999999999999</v>
      </c>
      <c r="M34" s="567">
        <v>1.6779999999999999</v>
      </c>
    </row>
    <row r="35" spans="1:13" x14ac:dyDescent="0.25">
      <c r="A35" s="1068" t="s">
        <v>60</v>
      </c>
      <c r="B35" s="567">
        <v>658</v>
      </c>
      <c r="C35" s="567">
        <v>1193</v>
      </c>
      <c r="D35" s="567">
        <v>1851</v>
      </c>
      <c r="E35" s="567">
        <v>958</v>
      </c>
      <c r="F35" s="567">
        <v>631</v>
      </c>
      <c r="G35" s="567">
        <v>327</v>
      </c>
      <c r="H35" s="567">
        <v>80911</v>
      </c>
      <c r="I35" s="567">
        <v>2.2879999999999998</v>
      </c>
      <c r="J35" s="567">
        <v>1.1839999999999999</v>
      </c>
      <c r="K35" s="567">
        <v>78966</v>
      </c>
      <c r="L35" s="567">
        <v>2.3439999999999999</v>
      </c>
      <c r="M35" s="567">
        <v>1.2130000000000001</v>
      </c>
    </row>
    <row r="36" spans="1:13" x14ac:dyDescent="0.25">
      <c r="A36" s="1068" t="s">
        <v>251</v>
      </c>
      <c r="B36" s="567">
        <v>22287</v>
      </c>
      <c r="C36" s="567">
        <v>46940</v>
      </c>
      <c r="D36" s="567">
        <v>69227</v>
      </c>
      <c r="E36" s="567">
        <v>34605</v>
      </c>
      <c r="F36" s="567">
        <v>24013</v>
      </c>
      <c r="G36" s="567">
        <v>10592</v>
      </c>
      <c r="H36" s="567">
        <v>2636871</v>
      </c>
      <c r="I36" s="567">
        <v>86.300000000000011</v>
      </c>
      <c r="J36" s="567">
        <v>45.956999999999987</v>
      </c>
      <c r="K36" s="567">
        <v>2495622</v>
      </c>
      <c r="L36" s="567">
        <v>91.414999999999992</v>
      </c>
      <c r="M36" s="567">
        <v>48.517999999999994</v>
      </c>
    </row>
  </sheetData>
  <sheetProtection algorithmName="SHA-512" hashValue="FA3829ZJlmQmgh4rv9js5P/+Trwfj36coSpj328UySaGHxayOdCkt2TgnPPE3GznLFWxQ5k4D6A74RQz2QzgKQ==" saltValue="ClMgJtWwtZi9V7/ds8u+Dg=="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249977111117893"/>
    <pageSetUpPr fitToPage="1"/>
  </sheetPr>
  <dimension ref="A1:K47"/>
  <sheetViews>
    <sheetView showGridLines="0" workbookViewId="0">
      <pane ySplit="2" topLeftCell="A3" activePane="bottomLeft" state="frozen"/>
      <selection pane="bottomLeft"/>
    </sheetView>
  </sheetViews>
  <sheetFormatPr defaultRowHeight="15" x14ac:dyDescent="0.25"/>
  <cols>
    <col min="1" max="1" width="12.85546875" customWidth="1"/>
    <col min="2" max="2" width="22.28515625" customWidth="1"/>
    <col min="3" max="3" width="13" customWidth="1"/>
    <col min="4" max="6" width="11" customWidth="1"/>
    <col min="7" max="7" width="14.140625" customWidth="1"/>
  </cols>
  <sheetData>
    <row r="1" spans="1:7" ht="15.75" x14ac:dyDescent="0.25">
      <c r="A1" s="802" t="s">
        <v>605</v>
      </c>
    </row>
    <row r="2" spans="1:7" x14ac:dyDescent="0.25">
      <c r="A2" s="772" t="s">
        <v>578</v>
      </c>
    </row>
    <row r="3" spans="1:7" x14ac:dyDescent="0.25">
      <c r="A3" s="31"/>
    </row>
    <row r="4" spans="1:7" ht="15.75" x14ac:dyDescent="0.25">
      <c r="A4" s="658" t="s">
        <v>697</v>
      </c>
      <c r="B4" s="784"/>
    </row>
    <row r="5" spans="1:7" x14ac:dyDescent="0.25">
      <c r="A5" t="s">
        <v>363</v>
      </c>
      <c r="B5" t="s">
        <v>786</v>
      </c>
    </row>
    <row r="6" spans="1:7" x14ac:dyDescent="0.25">
      <c r="A6" t="s">
        <v>364</v>
      </c>
      <c r="B6" t="s">
        <v>366</v>
      </c>
    </row>
    <row r="7" spans="1:7" x14ac:dyDescent="0.25">
      <c r="A7" t="s">
        <v>365</v>
      </c>
      <c r="B7" t="s">
        <v>606</v>
      </c>
    </row>
    <row r="9" spans="1:7" x14ac:dyDescent="0.25">
      <c r="B9" s="28"/>
      <c r="C9" s="304"/>
      <c r="D9" s="304"/>
      <c r="E9" s="306" t="s">
        <v>624</v>
      </c>
      <c r="F9" s="306"/>
      <c r="G9" s="866" t="s">
        <v>6</v>
      </c>
    </row>
    <row r="10" spans="1:7" ht="39" x14ac:dyDescent="0.25">
      <c r="A10" s="96" t="s">
        <v>515</v>
      </c>
      <c r="B10" s="80" t="s">
        <v>120</v>
      </c>
      <c r="C10" s="279" t="s">
        <v>127</v>
      </c>
      <c r="D10" s="211" t="s">
        <v>132</v>
      </c>
      <c r="E10" s="858" t="s">
        <v>626</v>
      </c>
      <c r="F10" s="873" t="s">
        <v>625</v>
      </c>
      <c r="G10" s="867" t="s">
        <v>489</v>
      </c>
    </row>
    <row r="11" spans="1:7" ht="21" customHeight="1" x14ac:dyDescent="0.25">
      <c r="A11" t="s">
        <v>301</v>
      </c>
      <c r="B11" s="577" t="s">
        <v>31</v>
      </c>
      <c r="C11" s="468">
        <f>('h19'!B4/'h19'!K4)*100</f>
        <v>0.36168701156106697</v>
      </c>
      <c r="D11" s="468">
        <f>('h19'!C4/'h19'!K4)*100</f>
        <v>2.0963083935376128</v>
      </c>
      <c r="E11" s="871">
        <f>('h19'!D4/'h19'!K4)*100</f>
        <v>2.4579954050986794</v>
      </c>
      <c r="F11" s="874">
        <f>'h19'!M4</f>
        <v>0.54400000000000004</v>
      </c>
      <c r="G11" s="868">
        <f>'h19'!K4</f>
        <v>108381</v>
      </c>
    </row>
    <row r="12" spans="1:7" x14ac:dyDescent="0.25">
      <c r="A12" t="s">
        <v>302</v>
      </c>
      <c r="B12" s="64" t="s">
        <v>32</v>
      </c>
      <c r="C12" s="469">
        <f>('h19'!B5/'h19'!K5)*100</f>
        <v>0.62347253688210214</v>
      </c>
      <c r="D12" s="469">
        <f>('h19'!C5/'h19'!K5)*100</f>
        <v>1.4083878908967657</v>
      </c>
      <c r="E12" s="872">
        <f>('h19'!D5/'h19'!K5)*100</f>
        <v>2.0318604277788679</v>
      </c>
      <c r="F12" s="874">
        <f>'h19'!M5</f>
        <v>1.02</v>
      </c>
      <c r="G12" s="869">
        <f>'h19'!K5</f>
        <v>112114</v>
      </c>
    </row>
    <row r="13" spans="1:7" x14ac:dyDescent="0.25">
      <c r="A13" t="s">
        <v>308</v>
      </c>
      <c r="B13" s="64" t="s">
        <v>33</v>
      </c>
      <c r="C13" s="469">
        <f>('h19'!B6/'h19'!K6)*100</f>
        <v>0.8114937017022924</v>
      </c>
      <c r="D13" s="469">
        <f>('h19'!C6/'h19'!K6)*100</f>
        <v>2.5045646520720752</v>
      </c>
      <c r="E13" s="872">
        <f>('h19'!D6/'h19'!K6)*100</f>
        <v>3.3160583537743675</v>
      </c>
      <c r="F13" s="874">
        <f>'h19'!M6</f>
        <v>1.2490000000000001</v>
      </c>
      <c r="G13" s="869">
        <f>'h19'!K6</f>
        <v>54221</v>
      </c>
    </row>
    <row r="14" spans="1:7" x14ac:dyDescent="0.25">
      <c r="A14" t="s">
        <v>303</v>
      </c>
      <c r="B14" s="64" t="s">
        <v>34</v>
      </c>
      <c r="C14" s="469">
        <f>('h19'!B7/'h19'!K7)*100</f>
        <v>1.0792313766780732</v>
      </c>
      <c r="D14" s="469">
        <f>('h19'!C7/'h19'!K7)*100</f>
        <v>2.565268372059633</v>
      </c>
      <c r="E14" s="872">
        <f>('h19'!D7/'h19'!K7)*100</f>
        <v>3.6444997487377062</v>
      </c>
      <c r="F14" s="874">
        <f>'h19'!M7</f>
        <v>1.7250000000000001</v>
      </c>
      <c r="G14" s="869">
        <f>'h19'!K7</f>
        <v>41789</v>
      </c>
    </row>
    <row r="15" spans="1:7" x14ac:dyDescent="0.25">
      <c r="A15" t="s">
        <v>304</v>
      </c>
      <c r="B15" s="64" t="s">
        <v>258</v>
      </c>
      <c r="C15" s="469">
        <f>('h19'!B8/'h19'!K8)*100</f>
        <v>0.6299602550058967</v>
      </c>
      <c r="D15" s="469">
        <f>('h19'!C8/'h19'!K8)*100</f>
        <v>1.4437463539109157</v>
      </c>
      <c r="E15" s="872">
        <f>('h19'!D8/'h19'!K8)*100</f>
        <v>2.0737066089168126</v>
      </c>
      <c r="F15" s="874">
        <f>'h19'!M8</f>
        <v>0.91</v>
      </c>
      <c r="G15" s="869">
        <f>'h19'!K8</f>
        <v>238269</v>
      </c>
    </row>
    <row r="16" spans="1:7" x14ac:dyDescent="0.25">
      <c r="A16" t="s">
        <v>282</v>
      </c>
      <c r="B16" s="64" t="s">
        <v>35</v>
      </c>
      <c r="C16" s="469">
        <f>('h19'!B9/'h19'!K9)*100</f>
        <v>1.2222687316868983</v>
      </c>
      <c r="D16" s="469">
        <f>('h19'!C9/'h19'!K9)*100</f>
        <v>1.5864378401004604</v>
      </c>
      <c r="E16" s="872">
        <f>('h19'!D9/'h19'!K9)*100</f>
        <v>2.8087065717873587</v>
      </c>
      <c r="F16" s="874">
        <f>'h19'!M9</f>
        <v>2.0720000000000001</v>
      </c>
      <c r="G16" s="869">
        <f>'h19'!K9</f>
        <v>23890</v>
      </c>
    </row>
    <row r="17" spans="1:7" x14ac:dyDescent="0.25">
      <c r="A17" t="s">
        <v>283</v>
      </c>
      <c r="B17" s="64" t="s">
        <v>36</v>
      </c>
      <c r="C17" s="469">
        <f>('h19'!B10/'h19'!K10)*100</f>
        <v>1.2482245082425858</v>
      </c>
      <c r="D17" s="469">
        <f>('h19'!C10/'h19'!K10)*100</f>
        <v>1.2037475430063558</v>
      </c>
      <c r="E17" s="872">
        <f>('h19'!D10/'h19'!K10)*100</f>
        <v>2.4519720512489416</v>
      </c>
      <c r="F17" s="874">
        <f>'h19'!M10</f>
        <v>1.8109999999999999</v>
      </c>
      <c r="G17" s="869">
        <f>'h19'!K10</f>
        <v>69699</v>
      </c>
    </row>
    <row r="18" spans="1:7" x14ac:dyDescent="0.25">
      <c r="A18" t="s">
        <v>309</v>
      </c>
      <c r="B18" s="64" t="s">
        <v>37</v>
      </c>
      <c r="C18" s="469">
        <f>('h19'!B11/'h19'!K11)*100</f>
        <v>0.81629765862629966</v>
      </c>
      <c r="D18" s="469">
        <f>('h19'!C11/'h19'!K11)*100</f>
        <v>3.0331753554502372</v>
      </c>
      <c r="E18" s="872">
        <f>('h19'!D11/'h19'!K11)*100</f>
        <v>3.849473014076537</v>
      </c>
      <c r="F18" s="874">
        <f>'h19'!M11</f>
        <v>1.1839999999999999</v>
      </c>
      <c r="G18" s="869">
        <f>'h19'!K11</f>
        <v>70685</v>
      </c>
    </row>
    <row r="19" spans="1:7" x14ac:dyDescent="0.25">
      <c r="A19" t="s">
        <v>284</v>
      </c>
      <c r="B19" s="64" t="s">
        <v>38</v>
      </c>
      <c r="C19" s="469">
        <f>('h19'!B12/'h19'!K12)*100</f>
        <v>0.76371711773520856</v>
      </c>
      <c r="D19" s="469">
        <f>('h19'!C12/'h19'!K12)*100</f>
        <v>1.2277249173993898</v>
      </c>
      <c r="E19" s="872">
        <f>('h19'!D12/'h19'!K12)*100</f>
        <v>1.9914420351345983</v>
      </c>
      <c r="F19" s="874">
        <f>'h19'!M12</f>
        <v>1.2689999999999999</v>
      </c>
      <c r="G19" s="869">
        <f>'h19'!K12</f>
        <v>55387</v>
      </c>
    </row>
    <row r="20" spans="1:7" x14ac:dyDescent="0.25">
      <c r="A20" t="s">
        <v>311</v>
      </c>
      <c r="B20" s="64" t="s">
        <v>39</v>
      </c>
      <c r="C20" s="469">
        <f>('h19'!B13/'h19'!K13)*100</f>
        <v>1.4190533875573246</v>
      </c>
      <c r="D20" s="469">
        <f>('h19'!C13/'h19'!K13)*100</f>
        <v>1.4320325343947391</v>
      </c>
      <c r="E20" s="872">
        <f>('h19'!D13/'h19'!K13)*100</f>
        <v>2.8510859219520639</v>
      </c>
      <c r="F20" s="874">
        <f>'h19'!M13</f>
        <v>2.286</v>
      </c>
      <c r="G20" s="869">
        <f>'h19'!K13</f>
        <v>46228</v>
      </c>
    </row>
    <row r="21" spans="1:7" x14ac:dyDescent="0.25">
      <c r="A21" t="s">
        <v>285</v>
      </c>
      <c r="B21" s="64" t="s">
        <v>40</v>
      </c>
      <c r="C21" s="469">
        <f>('h19'!B14/'h19'!K14)*100</f>
        <v>0.79536464903465831</v>
      </c>
      <c r="D21" s="469">
        <f>('h19'!C14/'h19'!K14)*100</f>
        <v>1.1331808171730346</v>
      </c>
      <c r="E21" s="872">
        <f>('h19'!D14/'h19'!K14)*100</f>
        <v>1.9285454662076928</v>
      </c>
      <c r="F21" s="874">
        <f>'h19'!M14</f>
        <v>1.2809999999999999</v>
      </c>
      <c r="G21" s="869">
        <f>'h19'!K14</f>
        <v>46771</v>
      </c>
    </row>
    <row r="22" spans="1:7" x14ac:dyDescent="0.25">
      <c r="A22" t="s">
        <v>286</v>
      </c>
      <c r="B22" s="64" t="s">
        <v>41</v>
      </c>
      <c r="C22" s="469">
        <f>('h19'!B15/'h19'!K15)*100</f>
        <v>0.93023255813953487</v>
      </c>
      <c r="D22" s="469">
        <f>('h19'!C15/'h19'!K15)*100</f>
        <v>1.49193035963909</v>
      </c>
      <c r="E22" s="872">
        <f>('h19'!D15/'h19'!K15)*100</f>
        <v>2.4221629177786248</v>
      </c>
      <c r="F22" s="874">
        <f>'h19'!M15</f>
        <v>1.446</v>
      </c>
      <c r="G22" s="869">
        <f>'h19'!K15</f>
        <v>39345</v>
      </c>
    </row>
    <row r="23" spans="1:7" x14ac:dyDescent="0.25">
      <c r="A23" t="s">
        <v>288</v>
      </c>
      <c r="B23" s="64" t="s">
        <v>42</v>
      </c>
      <c r="C23" s="469">
        <f>('h19'!B16/'h19'!K16)*100</f>
        <v>0.70315940114487008</v>
      </c>
      <c r="D23" s="469">
        <f>('h19'!C16/'h19'!K16)*100</f>
        <v>1.6154777630999559</v>
      </c>
      <c r="E23" s="872">
        <f>('h19'!D16/'h19'!K16)*100</f>
        <v>2.318637164244826</v>
      </c>
      <c r="F23" s="874">
        <f>'h19'!M16</f>
        <v>1.0489999999999999</v>
      </c>
      <c r="G23" s="869">
        <f>'h19'!K16</f>
        <v>72672</v>
      </c>
    </row>
    <row r="24" spans="1:7" x14ac:dyDescent="0.25">
      <c r="A24" t="s">
        <v>430</v>
      </c>
      <c r="B24" s="64" t="s">
        <v>43</v>
      </c>
      <c r="C24" s="469">
        <f>('h19'!B17/'h19'!K17)*100</f>
        <v>1.4961090528778829</v>
      </c>
      <c r="D24" s="469">
        <f>('h19'!C17/'h19'!K17)*100</f>
        <v>2.3091604181069378</v>
      </c>
      <c r="E24" s="872">
        <f>('h19'!D17/'h19'!K17)*100</f>
        <v>3.8052694709848205</v>
      </c>
      <c r="F24" s="874">
        <f>'h19'!M17</f>
        <v>2.3530000000000002</v>
      </c>
      <c r="G24" s="869">
        <f>'h19'!K17</f>
        <v>169239</v>
      </c>
    </row>
    <row r="25" spans="1:7" x14ac:dyDescent="0.25">
      <c r="A25" t="s">
        <v>312</v>
      </c>
      <c r="B25" s="64" t="s">
        <v>121</v>
      </c>
      <c r="C25" s="469">
        <f>('h19'!B18/'h19'!K18)*100</f>
        <v>0.85838803619553183</v>
      </c>
      <c r="D25" s="469">
        <f>('h19'!C18/'h19'!K18)*100</f>
        <v>2.5147477106258189</v>
      </c>
      <c r="E25" s="872">
        <f>('h19'!D18/'h19'!K18)*100</f>
        <v>3.3731357468213505</v>
      </c>
      <c r="F25" s="874">
        <f>'h19'!M18</f>
        <v>1.2</v>
      </c>
      <c r="G25" s="869">
        <f>'h19'!K18</f>
        <v>294622</v>
      </c>
    </row>
    <row r="26" spans="1:7" x14ac:dyDescent="0.25">
      <c r="A26" t="s">
        <v>289</v>
      </c>
      <c r="B26" s="64" t="s">
        <v>44</v>
      </c>
      <c r="C26" s="469">
        <f>('h19'!B19/'h19'!K19)*100</f>
        <v>0.53965703015139621</v>
      </c>
      <c r="D26" s="469">
        <f>('h19'!C19/'h19'!K19)*100</f>
        <v>2.0773599722409921</v>
      </c>
      <c r="E26" s="872">
        <f>('h19'!D19/'h19'!K19)*100</f>
        <v>2.6170170023923882</v>
      </c>
      <c r="F26" s="874">
        <f>'h19'!M19</f>
        <v>0.89900000000000002</v>
      </c>
      <c r="G26" s="869">
        <f>'h19'!K19</f>
        <v>109514</v>
      </c>
    </row>
    <row r="27" spans="1:7" x14ac:dyDescent="0.25">
      <c r="A27" t="s">
        <v>290</v>
      </c>
      <c r="B27" s="64" t="s">
        <v>45</v>
      </c>
      <c r="C27" s="469">
        <f>('h19'!B20/'h19'!K20)*100</f>
        <v>1.6775668634019247</v>
      </c>
      <c r="D27" s="469">
        <f>('h19'!C20/'h19'!K20)*100</f>
        <v>2.052427287712022</v>
      </c>
      <c r="E27" s="872">
        <f>('h19'!D20/'h19'!K20)*100</f>
        <v>3.7299941511139467</v>
      </c>
      <c r="F27" s="874">
        <f>'h19'!M20</f>
        <v>2.5019999999999998</v>
      </c>
      <c r="G27" s="869">
        <f>'h19'!K20</f>
        <v>37614</v>
      </c>
    </row>
    <row r="28" spans="1:7" x14ac:dyDescent="0.25">
      <c r="A28" t="s">
        <v>291</v>
      </c>
      <c r="B28" s="64" t="s">
        <v>46</v>
      </c>
      <c r="C28" s="469">
        <f>('h19'!B21/'h19'!K21)*100</f>
        <v>0.85067827750232805</v>
      </c>
      <c r="D28" s="469">
        <f>('h19'!C21/'h19'!K21)*100</f>
        <v>1.68373895754159</v>
      </c>
      <c r="E28" s="872">
        <f>('h19'!D21/'h19'!K21)*100</f>
        <v>2.5344172350439185</v>
      </c>
      <c r="F28" s="874">
        <f>'h19'!M21</f>
        <v>1.329</v>
      </c>
      <c r="G28" s="869">
        <f>'h19'!K21</f>
        <v>39733</v>
      </c>
    </row>
    <row r="29" spans="1:7" x14ac:dyDescent="0.25">
      <c r="A29" t="s">
        <v>292</v>
      </c>
      <c r="B29" s="64" t="s">
        <v>47</v>
      </c>
      <c r="C29" s="469">
        <f>('h19'!B22/'h19'!K22)*100</f>
        <v>1.1250349389732599</v>
      </c>
      <c r="D29" s="469">
        <f>('h19'!C22/'h19'!K22)*100</f>
        <v>2.8067641852231437</v>
      </c>
      <c r="E29" s="872">
        <f>('h19'!D22/'h19'!K22)*100</f>
        <v>3.9317991241964036</v>
      </c>
      <c r="F29" s="874">
        <f>'h19'!M22</f>
        <v>2.0430000000000001</v>
      </c>
      <c r="G29" s="869">
        <f>'h19'!K22</f>
        <v>42932</v>
      </c>
    </row>
    <row r="30" spans="1:7" x14ac:dyDescent="0.25">
      <c r="A30" t="s">
        <v>287</v>
      </c>
      <c r="B30" s="64" t="s">
        <v>48</v>
      </c>
      <c r="C30" s="469">
        <f>('h19'!B23/'h19'!K23)*100</f>
        <v>0.52209148289565965</v>
      </c>
      <c r="D30" s="469">
        <f>('h19'!C23/'h19'!K23)*100</f>
        <v>1.831216395231045</v>
      </c>
      <c r="E30" s="872">
        <f>('h19'!D23/'h19'!K23)*100</f>
        <v>2.3533078781267047</v>
      </c>
      <c r="F30" s="874">
        <f>'h19'!M23</f>
        <v>0.86499999999999999</v>
      </c>
      <c r="G30" s="869">
        <f>'h19'!K23</f>
        <v>12833</v>
      </c>
    </row>
    <row r="31" spans="1:7" x14ac:dyDescent="0.25">
      <c r="A31" t="s">
        <v>293</v>
      </c>
      <c r="B31" s="64" t="s">
        <v>49</v>
      </c>
      <c r="C31" s="469">
        <f>('h19'!B24/'h19'!K24)*100</f>
        <v>1.1163080760835673</v>
      </c>
      <c r="D31" s="469">
        <f>('h19'!C24/'h19'!K24)*100</f>
        <v>1.510757717492984</v>
      </c>
      <c r="E31" s="872">
        <f>('h19'!D24/'h19'!K24)*100</f>
        <v>2.6270657935765511</v>
      </c>
      <c r="F31" s="874">
        <f>'h19'!M24</f>
        <v>1.7929999999999999</v>
      </c>
      <c r="G31" s="869">
        <f>'h19'!K24</f>
        <v>64140</v>
      </c>
    </row>
    <row r="32" spans="1:7" x14ac:dyDescent="0.25">
      <c r="A32" t="s">
        <v>310</v>
      </c>
      <c r="B32" s="64" t="s">
        <v>50</v>
      </c>
      <c r="C32" s="469">
        <f>('h19'!B25/'h19'!K25)*100</f>
        <v>0.87048929763911753</v>
      </c>
      <c r="D32" s="469">
        <f>('h19'!C25/'h19'!K25)*100</f>
        <v>1.9128461129733738</v>
      </c>
      <c r="E32" s="872">
        <f>('h19'!D25/'h19'!K25)*100</f>
        <v>2.7833354106124912</v>
      </c>
      <c r="F32" s="874">
        <f>'h19'!M25</f>
        <v>1.4119999999999999</v>
      </c>
      <c r="G32" s="869">
        <f>'h19'!K25</f>
        <v>152443</v>
      </c>
    </row>
    <row r="33" spans="1:11" x14ac:dyDescent="0.25">
      <c r="A33" t="s">
        <v>294</v>
      </c>
      <c r="B33" s="64" t="s">
        <v>51</v>
      </c>
      <c r="C33" s="469">
        <f>('h19'!B26/'h19'!K26)*100</f>
        <v>1.1521390121824535</v>
      </c>
      <c r="D33" s="469">
        <f>('h19'!C26/'h19'!K26)*100</f>
        <v>2.2381716876003401</v>
      </c>
      <c r="E33" s="872">
        <f>('h19'!D26/'h19'!K26)*100</f>
        <v>3.3903106997827934</v>
      </c>
      <c r="F33" s="874">
        <f>'h19'!M26</f>
        <v>1.9930000000000001</v>
      </c>
      <c r="G33" s="869">
        <f>'h19'!K26</f>
        <v>10589</v>
      </c>
    </row>
    <row r="34" spans="1:11" x14ac:dyDescent="0.25">
      <c r="A34" t="s">
        <v>295</v>
      </c>
      <c r="B34" s="64" t="s">
        <v>52</v>
      </c>
      <c r="C34" s="469">
        <f>('h19'!B27/'h19'!K27)*100</f>
        <v>0.56374360535049206</v>
      </c>
      <c r="D34" s="469">
        <f>('h19'!C27/'h19'!K27)*100</f>
        <v>1.6883323913453037</v>
      </c>
      <c r="E34" s="872">
        <f>('h19'!D27/'h19'!K27)*100</f>
        <v>2.2520759966957957</v>
      </c>
      <c r="F34" s="874">
        <f>'h19'!M27</f>
        <v>0.871</v>
      </c>
      <c r="G34" s="869">
        <f>'h19'!K27</f>
        <v>69003</v>
      </c>
    </row>
    <row r="35" spans="1:11" x14ac:dyDescent="0.25">
      <c r="A35" t="s">
        <v>305</v>
      </c>
      <c r="B35" s="64" t="s">
        <v>53</v>
      </c>
      <c r="C35" s="469">
        <f>('h19'!B28/'h19'!K28)*100</f>
        <v>0.89290864414014282</v>
      </c>
      <c r="D35" s="469">
        <f>('h19'!C28/'h19'!K28)*100</f>
        <v>1.1801622002007315</v>
      </c>
      <c r="E35" s="872">
        <f>('h19'!D28/'h19'!K28)*100</f>
        <v>2.0730708443408741</v>
      </c>
      <c r="F35" s="874">
        <f>'h19'!M28</f>
        <v>1.3640000000000001</v>
      </c>
      <c r="G35" s="869">
        <f>'h19'!K28</f>
        <v>86683</v>
      </c>
    </row>
    <row r="36" spans="1:11" x14ac:dyDescent="0.25">
      <c r="A36" t="s">
        <v>296</v>
      </c>
      <c r="B36" s="64" t="s">
        <v>54</v>
      </c>
      <c r="C36" s="469">
        <f>('h19'!B29/'h19'!K29)*100</f>
        <v>1.5882299186694691</v>
      </c>
      <c r="D36" s="469">
        <f>('h19'!C29/'h19'!K29)*100</f>
        <v>2.534953851777392</v>
      </c>
      <c r="E36" s="872">
        <f>('h19'!D29/'h19'!K29)*100</f>
        <v>4.123183770446861</v>
      </c>
      <c r="F36" s="874">
        <f>'h19'!M29</f>
        <v>2.6139999999999999</v>
      </c>
      <c r="G36" s="869">
        <f>'h19'!K29</f>
        <v>54715</v>
      </c>
    </row>
    <row r="37" spans="1:11" x14ac:dyDescent="0.25">
      <c r="A37" t="s">
        <v>297</v>
      </c>
      <c r="B37" s="64" t="s">
        <v>55</v>
      </c>
      <c r="C37" s="469">
        <f>('h19'!B30/'h19'!K30)*100</f>
        <v>1.4943960149439601</v>
      </c>
      <c r="D37" s="469">
        <f>('h19'!C30/'h19'!K30)*100</f>
        <v>3.8988408851422554</v>
      </c>
      <c r="E37" s="872">
        <f>('h19'!D30/'h19'!K30)*100</f>
        <v>5.3932369000862153</v>
      </c>
      <c r="F37" s="874">
        <f>'h19'!M30</f>
        <v>2.4239999999999999</v>
      </c>
      <c r="G37" s="869">
        <f>'h19'!K30</f>
        <v>10439</v>
      </c>
    </row>
    <row r="38" spans="1:11" x14ac:dyDescent="0.25">
      <c r="A38" t="s">
        <v>298</v>
      </c>
      <c r="B38" s="64" t="s">
        <v>56</v>
      </c>
      <c r="C38" s="469">
        <f>('h19'!B31/'h19'!K31)*100</f>
        <v>0.78535027002357949</v>
      </c>
      <c r="D38" s="469">
        <f>('h19'!C31/'h19'!K31)*100</f>
        <v>1.1181258081691641</v>
      </c>
      <c r="E38" s="872">
        <f>('h19'!D31/'h19'!K31)*100</f>
        <v>1.9034760781927438</v>
      </c>
      <c r="F38" s="874">
        <f>'h19'!M31</f>
        <v>1.35</v>
      </c>
      <c r="G38" s="869">
        <f>'h19'!K31</f>
        <v>52588</v>
      </c>
    </row>
    <row r="39" spans="1:11" x14ac:dyDescent="0.25">
      <c r="A39" t="s">
        <v>299</v>
      </c>
      <c r="B39" s="64" t="s">
        <v>57</v>
      </c>
      <c r="C39" s="469">
        <f>('h19'!B32/'h19'!K32)*100</f>
        <v>0.92515973249047023</v>
      </c>
      <c r="D39" s="469">
        <f>('h19'!C32/'h19'!K32)*100</f>
        <v>1.590542208717121</v>
      </c>
      <c r="E39" s="872">
        <f>('h19'!D32/'h19'!K32)*100</f>
        <v>2.5157019412075909</v>
      </c>
      <c r="F39" s="874">
        <f>'h19'!M32</f>
        <v>1.478</v>
      </c>
      <c r="G39" s="869">
        <f>'h19'!K32</f>
        <v>147434</v>
      </c>
    </row>
    <row r="40" spans="1:11" x14ac:dyDescent="0.25">
      <c r="A40" t="s">
        <v>300</v>
      </c>
      <c r="B40" s="64" t="s">
        <v>58</v>
      </c>
      <c r="C40" s="469">
        <f>('h19'!B33/'h19'!K33)*100</f>
        <v>0.78176224340545719</v>
      </c>
      <c r="D40" s="469">
        <f>('h19'!C33/'h19'!K33)*100</f>
        <v>1.4878700761587733</v>
      </c>
      <c r="E40" s="872">
        <f>('h19'!D33/'h19'!K33)*100</f>
        <v>2.2696323195642307</v>
      </c>
      <c r="F40" s="874">
        <f>'h19'!M33</f>
        <v>1.2909999999999999</v>
      </c>
      <c r="G40" s="869">
        <f>'h19'!K33</f>
        <v>39654</v>
      </c>
    </row>
    <row r="41" spans="1:11" x14ac:dyDescent="0.25">
      <c r="A41" t="s">
        <v>306</v>
      </c>
      <c r="B41" s="64" t="s">
        <v>59</v>
      </c>
      <c r="C41" s="469">
        <f>('h19'!B34/'h19'!K34)*100</f>
        <v>1.0876132930513596</v>
      </c>
      <c r="D41" s="469">
        <f>('h19'!C34/'h19'!K34)*100</f>
        <v>2.1636067859632813</v>
      </c>
      <c r="E41" s="872">
        <f>('h19'!D34/'h19'!K34)*100</f>
        <v>3.2512200790146411</v>
      </c>
      <c r="F41" s="874">
        <f>'h19'!M34</f>
        <v>1.6779999999999999</v>
      </c>
      <c r="G41" s="869">
        <f>'h19'!K34</f>
        <v>43030</v>
      </c>
    </row>
    <row r="42" spans="1:11" x14ac:dyDescent="0.25">
      <c r="A42" t="s">
        <v>307</v>
      </c>
      <c r="B42" s="64" t="s">
        <v>60</v>
      </c>
      <c r="C42" s="469">
        <f>('h19'!B35/'h19'!K35)*100</f>
        <v>0.83327001494314012</v>
      </c>
      <c r="D42" s="469">
        <f>('h19'!C35/'h19'!K35)*100</f>
        <v>1.5107767900108906</v>
      </c>
      <c r="E42" s="872">
        <f>('h19'!D35/'h19'!K35)*100</f>
        <v>2.3440468049540311</v>
      </c>
      <c r="F42" s="874">
        <f>'h19'!M35</f>
        <v>1.2130000000000001</v>
      </c>
      <c r="G42" s="869">
        <f>'h19'!K35</f>
        <v>78966</v>
      </c>
    </row>
    <row r="43" spans="1:11" ht="19.5" customHeight="1" thickBot="1" x14ac:dyDescent="0.3">
      <c r="A43" s="41"/>
      <c r="B43" s="41" t="s">
        <v>810</v>
      </c>
      <c r="C43" s="875">
        <f>GETPIVOTDATA("Sum of VisitAlarmInstalled",'h19'!$A$3)/G43*100</f>
        <v>0.89304389847500942</v>
      </c>
      <c r="D43" s="875">
        <f>GETPIVOTDATA("Sum of VisitAdviceOnly",'h19'!$A$3)/G43*100</f>
        <v>1.8808938212597901</v>
      </c>
      <c r="E43" s="876">
        <f>GETPIVOTDATA("Sum of TotalVisits",'h19'!$A$3)/G43*100</f>
        <v>2.7739377197347994</v>
      </c>
      <c r="F43" s="877">
        <f>GETPIVOTDATA("Sum of TotalAlarms",'h19'!$A$3)/G43*100</f>
        <v>1.3866282634148921</v>
      </c>
      <c r="G43" s="870">
        <f>SUM(G11:G42)</f>
        <v>2495622</v>
      </c>
    </row>
    <row r="44" spans="1:11" x14ac:dyDescent="0.25">
      <c r="B44" s="13"/>
      <c r="C44" s="308"/>
      <c r="D44" s="308"/>
      <c r="E44" s="309"/>
      <c r="F44" s="309"/>
      <c r="G44" s="76"/>
    </row>
    <row r="45" spans="1:11" x14ac:dyDescent="0.25">
      <c r="A45" s="493" t="s">
        <v>8</v>
      </c>
      <c r="B45" s="496"/>
      <c r="C45" s="496"/>
      <c r="D45" s="496"/>
      <c r="E45" s="496"/>
      <c r="F45" s="496"/>
      <c r="H45" s="483"/>
      <c r="I45" s="483"/>
      <c r="J45" s="483"/>
      <c r="K45" s="483"/>
    </row>
    <row r="46" spans="1:11" x14ac:dyDescent="0.25">
      <c r="A46" s="829" t="s">
        <v>823</v>
      </c>
      <c r="B46" s="615"/>
      <c r="C46" s="615"/>
      <c r="D46" s="615"/>
      <c r="E46" s="615"/>
      <c r="F46" s="615"/>
      <c r="G46" s="615"/>
      <c r="H46" s="545"/>
      <c r="I46" s="558"/>
      <c r="J46" s="558"/>
      <c r="K46" s="558"/>
    </row>
    <row r="47" spans="1:11" x14ac:dyDescent="0.25">
      <c r="A47" s="772" t="s">
        <v>824</v>
      </c>
      <c r="B47" s="532"/>
      <c r="C47" s="941"/>
      <c r="D47" s="941"/>
      <c r="E47" s="941"/>
      <c r="F47" s="941"/>
      <c r="G47" s="534"/>
      <c r="H47" s="545"/>
      <c r="I47" s="483"/>
      <c r="J47" s="483"/>
      <c r="K47" s="483"/>
    </row>
  </sheetData>
  <sheetProtection algorithmName="SHA-512" hashValue="2DN5+A9Lpi1EV3o5c3LMppIklh6jiUbldGjrOX7CIOc+ZCCRIQwkbrfJ/aPCHEkvYVdNyuAumxuZoRQK6WX29g==" saltValue="XR2QnFWjrklo5aS7fwW1ug==" spinCount="100000" sheet="1" scenarios="1" formatCells="0" formatColumns="0" formatRows="0" sort="0" autoFilter="0" pivotTables="0"/>
  <hyperlinks>
    <hyperlink ref="A2" location="'Table of Contents'!A1" display="Back to Table of Contents"/>
    <hyperlink ref="A46:G46" r:id="rId1" display="https://www.nrscotland.gov.uk/statistics-and-data/statistics/statistics-by-theme/households/household-estimates/2016/list-of-tables"/>
    <hyperlink ref="A47" r:id="rId2"/>
  </hyperlinks>
  <pageMargins left="0.70866141732283472" right="0.70866141732283472" top="0.74803149606299213" bottom="0.74803149606299213" header="0.31496062992125984" footer="0.31496062992125984"/>
  <pageSetup paperSize="9" orientation="portrait" r:id="rId3"/>
  <drawing r:id="rId4"/>
  <extLst>
    <ext xmlns:x14="http://schemas.microsoft.com/office/spreadsheetml/2009/9/main" uri="{A8765BA9-456A-4dab-B4F3-ACF838C121DE}">
      <x14:slicerList>
        <x14:slicer r:id="rId5"/>
      </x14:slicerList>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628</v>
      </c>
      <c r="B1" s="802"/>
      <c r="C1" s="802"/>
    </row>
    <row r="2" spans="1:8" ht="15.75" x14ac:dyDescent="0.25">
      <c r="A2" s="772" t="s">
        <v>578</v>
      </c>
      <c r="B2" s="780"/>
      <c r="C2" s="780"/>
    </row>
    <row r="4" spans="1:8" ht="15.75" x14ac:dyDescent="0.25">
      <c r="A4" s="1087" t="s">
        <v>627</v>
      </c>
      <c r="B4" s="1087"/>
      <c r="C4" s="1087"/>
      <c r="D4" s="1087"/>
      <c r="E4" s="1087"/>
      <c r="F4" s="1087"/>
      <c r="G4" s="1087"/>
      <c r="H4" s="1087"/>
    </row>
    <row r="5" spans="1:8" x14ac:dyDescent="0.25">
      <c r="A5" s="944" t="s">
        <v>798</v>
      </c>
    </row>
    <row r="6" spans="1:8" x14ac:dyDescent="0.25">
      <c r="A6" s="944" t="s">
        <v>741</v>
      </c>
    </row>
  </sheetData>
  <sheetProtection algorithmName="SHA-512" hashValue="OiV6LsZWpaDdK0D0Wdx2g16nWaDFSSR1+F4gnXIvBwmgpGZcTklRp0i4HFm1rgG6b5CMZMqyFhhmsjp0CNUChw==" saltValue="WTQc7nZtYLG//1d+KisAXg==" spinCount="100000" sheet="1" scenarios="1" formatCells="0" formatColumns="0" formatRows="0" sort="0" autoFilter="0"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628</v>
      </c>
      <c r="B1" s="802"/>
      <c r="C1" s="802"/>
    </row>
    <row r="2" spans="1:8" ht="15.75" x14ac:dyDescent="0.25">
      <c r="A2" s="772" t="s">
        <v>578</v>
      </c>
      <c r="B2" s="780"/>
      <c r="C2" s="780"/>
    </row>
    <row r="4" spans="1:8" ht="15.75" x14ac:dyDescent="0.25">
      <c r="A4" s="1087" t="s">
        <v>490</v>
      </c>
      <c r="B4" s="1087"/>
      <c r="C4" s="1087"/>
      <c r="D4" s="1087"/>
      <c r="E4" s="1087"/>
      <c r="F4" s="1087"/>
      <c r="G4" s="1087"/>
      <c r="H4" s="1087"/>
    </row>
    <row r="5" spans="1:8" x14ac:dyDescent="0.25">
      <c r="A5" s="944" t="s">
        <v>798</v>
      </c>
    </row>
    <row r="6" spans="1:8" x14ac:dyDescent="0.25">
      <c r="A6" s="944" t="s">
        <v>742</v>
      </c>
    </row>
  </sheetData>
  <sheetProtection algorithmName="SHA-512" hashValue="x4f2Cv28BQ/JBcEpRpARBYU+iE9Wk50D+IuLf65oyvEtK5fjGuqR/Ssb93G0a+9p7+zAKKXb40lTl7Q895lXXw==" saltValue="ssdSsS0Vau8i6F/qIcj47g=="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802" t="s">
        <v>628</v>
      </c>
      <c r="B1" s="802"/>
      <c r="C1" s="802"/>
    </row>
    <row r="2" spans="1:8" ht="15.75" x14ac:dyDescent="0.25">
      <c r="A2" s="772" t="s">
        <v>578</v>
      </c>
      <c r="B2" s="780"/>
      <c r="C2" s="780"/>
    </row>
    <row r="4" spans="1:8" ht="15.75" x14ac:dyDescent="0.25">
      <c r="A4" s="1087" t="s">
        <v>629</v>
      </c>
      <c r="B4" s="1087"/>
      <c r="C4" s="1087"/>
      <c r="D4" s="1087"/>
      <c r="E4" s="1087"/>
      <c r="F4" s="1087"/>
      <c r="G4" s="1087"/>
      <c r="H4" s="1087"/>
    </row>
    <row r="5" spans="1:8" x14ac:dyDescent="0.25">
      <c r="A5" s="944" t="s">
        <v>798</v>
      </c>
    </row>
    <row r="6" spans="1:8" x14ac:dyDescent="0.25">
      <c r="A6" s="944" t="s">
        <v>744</v>
      </c>
    </row>
  </sheetData>
  <sheetProtection algorithmName="SHA-512" hashValue="6P8a7H81Pp5hvvV4+U2ZTECsnEM/lXEIyROFThazdZCqxsJuKuOopeSAh5TaKKmx/BL7JX9BFStb3crHjGy4Rg==" saltValue="i0xjLAD1kDWhS2+2JH8Zeg=="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cols>
    <col min="1" max="16384" width="9.140625" style="366"/>
  </cols>
  <sheetData>
    <row r="1" spans="1:8" ht="15.75" x14ac:dyDescent="0.25">
      <c r="A1" s="802" t="s">
        <v>628</v>
      </c>
      <c r="B1" s="802"/>
      <c r="C1" s="802"/>
    </row>
    <row r="2" spans="1:8" ht="15.75" x14ac:dyDescent="0.25">
      <c r="A2" s="1010" t="s">
        <v>578</v>
      </c>
      <c r="B2" s="1021"/>
      <c r="C2" s="1021"/>
    </row>
    <row r="4" spans="1:8" ht="15.75" x14ac:dyDescent="0.25">
      <c r="A4" s="1094" t="s">
        <v>864</v>
      </c>
      <c r="B4" s="1094"/>
      <c r="C4" s="1094"/>
      <c r="D4" s="1094"/>
      <c r="E4" s="1094"/>
      <c r="F4" s="1094"/>
      <c r="G4" s="1094"/>
      <c r="H4" s="1094"/>
    </row>
    <row r="5" spans="1:8" x14ac:dyDescent="0.25">
      <c r="A5" s="1026" t="s">
        <v>798</v>
      </c>
    </row>
    <row r="6" spans="1:8" x14ac:dyDescent="0.25">
      <c r="A6" s="1026" t="s">
        <v>1044</v>
      </c>
    </row>
  </sheetData>
  <sheetProtection algorithmName="SHA-512" hashValue="9p4YK4iPwNZKdKXOTrt1b80rygxzNUnezXmxREQJdS9Z9P9HjKKbh/QEL4oXGVduus6FVQ7kPPynodiVytiTzA==" saltValue="qkc39l9wXo9nJTUqta9Hrw=="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7"/>
  <sheetViews>
    <sheetView showGridLines="0" workbookViewId="0"/>
  </sheetViews>
  <sheetFormatPr defaultRowHeight="15" x14ac:dyDescent="0.25"/>
  <cols>
    <col min="1" max="16384" width="9.140625" style="366"/>
  </cols>
  <sheetData>
    <row r="1" spans="1:8" ht="15.75" x14ac:dyDescent="0.25">
      <c r="A1" s="802" t="s">
        <v>628</v>
      </c>
      <c r="B1" s="802"/>
      <c r="C1" s="802"/>
    </row>
    <row r="2" spans="1:8" ht="15.75" x14ac:dyDescent="0.25">
      <c r="A2" s="1010" t="s">
        <v>578</v>
      </c>
      <c r="B2" s="1021"/>
      <c r="C2" s="1021"/>
    </row>
    <row r="4" spans="1:8" ht="15.75" customHeight="1" x14ac:dyDescent="0.25">
      <c r="A4" s="658" t="s">
        <v>1045</v>
      </c>
      <c r="B4" s="658"/>
      <c r="C4" s="658"/>
      <c r="D4" s="658"/>
      <c r="E4" s="658"/>
      <c r="F4" s="658"/>
      <c r="G4" s="658"/>
      <c r="H4" s="658"/>
    </row>
    <row r="5" spans="1:8" x14ac:dyDescent="0.25">
      <c r="A5" s="1026" t="s">
        <v>798</v>
      </c>
    </row>
    <row r="6" spans="1:8" x14ac:dyDescent="0.25">
      <c r="A6" s="1026" t="s">
        <v>1047</v>
      </c>
    </row>
    <row r="7" spans="1:8" x14ac:dyDescent="0.25">
      <c r="A7" s="1026"/>
    </row>
  </sheetData>
  <sheetProtection algorithmName="SHA-512" hashValue="xIl56VeLwNj+w5+yu8ROiEzqCaQgqrSRtkxyIw6Z7Lk9X1nvCeirsOsTlIByKv1St0ZxdcFCPwakoHpkPDHtPw==" saltValue="j2HOx7mhtu0Le2PzIhgjHQ=="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sheetViews>
  <sheetFormatPr defaultRowHeight="15" x14ac:dyDescent="0.25"/>
  <cols>
    <col min="1" max="16384" width="9.140625" style="366"/>
  </cols>
  <sheetData>
    <row r="1" spans="1:8" ht="15.75" x14ac:dyDescent="0.25">
      <c r="A1" s="802" t="s">
        <v>628</v>
      </c>
      <c r="B1" s="802"/>
      <c r="C1" s="802"/>
    </row>
    <row r="2" spans="1:8" ht="15.75" x14ac:dyDescent="0.25">
      <c r="A2" s="1010" t="s">
        <v>578</v>
      </c>
      <c r="B2" s="1021"/>
      <c r="C2" s="1021"/>
    </row>
    <row r="4" spans="1:8" ht="15.75" x14ac:dyDescent="0.25">
      <c r="A4" s="658" t="s">
        <v>1038</v>
      </c>
      <c r="B4" s="658"/>
      <c r="C4" s="658"/>
      <c r="D4" s="658"/>
      <c r="E4" s="658"/>
      <c r="F4" s="658"/>
      <c r="G4" s="658"/>
      <c r="H4" s="658"/>
    </row>
    <row r="5" spans="1:8" x14ac:dyDescent="0.25">
      <c r="A5" s="1026" t="s">
        <v>798</v>
      </c>
    </row>
    <row r="6" spans="1:8" x14ac:dyDescent="0.25">
      <c r="A6" s="1026" t="s">
        <v>1046</v>
      </c>
    </row>
  </sheetData>
  <sheetProtection algorithmName="SHA-512" hashValue="b4FEvmXqkNSTNHy+fjnJWh1HC/vciOdhs/n9MM9k4QXMHPTDQg88ttb3EM1aGh/DLdWOTdHK9WabOAIJ5JdHGg==" saltValue="ZJ5u0m/4XiRaVo8cONcnHg=="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sheetViews>
  <sheetFormatPr defaultRowHeight="15" x14ac:dyDescent="0.25"/>
  <cols>
    <col min="1" max="16384" width="9.140625" style="366"/>
  </cols>
  <sheetData>
    <row r="1" spans="1:8" ht="15.75" x14ac:dyDescent="0.25">
      <c r="A1" s="802" t="s">
        <v>628</v>
      </c>
      <c r="B1" s="802"/>
      <c r="C1" s="802"/>
    </row>
    <row r="2" spans="1:8" ht="15.75" x14ac:dyDescent="0.25">
      <c r="A2" s="1010" t="s">
        <v>578</v>
      </c>
      <c r="B2" s="1021"/>
      <c r="C2" s="1021"/>
    </row>
    <row r="4" spans="1:8" ht="15.75" customHeight="1" x14ac:dyDescent="0.25">
      <c r="A4" s="658" t="s">
        <v>1038</v>
      </c>
      <c r="B4" s="658"/>
      <c r="C4" s="658"/>
      <c r="D4" s="658"/>
      <c r="E4" s="658"/>
      <c r="F4" s="658"/>
      <c r="G4" s="658"/>
      <c r="H4" s="658"/>
    </row>
    <row r="5" spans="1:8" x14ac:dyDescent="0.25">
      <c r="A5" s="1026" t="s">
        <v>798</v>
      </c>
    </row>
    <row r="6" spans="1:8" x14ac:dyDescent="0.25">
      <c r="A6" s="1026" t="s">
        <v>1048</v>
      </c>
    </row>
  </sheetData>
  <sheetProtection algorithmName="SHA-512" hashValue="+PWnBiE/XxCL5gfRDeTSlE61FejFSgVM+/Ie6oxtwP5apkX8rzqDtjCvRNyYRjCfSrW26BjWLgX6bHv6FV72lw==" saltValue="IyhN4x24tdUVRJI8TpM/xg=="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sheetViews>
  <sheetFormatPr defaultRowHeight="15" x14ac:dyDescent="0.25"/>
  <cols>
    <col min="1" max="16384" width="9.140625" style="366"/>
  </cols>
  <sheetData>
    <row r="1" spans="1:8" ht="15.75" x14ac:dyDescent="0.25">
      <c r="A1" s="802" t="s">
        <v>628</v>
      </c>
      <c r="B1" s="802"/>
      <c r="C1" s="802"/>
    </row>
    <row r="2" spans="1:8" ht="15.75" x14ac:dyDescent="0.25">
      <c r="A2" s="1010" t="s">
        <v>578</v>
      </c>
      <c r="B2" s="1021"/>
      <c r="C2" s="1021"/>
    </row>
    <row r="4" spans="1:8" ht="15.75" customHeight="1" x14ac:dyDescent="0.25">
      <c r="A4" s="658" t="s">
        <v>1040</v>
      </c>
      <c r="B4" s="658"/>
      <c r="C4" s="658"/>
      <c r="D4" s="658"/>
      <c r="E4" s="658"/>
      <c r="F4" s="658"/>
      <c r="G4" s="658"/>
      <c r="H4" s="658"/>
    </row>
    <row r="5" spans="1:8" x14ac:dyDescent="0.25">
      <c r="A5" s="1026" t="s">
        <v>798</v>
      </c>
    </row>
    <row r="6" spans="1:8" x14ac:dyDescent="0.25">
      <c r="A6" s="1026" t="s">
        <v>1055</v>
      </c>
    </row>
  </sheetData>
  <sheetProtection algorithmName="SHA-512" hashValue="/vhchPLarwk+lL0FG4mO6HHm0Wn8omg2CWTHL+m4Eh9q53M8yvrlRyz1XVyWh2L+oEBaPXd5KKNlqP7OtNMr7A==" saltValue="J/S6417rr5CqwgB6TQ5mg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0" ma:contentTypeDescription="" ma:contentTypeScope="" ma:versionID="c6e4704b09f64b7ce45b4f8301f5c7b6">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5081fa8bb0d0f42b20b415282392dcec"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1:Effective_x0020_Date" minOccurs="0"/>
                <xsd:element ref="ns1:Review_x0020_Period" minOccurs="0"/>
                <xsd:element ref="ns3:ProperReviewDate"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1:External" minOccurs="0"/>
                <xsd:element ref="ns1:_dlc_DocId" minOccurs="0"/>
                <xsd:element ref="ns1:_dlc_DocIdPersistId" minOccurs="0"/>
                <xsd:element ref="ns1:TaxKeywordTaxHTField" minOccurs="0"/>
                <xsd:element ref="ns1:TaxCatchAll"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3:RelatedWebsitePage" minOccurs="0"/>
                <xsd:element ref="ns3:InitialPublishDate" minOccurs="0"/>
                <xsd:element ref="ns3:ActivePublish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dexed="true"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orm"/>
          <xsd:enumeration value="Framework"/>
          <xsd:enumeration value="Frequently Asked Questions (FAQs)"/>
          <xsd:enumeration value="Frontline Update (FU)"/>
          <xsd:enumeration value="General Information Note (GIN)"/>
          <xsd:enumeration value="Generic Risk Assessment (GRA)"/>
          <xsd:enumeration value="Guidance"/>
          <xsd:enumeration value="Leaflet / Poster"/>
          <xsd:enumeration value="Magazine / Newsletter"/>
          <xsd:enumeration value="Management Arrangement (MA)"/>
          <xsd:enumeration value="Memorandum of Understanding (MOU)"/>
          <xsd:enumeration value="National Training Standard (NTS)"/>
          <xsd:enumeration value="Operational Aide Memoire (OAM)"/>
          <xsd:enumeration value="Periodic Inspection and Testing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xsd:enumeration value="Risk 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 (UI)"/>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dexed="true" ma:internalName="Version_x0020_Number" ma:readOnly="false" ma:percentage="FALSE">
      <xsd:simpleType>
        <xsd:restriction base="dms:Number"/>
      </xsd:simpleType>
    </xsd:element>
    <xsd:element name="Effective_x0020_Date" ma:index="11" nillable="true" ma:displayName="Effective Date" ma:format="DateOnly" ma:indexed="true" ma:internalName="Effective_x0020_Date">
      <xsd:simpleType>
        <xsd:restriction base="dms:DateTime"/>
      </xsd:simpleType>
    </xsd:element>
    <xsd:element name="Review_x0020_Period" ma:index="12"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5" nillable="true" ma:displayName="Intranet content" ma:default="0" ma:indexed="true" ma:internalName="Intranet_x0020_content">
      <xsd:simpleType>
        <xsd:restriction base="dms:Boolean"/>
      </xsd:simpleType>
    </xsd:element>
    <xsd:element name="Related_x0020_Intranet_x0020_page" ma:index="16"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7" nillable="true" ma:displayName="Published to website" ma:default="0" ma:internalName="Published_x0020_to_x0020_website" ma:readOnly="false">
      <xsd:simpleType>
        <xsd:restriction base="dms:Boolean"/>
      </xsd:simpleType>
    </xsd:element>
    <xsd:element name="Publication_x0020_Scheme_x0020_Class" ma:index="18"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19"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1"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3" nillable="true" ma:displayName="Document ready to progress" ma:default="0" ma:indexed="true" ma:internalName="DocumentReadyForApproval" ma:readOnly="false">
      <xsd:simpleType>
        <xsd:restriction base="dms:Boolean"/>
      </xsd:simpleType>
    </xsd:element>
    <xsd:element name="Delete" ma:index="24" nillable="true" ma:displayName="Withdraw" ma:default="0" ma:internalName="Delete" ma:readOnly="false">
      <xsd:simpleType>
        <xsd:restriction base="dms:Boolean"/>
      </xsd:simpleType>
    </xsd:element>
    <xsd:element name="External" ma:index="25" nillable="true" ma:displayName="External" ma:default="0" ma:hidden="true" ma:indexed="true" ma:internalName="External" ma:readOnly="false">
      <xsd:simpleType>
        <xsd:restriction base="dms:Boolean"/>
      </xsd:simpleType>
    </xsd:element>
    <xsd:element name="_dlc_DocId" ma:index="26"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7" nillable="true" ma:displayName="Persist ID" ma:description="Keep ID on add." ma:hidden="true" ma:internalName="_dlc_DocIdPersistId" ma:readOnly="false">
      <xsd:simpleType>
        <xsd:restriction base="dms:Boolean"/>
      </xsd:simpleType>
    </xsd:element>
    <xsd:element name="TaxKeywordTaxHTField" ma:index="28"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4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1" nillable="true" ma:displayName="Shared With Details" ma:hidden="true" ma:internalName="SharedWithDetails" ma:readOnly="true">
      <xsd:simpleType>
        <xsd:restriction base="dms:Note"/>
      </xsd:simpleType>
    </xsd:element>
    <xsd:element name="Approver" ma:index="42"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4"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ProperReviewDate" ma:index="14" nillable="true" ma:displayName="Proper Review Date" ma:format="DateOnly" ma:indexed="true" ma:internalName="ProperReviewDate" ma:readOnly="false">
      <xsd:simpleType>
        <xsd:restriction base="dms:DateTime"/>
      </xsd:simpleType>
    </xsd:element>
    <xsd:element name="lcf76f155ced4ddcb4097134ff3c332f" ma:index="30" nillable="true" ma:displayName="Image Tags_0" ma:hidden="true" ma:internalName="lcf76f155ced4ddcb4097134ff3c332f" ma:readOnly="false">
      <xsd:simpleType>
        <xsd:restriction base="dms:Note"/>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xPDF" ma:index="39" nillable="true" ma:displayName="xPDF" ma:default="0" ma:format="Dropdown" ma:hidden="true" ma:internalName="xPDF" ma:readOnly="false">
      <xsd:simpleType>
        <xsd:restriction base="dms:Boolean"/>
      </xsd:simpleType>
    </xsd:element>
    <xsd:element name="RelatedWebsitePage" ma:index="45" nillable="true" ma:displayName="Related Website Page" ma:format="Hyperlink" ma:internalName="RelatedWebsitePage">
      <xsd:complexType>
        <xsd:complexContent>
          <xsd:extension base="dms:URL">
            <xsd:sequence>
              <xsd:element name="Url" type="dms:ValidUrl" minOccurs="0" nillable="true"/>
              <xsd:element name="Description" type="xsd:string" nillable="true"/>
            </xsd:sequence>
          </xsd:extension>
        </xsd:complexContent>
      </xsd:complexType>
    </xsd:element>
    <xsd:element name="InitialPublishDate" ma:index="46" nillable="true" ma:displayName="Initial Publish Date" ma:default="[today]" ma:format="DateOnly" ma:internalName="InitialPublishDate">
      <xsd:simpleType>
        <xsd:restriction base="dms:DateTime"/>
      </xsd:simpleType>
    </xsd:element>
    <xsd:element name="ActivePublishDate" ma:index="47" nillable="true" ma:displayName="Active Publish Date" ma:format="DateOnly" ma:internalName="Activ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 xsi:nil="true"/>
    <Effective_x0020_Date xmlns="361c438b-452b-4051-9cda-3a6b8527f04f">2023-09-18T23:00:00+00:00</Effective_x0020_Date>
    <Abbreviation_x0028_s_x0029_ xmlns="361c438b-452b-4051-9cda-3a6b8527f04f">
      <Value>132</Value>
    </Abbreviation_x0028_s_x0029_>
    <TaxCatchAll xmlns="361c438b-452b-4051-9cda-3a6b8527f04f">
      <Value>104</Value>
      <Value>2077</Value>
    </TaxCatchAll>
    <External xmlns="361c438b-452b-4051-9cda-3a6b8527f04f">true</External>
    <Publication_x0020_Scheme_x0020_Class xmlns="361c438b-452b-4051-9cda-3a6b8527f04f">How we are performing</Publication_x0020_Scheme_x0020_Class>
    <Security_x0020_Classification xmlns="361c438b-452b-4051-9cda-3a6b8527f04f">Official</Security_x0020_Classification>
    <Doc_x0020_Type xmlns="361c438b-452b-4051-9cda-3a6b8527f04f">Report</Doc_x0020_Type>
    <TaxKeywordTaxHTField xmlns="361c438b-452b-4051-9cda-3a6b8527f04f">
      <Terms xmlns="http://schemas.microsoft.com/office/infopath/2007/PartnerControls">
        <TermInfo xmlns="http://schemas.microsoft.com/office/infopath/2007/PartnerControls">
          <TermName xmlns="http://schemas.microsoft.com/office/infopath/2007/PartnerControls">Statisics</TermName>
          <TermId xmlns="http://schemas.microsoft.com/office/infopath/2007/PartnerControls">2e277403-9ee0-4936-8457-6a12c909d692</TermId>
        </TermInfo>
      </Terms>
    </TaxKeywordTaxHTField>
    <Approver xmlns="361c438b-452b-4051-9cda-3a6b8527f04f">
      <UserInfo>
        <DisplayName/>
        <AccountId xsi:nil="true"/>
        <AccountType/>
      </UserInfo>
    </Approver>
    <Review_x0020_Period xmlns="361c438b-452b-4051-9cda-3a6b8527f04f">3 years</Review_x0020_Period>
    <Sub_x0020_Class_x0020_Heading xmlns="361c438b-452b-4051-9cda-3a6b8527f04f" xsi:nil="true"/>
    <Document_x0020_Status xmlns="361c438b-452b-4051-9cda-3a6b8527f04f">Live</Document_x0020_Status>
    <lcf76f155ced4ddcb4097134ff3c332f xmlns="858ae7c7-9454-45c7-a50c-4c9144226ea3" xsi:nil="true"/>
    <Summary xmlns="361c438b-452b-4051-9cda-3a6b8527f04f" xsi:nil="true"/>
    <_dlc_DocId xmlns="361c438b-452b-4051-9cda-3a6b8527f04f">CORPDL-747745404-490</_dlc_DocId>
    <_dlc_DocIdUrl xmlns="361c438b-452b-4051-9cda-3a6b8527f04f">
      <Url>https://firescotland.sharepoint.com/sites/SFRSDocumentLibrary/_layouts/15/DocIdRedir.aspx?ID=CORPDL-747745404-490</Url>
      <Description>CORPDL-747745404-490</Description>
    </_dlc_DocIdUrl>
    <Related_x0020_PDF xmlns="361c438b-452b-4051-9cda-3a6b8527f04f">
      <Url xsi:nil="true"/>
      <Description xsi:nil="true"/>
    </Related_x0020_PDF>
    <Published_x0020_to_x0020_website xmlns="361c438b-452b-4051-9cda-3a6b8527f04f">false</Published_x0020_to_x0020_website>
    <_dlc_DocIdPersistId xmlns="361c438b-452b-4051-9cda-3a6b8527f04f" xsi:nil="true"/>
    <TaxCatchAllLabel xmlns="361c438b-452b-4051-9cda-3a6b8527f04f" xsi:nil="true"/>
    <DocumentReadyForApproval xmlns="361c438b-452b-4051-9cda-3a6b8527f04f">false</DocumentReadyForApproval>
    <Intranet_x0020_content xmlns="361c438b-452b-4051-9cda-3a6b8527f04f">true</Intranet_x0020_content>
    <Related_x0020_Intranet_x0020_page xmlns="361c438b-452b-4051-9cda-3a6b8527f04f">
      <Url xsi:nil="true"/>
      <Description xsi:nil="true"/>
    </Related_x0020_Intranet_x0020_page>
    <Delete xmlns="361c438b-452b-4051-9cda-3a6b8527f04f">false</Delete>
    <xPDF xmlns="858ae7c7-9454-45c7-a50c-4c9144226ea3">false</xPDF>
    <ProperReviewDate xmlns="858ae7c7-9454-45c7-a50c-4c9144226ea3">2026-09-18T23:00:00+00:00</ProperReviewDate>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ActivePublishDate xmlns="858ae7c7-9454-45c7-a50c-4c9144226ea3">2023-09-18T23:00:00+00:00</ActivePublishDate>
    <RelatedWebsitePage xmlns="858ae7c7-9454-45c7-a50c-4c9144226ea3">
      <Url xsi:nil="true"/>
      <Description xsi:nil="true"/>
    </RelatedWebsitePage>
    <InitialPublishDate xmlns="858ae7c7-9454-45c7-a50c-4c9144226ea3">2023-09-18T23:00:00+00:00</InitialPublishDate>
  </documentManagement>
</p:properties>
</file>

<file path=customXml/itemProps1.xml><?xml version="1.0" encoding="utf-8"?>
<ds:datastoreItem xmlns:ds="http://schemas.openxmlformats.org/officeDocument/2006/customXml" ds:itemID="{0960532D-3FC8-43EB-A526-2DA66D5F2945}"/>
</file>

<file path=customXml/itemProps2.xml><?xml version="1.0" encoding="utf-8"?>
<ds:datastoreItem xmlns:ds="http://schemas.openxmlformats.org/officeDocument/2006/customXml" ds:itemID="{CAA5C22A-28D3-4D69-B48E-A843D0AA0A6C}"/>
</file>

<file path=customXml/itemProps3.xml><?xml version="1.0" encoding="utf-8"?>
<ds:datastoreItem xmlns:ds="http://schemas.openxmlformats.org/officeDocument/2006/customXml" ds:itemID="{959C12C8-768D-4D55-8E95-33FB9ECAD9C0}"/>
</file>

<file path=customXml/itemProps4.xml><?xml version="1.0" encoding="utf-8"?>
<ds:datastoreItem xmlns:ds="http://schemas.openxmlformats.org/officeDocument/2006/customXml" ds:itemID="{80B599AA-5F21-4FC2-80CC-C1B0C1CBD4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172</vt:i4>
      </vt:variant>
      <vt:variant>
        <vt:lpstr>Named Ranges</vt:lpstr>
      </vt:variant>
      <vt:variant>
        <vt:i4>58</vt:i4>
      </vt:variant>
    </vt:vector>
  </HeadingPairs>
  <TitlesOfParts>
    <vt:vector size="230" baseType="lpstr">
      <vt:lpstr>Information</vt:lpstr>
      <vt:lpstr>Table of Contents</vt:lpstr>
      <vt:lpstr>Structure</vt:lpstr>
      <vt:lpstr>Sheet7</vt:lpstr>
      <vt:lpstr>yrslicer</vt:lpstr>
      <vt:lpstr>Crewing Model</vt:lpstr>
      <vt:lpstr>Crewing Model - Area</vt:lpstr>
      <vt:lpstr>h13</vt:lpstr>
      <vt:lpstr>Primary Crewing</vt:lpstr>
      <vt:lpstr>Primary Crewing - Area</vt:lpstr>
      <vt:lpstr>Crewing Level</vt:lpstr>
      <vt:lpstr>Capabilities</vt:lpstr>
      <vt:lpstr>Chart - Station Type</vt:lpstr>
      <vt:lpstr>Chart - Area</vt:lpstr>
      <vt:lpstr>Chart - Map</vt:lpstr>
      <vt:lpstr>Vehicles</vt:lpstr>
      <vt:lpstr>h14</vt:lpstr>
      <vt:lpstr>h14a</vt:lpstr>
      <vt:lpstr>Appliances LA</vt:lpstr>
      <vt:lpstr>Staffing</vt:lpstr>
      <vt:lpstr>DutySystem</vt:lpstr>
      <vt:lpstr>DutySytem LA</vt:lpstr>
      <vt:lpstr>Sheet8</vt:lpstr>
      <vt:lpstr>Department</vt:lpstr>
      <vt:lpstr>hdep</vt:lpstr>
      <vt:lpstr>Geographic Structure</vt:lpstr>
      <vt:lpstr>h3</vt:lpstr>
      <vt:lpstr>Staff - Small Area</vt:lpstr>
      <vt:lpstr>Role</vt:lpstr>
      <vt:lpstr>Role DutySystem</vt:lpstr>
      <vt:lpstr>hduty</vt:lpstr>
      <vt:lpstr>Role - Area</vt:lpstr>
      <vt:lpstr>h4</vt:lpstr>
      <vt:lpstr>h4b</vt:lpstr>
      <vt:lpstr>WT Role - Area</vt:lpstr>
      <vt:lpstr>RDS Role - Area</vt:lpstr>
      <vt:lpstr>C&amp;S Role - Area</vt:lpstr>
      <vt:lpstr>Vol Role - Area</vt:lpstr>
      <vt:lpstr>h2</vt:lpstr>
      <vt:lpstr>h4cde</vt:lpstr>
      <vt:lpstr>WT FTE Role - Area</vt:lpstr>
      <vt:lpstr>h5a</vt:lpstr>
      <vt:lpstr>RDS FTE Role - Area</vt:lpstr>
      <vt:lpstr>C&amp;S FTE Role - Area</vt:lpstr>
      <vt:lpstr>Gender Timeseries</vt:lpstr>
      <vt:lpstr>Gender</vt:lpstr>
      <vt:lpstr>h5b</vt:lpstr>
      <vt:lpstr>h5cd</vt:lpstr>
      <vt:lpstr>h7</vt:lpstr>
      <vt:lpstr>h8</vt:lpstr>
      <vt:lpstr>Gender and Role</vt:lpstr>
      <vt:lpstr>FTE Gender and Role</vt:lpstr>
      <vt:lpstr>h9</vt:lpstr>
      <vt:lpstr>Age</vt:lpstr>
      <vt:lpstr>h10</vt:lpstr>
      <vt:lpstr>Service Length</vt:lpstr>
      <vt:lpstr>h10c</vt:lpstr>
      <vt:lpstr>Ethnicity</vt:lpstr>
      <vt:lpstr>h11</vt:lpstr>
      <vt:lpstr>Disability</vt:lpstr>
      <vt:lpstr>Entrants - Demographics</vt:lpstr>
      <vt:lpstr>hentrant</vt:lpstr>
      <vt:lpstr>Leavers</vt:lpstr>
      <vt:lpstr>hleavers</vt:lpstr>
      <vt:lpstr>Chart Headcount</vt:lpstr>
      <vt:lpstr>Chart FTE</vt:lpstr>
      <vt:lpstr>Chart Gender</vt:lpstr>
      <vt:lpstr>Chart Age</vt:lpstr>
      <vt:lpstr>Chart ServiceLength</vt:lpstr>
      <vt:lpstr>Attacks</vt:lpstr>
      <vt:lpstr>h15</vt:lpstr>
      <vt:lpstr>Attacks - Area</vt:lpstr>
      <vt:lpstr>h16</vt:lpstr>
      <vt:lpstr>Chart - Attacks</vt:lpstr>
      <vt:lpstr>Chart - Injuries</vt:lpstr>
      <vt:lpstr>Chart - AttacksMap</vt:lpstr>
      <vt:lpstr>HFSVs</vt:lpstr>
      <vt:lpstr>Distinct Properties</vt:lpstr>
      <vt:lpstr>Distinct Propert. Popul.</vt:lpstr>
      <vt:lpstr>Residents</vt:lpstr>
      <vt:lpstr>Tenure</vt:lpstr>
      <vt:lpstr>htenure</vt:lpstr>
      <vt:lpstr>SIMD-Visits</vt:lpstr>
      <vt:lpstr>SIMD-Alarms</vt:lpstr>
      <vt:lpstr>SIMD-%Alarm</vt:lpstr>
      <vt:lpstr>hSIMD-Alarms</vt:lpstr>
      <vt:lpstr>Rurality</vt:lpstr>
      <vt:lpstr>HFSVs LA</vt:lpstr>
      <vt:lpstr>Outcome LA</vt:lpstr>
      <vt:lpstr>h19</vt:lpstr>
      <vt:lpstr>Rate LA</vt:lpstr>
      <vt:lpstr>Chart HFSVs</vt:lpstr>
      <vt:lpstr>Chart Alarms</vt:lpstr>
      <vt:lpstr>Chart Residents</vt:lpstr>
      <vt:lpstr>Chart SIMD</vt:lpstr>
      <vt:lpstr>Chart SIMD Alarms</vt:lpstr>
      <vt:lpstr>Chart SIMD AlarmRate</vt:lpstr>
      <vt:lpstr>Chart SIMD OwnerOcc</vt:lpstr>
      <vt:lpstr>Chart SIMD OwnerYears</vt:lpstr>
      <vt:lpstr>Chart Rurality</vt:lpstr>
      <vt:lpstr>Chart LA</vt:lpstr>
      <vt:lpstr>Chart Map</vt:lpstr>
      <vt:lpstr>Chart Alarms Map</vt:lpstr>
      <vt:lpstr>Chart %Install</vt:lpstr>
      <vt:lpstr>Workflows</vt:lpstr>
      <vt:lpstr>Audits</vt:lpstr>
      <vt:lpstr>Audits LA</vt:lpstr>
      <vt:lpstr>h20a</vt:lpstr>
      <vt:lpstr>Audits Outcome</vt:lpstr>
      <vt:lpstr>h21</vt:lpstr>
      <vt:lpstr>Audits Outcome LA</vt:lpstr>
      <vt:lpstr>h22</vt:lpstr>
      <vt:lpstr>Notices</vt:lpstr>
      <vt:lpstr>Risk</vt:lpstr>
      <vt:lpstr>h23</vt:lpstr>
      <vt:lpstr>Chart Workflows</vt:lpstr>
      <vt:lpstr>Chart Audits</vt:lpstr>
      <vt:lpstr>Chart Audit Share</vt:lpstr>
      <vt:lpstr>TRS</vt:lpstr>
      <vt:lpstr>T1</vt:lpstr>
      <vt:lpstr>Tduty</vt:lpstr>
      <vt:lpstr>T2</vt:lpstr>
      <vt:lpstr>T2a</vt:lpstr>
      <vt:lpstr>T2b</vt:lpstr>
      <vt:lpstr>T2U</vt:lpstr>
      <vt:lpstr>csetMth</vt:lpstr>
      <vt:lpstr>T3</vt:lpstr>
      <vt:lpstr>T4a</vt:lpstr>
      <vt:lpstr>T4b</vt:lpstr>
      <vt:lpstr>T4c</vt:lpstr>
      <vt:lpstr>T4d</vt:lpstr>
      <vt:lpstr>T4e</vt:lpstr>
      <vt:lpstr>T5a</vt:lpstr>
      <vt:lpstr>T5b</vt:lpstr>
      <vt:lpstr>T5c</vt:lpstr>
      <vt:lpstr>T5d</vt:lpstr>
      <vt:lpstr>T6</vt:lpstr>
      <vt:lpstr>T7</vt:lpstr>
      <vt:lpstr>T8</vt:lpstr>
      <vt:lpstr>T9</vt:lpstr>
      <vt:lpstr>T10</vt:lpstr>
      <vt:lpstr>T10c</vt:lpstr>
      <vt:lpstr>Tleave</vt:lpstr>
      <vt:lpstr>Tentrant</vt:lpstr>
      <vt:lpstr>T11</vt:lpstr>
      <vt:lpstr>T10cc</vt:lpstr>
      <vt:lpstr>T12</vt:lpstr>
      <vt:lpstr>T13</vt:lpstr>
      <vt:lpstr>T13cm</vt:lpstr>
      <vt:lpstr>T15i</vt:lpstr>
      <vt:lpstr>null</vt:lpstr>
      <vt:lpstr>T14</vt:lpstr>
      <vt:lpstr>T14a</vt:lpstr>
      <vt:lpstr>T14ap</vt:lpstr>
      <vt:lpstr>T15</vt:lpstr>
      <vt:lpstr>T16</vt:lpstr>
      <vt:lpstr>T17</vt:lpstr>
      <vt:lpstr>T17ap</vt:lpstr>
      <vt:lpstr>T17dv</vt:lpstr>
      <vt:lpstr>T19dz</vt:lpstr>
      <vt:lpstr>T20d</vt:lpstr>
      <vt:lpstr>T21n</vt:lpstr>
      <vt:lpstr>T19</vt:lpstr>
      <vt:lpstr>T19c</vt:lpstr>
      <vt:lpstr>T19c2</vt:lpstr>
      <vt:lpstr>T20</vt:lpstr>
      <vt:lpstr>T21</vt:lpstr>
      <vt:lpstr>T21a</vt:lpstr>
      <vt:lpstr>T22</vt:lpstr>
      <vt:lpstr>T22c</vt:lpstr>
      <vt:lpstr>T23</vt:lpstr>
      <vt:lpstr>T23c</vt:lpstr>
      <vt:lpstr>'Geographic Structure'!Print_Area</vt:lpstr>
      <vt:lpstr>Information!Print_Area</vt:lpstr>
      <vt:lpstr>'Rate LA'!Print_Area</vt:lpstr>
      <vt:lpstr>Staffing!Print_Area</vt:lpstr>
      <vt:lpstr>csetMth!Print_Titles</vt:lpstr>
      <vt:lpstr>null!Print_Titles</vt:lpstr>
      <vt:lpstr>'T1'!Print_Titles</vt:lpstr>
      <vt:lpstr>'T10'!Print_Titles</vt:lpstr>
      <vt:lpstr>T10c!Print_Titles</vt:lpstr>
      <vt:lpstr>T10cc!Print_Titles</vt:lpstr>
      <vt:lpstr>'T11'!Print_Titles</vt:lpstr>
      <vt:lpstr>'T12'!Print_Titles</vt:lpstr>
      <vt:lpstr>'T13'!Print_Titles</vt:lpstr>
      <vt:lpstr>T13cm!Print_Titles</vt:lpstr>
      <vt:lpstr>'T14'!Print_Titles</vt:lpstr>
      <vt:lpstr>T14a!Print_Titles</vt:lpstr>
      <vt:lpstr>T14ap!Print_Titles</vt:lpstr>
      <vt:lpstr>'T15'!Print_Titles</vt:lpstr>
      <vt:lpstr>T15i!Print_Titles</vt:lpstr>
      <vt:lpstr>'T16'!Print_Titles</vt:lpstr>
      <vt:lpstr>'T17'!Print_Titles</vt:lpstr>
      <vt:lpstr>T17ap!Print_Titles</vt:lpstr>
      <vt:lpstr>T17dv!Print_Titles</vt:lpstr>
      <vt:lpstr>'T19'!Print_Titles</vt:lpstr>
      <vt:lpstr>T19c!Print_Titles</vt:lpstr>
      <vt:lpstr>T19c2!Print_Titles</vt:lpstr>
      <vt:lpstr>T19dz!Print_Titles</vt:lpstr>
      <vt:lpstr>'T2'!Print_Titles</vt:lpstr>
      <vt:lpstr>'T20'!Print_Titles</vt:lpstr>
      <vt:lpstr>T20d!Print_Titles</vt:lpstr>
      <vt:lpstr>'T21'!Print_Titles</vt:lpstr>
      <vt:lpstr>T21a!Print_Titles</vt:lpstr>
      <vt:lpstr>T21n!Print_Titles</vt:lpstr>
      <vt:lpstr>'T22'!Print_Titles</vt:lpstr>
      <vt:lpstr>T22c!Print_Titles</vt:lpstr>
      <vt:lpstr>'T23'!Print_Titles</vt:lpstr>
      <vt:lpstr>T23c!Print_Titles</vt:lpstr>
      <vt:lpstr>T2a!Print_Titles</vt:lpstr>
      <vt:lpstr>T2b!Print_Titles</vt:lpstr>
      <vt:lpstr>T2U!Print_Titles</vt:lpstr>
      <vt:lpstr>'T3'!Print_Titles</vt:lpstr>
      <vt:lpstr>T4a!Print_Titles</vt:lpstr>
      <vt:lpstr>T4b!Print_Titles</vt:lpstr>
      <vt:lpstr>T4c!Print_Titles</vt:lpstr>
      <vt:lpstr>T4d!Print_Titles</vt:lpstr>
      <vt:lpstr>T4e!Print_Titles</vt:lpstr>
      <vt:lpstr>T5a!Print_Titles</vt:lpstr>
      <vt:lpstr>T5b!Print_Titles</vt:lpstr>
      <vt:lpstr>T5c!Print_Titles</vt:lpstr>
      <vt:lpstr>T5d!Print_Titles</vt:lpstr>
      <vt:lpstr>'T6'!Print_Titles</vt:lpstr>
      <vt:lpstr>'T7'!Print_Titles</vt:lpstr>
      <vt:lpstr>'T8'!Print_Titles</vt:lpstr>
      <vt:lpstr>'T9'!Print_Titles</vt:lpstr>
      <vt:lpstr>Tduty!Print_Titles</vt:lpstr>
      <vt:lpstr>Tentrant!Print_Titles</vt:lpstr>
      <vt:lpstr>Tleave!Print_Titles</vt:lpstr>
      <vt:lpstr>TRS!Print_Titles</vt:lpstr>
    </vt:vector>
  </TitlesOfParts>
  <Company>Scottish Fire and Rescue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Safety and Organisational Statistics, 2019-2020, Tables and Charts</dc:title>
  <dc:creator>Welsh, Gregor</dc:creator>
  <cp:keywords>Statisics</cp:keywords>
  <cp:lastModifiedBy>Welsh, Gregor</cp:lastModifiedBy>
  <cp:lastPrinted>2018-08-15T17:19:41Z</cp:lastPrinted>
  <dcterms:created xsi:type="dcterms:W3CDTF">2018-07-05T11:22:21Z</dcterms:created>
  <dcterms:modified xsi:type="dcterms:W3CDTF">2020-08-28T10:21:44Z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0x0101004D3BEEE8C71E0441ABCD602B2883CF2303002F0AEBBF2B74A8408CFDD78D345B4A87</vt:lpwstr>
  </property>
  <property fmtid="{D5CDD505-2E9C-101B-9397-08002B2CF9AE}" pid="3" name="_dlc_DocIdItemGuid">
    <vt:lpwstr>fe547be1-4cfd-4204-8ff5-3d0ac5028d22</vt:lpwstr>
  </property>
  <property fmtid="{D5CDD505-2E9C-101B-9397-08002B2CF9AE}" pid="4" name="TaxKeyword">
    <vt:lpwstr>104;#Statisics|2e277403-9ee0-4936-8457-6a12c909d692</vt:lpwstr>
  </property>
  <property fmtid="{D5CDD505-2E9C-101B-9397-08002B2CF9AE}" pid="5" name="MediaServiceImageTags">
    <vt:lpwstr/>
  </property>
  <property fmtid="{D5CDD505-2E9C-101B-9397-08002B2CF9AE}" pid="6" name="DirectorateTEMP">
    <vt:lpwstr>Strategic Planning, Performance and Communications</vt:lpwstr>
  </property>
  <property fmtid="{D5CDD505-2E9C-101B-9397-08002B2CF9AE}" pid="7" name="Directorate">
    <vt:lpwstr>2077;#Strategic Planning, Performance and Communications (SPPC)|c9dfca0c-2d79-4a95-9878-54827f0e6791</vt:lpwstr>
  </property>
  <property fmtid="{D5CDD505-2E9C-101B-9397-08002B2CF9AE}" pid="8" name="Directorate0">
    <vt:lpwstr/>
  </property>
</Properties>
</file>